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首城国际租金\"/>
    </mc:Choice>
  </mc:AlternateContent>
  <xr:revisionPtr revIDLastSave="0" documentId="13_ncr:1_{ABC7F7DA-408A-42DB-8BFD-8943E28D47A8}" xr6:coauthVersionLast="45" xr6:coauthVersionMax="45" xr10:uidLastSave="{00000000-0000-0000-0000-000000000000}"/>
  <bookViews>
    <workbookView xWindow="-120" yWindow="-120" windowWidth="21840" windowHeight="13140" tabRatio="842"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state="hidden" r:id="rId18"/>
    <sheet name="首城国际结果表" sheetId="87" r:id="rId19"/>
    <sheet name="面积表" sheetId="78" state="hidden" r:id="rId20"/>
    <sheet name="结果一览表-铂郡" sheetId="83" state="hidden" r:id="rId21"/>
    <sheet name="比较法-商业铂郡" sheetId="84" state="hidden" r:id="rId22"/>
    <sheet name="比较法-商业铂郡租金" sheetId="85" state="hidden" r:id="rId23"/>
    <sheet name="Sheet6" sheetId="86" state="hidden" r:id="rId24"/>
    <sheet name="结果一览表-商业" sheetId="77"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商业售价" sheetId="79" r:id="rId31"/>
    <sheet name="比较法-办公" sheetId="34" state="hidden" r:id="rId32"/>
    <sheet name="比较法-工业" sheetId="37" state="hidden" r:id="rId33"/>
    <sheet name="比较法-车位" sheetId="35" state="hidden" r:id="rId34"/>
    <sheet name="比较法-商业租金" sheetId="33" r:id="rId35"/>
    <sheet name="结果一览表-库房" sheetId="80" r:id="rId36"/>
    <sheet name="成本法" sheetId="68"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成本法 (元)" sheetId="69" r:id="rId44"/>
    <sheet name="比较法-仓储" sheetId="36" r:id="rId45"/>
    <sheet name="地价" sheetId="71"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租金案例" sheetId="88" r:id="rId54"/>
    <sheet name="售价案例" sheetId="89" r:id="rId55"/>
  </sheets>
  <externalReferences>
    <externalReference r:id="rId56"/>
    <externalReference r:id="rId57"/>
  </externalReferences>
  <definedNames>
    <definedName name="_xlnm._FilterDatabase" localSheetId="31" hidden="1">'比较法-办公'!$A$1:$L$50</definedName>
    <definedName name="_xlnm._FilterDatabase" localSheetId="4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'比较法-商业铂郡'!$A$1:$L$49</definedName>
    <definedName name="_xlnm._FilterDatabase" localSheetId="22" hidden="1">'比较法-商业铂郡租金'!$A$1:$L$49</definedName>
    <definedName name="_xlnm._FilterDatabase" localSheetId="30" hidden="1">'比较法-商业售价'!$A$1:$L$49</definedName>
    <definedName name="_xlnm._FilterDatabase" localSheetId="34" hidden="1">'比较法-商业租金'!$A$1:$L$49</definedName>
    <definedName name="_xlnm._FilterDatabase" localSheetId="29" hidden="1">'比较法-住宅'!$A$1:$L$49</definedName>
    <definedName name="_xlnm._FilterDatabase" localSheetId="18" hidden="1">首城国际结果表!$A$1:$S$54</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4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'比较法-商业铂郡'!$A$1:$K$54,'比较法-商业铂郡'!$A$57:$M$131</definedName>
    <definedName name="_xlnm.Print_Area" localSheetId="22">'比较法-商业铂郡租金'!$A$1:$K$54,'比较法-商业铂郡租金'!$A$57:$M$131</definedName>
    <definedName name="_xlnm.Print_Area" localSheetId="30">'比较法-商业售价'!$A$1:$K$54,'比较法-商业售价'!$A$57:$M$131</definedName>
    <definedName name="_xlnm.Print_Area" localSheetId="34">'比较法-商业租金'!$A$1:$K$54,'比较法-商业租金'!$A$57:$M$131</definedName>
    <definedName name="_xlnm.Print_Area" localSheetId="29">'比较法-住宅'!$A$1:$K$54,'比较法-住宅'!$A$57:$M$131</definedName>
    <definedName name="_xlnm.Print_Area" localSheetId="36">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5">假设开发法!$A$1:$K$32</definedName>
    <definedName name="_xlnm.Print_Area" localSheetId="17">结果表!$A$1:$I$127</definedName>
    <definedName name="_xlnm.Print_Area" localSheetId="52">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1">'比较法-商业铂郡'!$B$116:$M$116</definedName>
    <definedName name="商业层高" localSheetId="30">'比较法-商业售价'!$B$116:$M$116</definedName>
    <definedName name="商业层高">'比较法-商业租金'!$B$116:$M$116</definedName>
    <definedName name="商业成新度" localSheetId="21">'比较法-商业铂郡'!$B$109:$M$109</definedName>
    <definedName name="商业成新度" localSheetId="30">'比较法-商业售价'!$B$109:$M$109</definedName>
    <definedName name="商业成新度">'比较法-商业租金'!$B$109:$M$109</definedName>
    <definedName name="商业繁华度">定义!$L$1:$L$6</definedName>
    <definedName name="商业公共部分装修" localSheetId="21">'比较法-商业铂郡'!$B$107:$M$107</definedName>
    <definedName name="商业公共部分装修" localSheetId="30">'比较法-商业售价'!$B$107:$M$107</definedName>
    <definedName name="商业公共部分装修">'比较法-商业租金'!$B$107:$M$107</definedName>
    <definedName name="商业基础设施水平" localSheetId="21">'比较法-商业铂郡'!$B$112:$M$112</definedName>
    <definedName name="商业基础设施水平" localSheetId="30">'比较法-商业售价'!$B$112:$M$112</definedName>
    <definedName name="商业基础设施水平">'比较法-商业租金'!$B$112:$M$112</definedName>
    <definedName name="商业建筑结构" localSheetId="21">'比较法-商业铂郡'!$B$105:$M$105</definedName>
    <definedName name="商业建筑结构" localSheetId="30">'比较法-商业售价'!$B$105:$M$105</definedName>
    <definedName name="商业建筑结构">'比较法-商业租金'!$B$105:$M$105</definedName>
    <definedName name="商业交易情况" localSheetId="21">'比较法-商业铂郡'!$A$61:$M$61</definedName>
    <definedName name="商业交易情况" localSheetId="30">'比较法-商业售价'!$A$61:$M$61</definedName>
    <definedName name="商业交易情况">'比较法-商业租金'!$A$61:$M$61</definedName>
    <definedName name="商业街名称">修正!$C$59:$C$119</definedName>
    <definedName name="商业进深比" localSheetId="21">'比较法-商业铂郡'!$B$120:$M$120</definedName>
    <definedName name="商业进深比" localSheetId="30">'比较法-商业售价'!$B$120:$M$120</definedName>
    <definedName name="商业进深比">'比较法-商业租金'!$B$120:$M$120</definedName>
    <definedName name="商业类型" localSheetId="21">'比较法-商业铂郡'!$B$100:$M$100</definedName>
    <definedName name="商业类型" localSheetId="30">'比较法-商业售价'!$B$100:$M$100</definedName>
    <definedName name="商业类型">'比较法-商业租金'!$B$100:$M$100</definedName>
    <definedName name="商业临街状况" localSheetId="21">'比较法-商业铂郡'!$B$86:$M$86</definedName>
    <definedName name="商业临街状况" localSheetId="30">'比较法-商业售价'!$B$86:$M$86</definedName>
    <definedName name="商业临街状况">'比较法-商业租金'!$B$86:$M$86</definedName>
    <definedName name="商业楼层" localSheetId="21">'比较法-商业铂郡'!$B$92:$M$92</definedName>
    <definedName name="商业楼层" localSheetId="30">'比较法-商业售价'!$B$92:$M$92</definedName>
    <definedName name="商业楼层">'比较法-商业租金'!$B$92:$M$92</definedName>
    <definedName name="商业内部装修" localSheetId="21">'比较法-商业铂郡'!$B$122:$M$122</definedName>
    <definedName name="商业内部装修" localSheetId="30">'比较法-商业售价'!$B$122:$M$122</definedName>
    <definedName name="商业内部装修">'比较法-商业租金'!$B$122:$M$122</definedName>
    <definedName name="商业人流量" localSheetId="21">'比较法-商业铂郡'!$B$90:$M$90</definedName>
    <definedName name="商业人流量" localSheetId="30">'比较法-商业售价'!$B$90:$M$90</definedName>
    <definedName name="商业人流量">'比较法-商业租金'!$B$90:$M$90</definedName>
    <definedName name="商业业态" localSheetId="21">'比较法-商业铂郡'!$B$114:$M$114</definedName>
    <definedName name="商业业态" localSheetId="30">'比较法-商业售价'!$B$114:$M$114</definedName>
    <definedName name="商业业态">'比较法-商业租金'!$B$114:$M$114</definedName>
    <definedName name="商业用途" localSheetId="21">'比较法-商业铂郡'!$B$63:$M$63</definedName>
    <definedName name="商业用途" localSheetId="30">'比较法-商业售价'!$B$63:$M$63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36" i="87" l="1"/>
  <c r="Q37" i="87" s="1"/>
  <c r="Q35" i="87"/>
  <c r="P36" i="87"/>
  <c r="P35" i="87"/>
  <c r="C22" i="80" l="1"/>
  <c r="C6" i="69"/>
  <c r="C6" i="68" l="1"/>
  <c r="H54" i="87" l="1"/>
  <c r="K4" i="87"/>
  <c r="K5" i="87" s="1"/>
  <c r="K13" i="87"/>
  <c r="K32" i="87"/>
  <c r="D62" i="79"/>
  <c r="K27" i="79" l="1"/>
  <c r="K17" i="79"/>
  <c r="I47" i="79"/>
  <c r="I33" i="79"/>
  <c r="I5" i="79"/>
  <c r="G47" i="79"/>
  <c r="G33" i="79"/>
  <c r="G5" i="79"/>
  <c r="K43" i="79"/>
  <c r="K42" i="79"/>
  <c r="K39" i="79"/>
  <c r="K37" i="79"/>
  <c r="K36" i="79"/>
  <c r="K35" i="79"/>
  <c r="K34" i="79"/>
  <c r="K32" i="79"/>
  <c r="K25" i="79"/>
  <c r="K23" i="79"/>
  <c r="K21" i="79"/>
  <c r="K19" i="79"/>
  <c r="K15" i="79"/>
  <c r="E47" i="79"/>
  <c r="E33" i="79"/>
  <c r="E5" i="79"/>
  <c r="G33" i="33"/>
  <c r="I47" i="33"/>
  <c r="O57" i="88"/>
  <c r="O6" i="88"/>
  <c r="E47" i="33" s="1"/>
  <c r="O27" i="88"/>
  <c r="G47" i="33" s="1"/>
  <c r="I33" i="33"/>
  <c r="E33" i="33"/>
  <c r="N18" i="1" l="1"/>
  <c r="M2" i="77"/>
  <c r="J15" i="87" l="1"/>
  <c r="J14" i="87"/>
  <c r="J13" i="87"/>
  <c r="J12" i="87"/>
  <c r="Q15" i="87"/>
  <c r="J7" i="87" s="1"/>
  <c r="K38" i="87"/>
  <c r="K37" i="87"/>
  <c r="K36" i="87"/>
  <c r="K35" i="87"/>
  <c r="K34" i="87"/>
  <c r="K33" i="87"/>
  <c r="K31" i="87"/>
  <c r="K30" i="87"/>
  <c r="K29" i="87"/>
  <c r="K28" i="87"/>
  <c r="K27" i="87"/>
  <c r="K26" i="87"/>
  <c r="K25" i="87"/>
  <c r="K24" i="87"/>
  <c r="K22" i="87"/>
  <c r="K23" i="87"/>
  <c r="K21" i="87"/>
  <c r="K20" i="87"/>
  <c r="K19" i="87"/>
  <c r="K10" i="87"/>
  <c r="Q31" i="87"/>
  <c r="Q30" i="87"/>
  <c r="Q29" i="87"/>
  <c r="Q28" i="87"/>
  <c r="Q27" i="87"/>
  <c r="Q26" i="87"/>
  <c r="Q25" i="87"/>
  <c r="Q24" i="87"/>
  <c r="Q23" i="87"/>
  <c r="Q22" i="87"/>
  <c r="Q20" i="87"/>
  <c r="J37" i="87" s="1"/>
  <c r="J26" i="87"/>
  <c r="J27" i="87" s="1"/>
  <c r="J28" i="87" s="1"/>
  <c r="Q19" i="87"/>
  <c r="J16" i="87" s="1"/>
  <c r="Q18" i="87"/>
  <c r="J11" i="87" s="1"/>
  <c r="Q17" i="87"/>
  <c r="J10" i="87" s="1"/>
  <c r="Q16" i="87"/>
  <c r="J9" i="87" s="1"/>
  <c r="Q14" i="87"/>
  <c r="I3" i="87"/>
  <c r="I4" i="87"/>
  <c r="I5" i="87"/>
  <c r="I6" i="87"/>
  <c r="I7" i="87"/>
  <c r="I8" i="87"/>
  <c r="I9" i="87"/>
  <c r="I10" i="87"/>
  <c r="I11" i="87"/>
  <c r="I12" i="87"/>
  <c r="I13" i="87"/>
  <c r="I14" i="87"/>
  <c r="I15" i="87"/>
  <c r="I16" i="87"/>
  <c r="I17" i="87"/>
  <c r="I18" i="87"/>
  <c r="I19" i="87"/>
  <c r="I20" i="87"/>
  <c r="I21" i="87"/>
  <c r="I22" i="87"/>
  <c r="I23" i="87"/>
  <c r="I24" i="87"/>
  <c r="I25" i="87"/>
  <c r="I26" i="87"/>
  <c r="I27" i="87"/>
  <c r="I28" i="87"/>
  <c r="I29" i="87"/>
  <c r="I30" i="87"/>
  <c r="I31" i="87"/>
  <c r="I32" i="87"/>
  <c r="I39" i="87"/>
  <c r="I40" i="87"/>
  <c r="I41" i="87"/>
  <c r="I42" i="87"/>
  <c r="I43" i="87"/>
  <c r="I44" i="87"/>
  <c r="I45" i="87"/>
  <c r="I46" i="87"/>
  <c r="I47" i="87"/>
  <c r="I48" i="87"/>
  <c r="I49" i="87"/>
  <c r="I50" i="87"/>
  <c r="I51" i="87"/>
  <c r="I52" i="87"/>
  <c r="I53" i="87"/>
  <c r="I33" i="87"/>
  <c r="I34" i="87"/>
  <c r="I35" i="87"/>
  <c r="I36" i="87"/>
  <c r="I37" i="87"/>
  <c r="I38" i="87"/>
  <c r="I2" i="87"/>
  <c r="X39" i="78"/>
  <c r="X38" i="78"/>
  <c r="X37" i="78"/>
  <c r="X36" i="78"/>
  <c r="AA30" i="78"/>
  <c r="Z30" i="78"/>
  <c r="Y30" i="78"/>
  <c r="X30" i="78"/>
  <c r="J8" i="87" l="1"/>
  <c r="J6" i="87"/>
  <c r="J5" i="87"/>
  <c r="J38" i="87"/>
  <c r="K16" i="87"/>
  <c r="Q32" i="87"/>
  <c r="K14" i="87"/>
  <c r="K18" i="87"/>
  <c r="J36" i="87"/>
  <c r="J24" i="87"/>
  <c r="J22" i="87"/>
  <c r="J20" i="87"/>
  <c r="J18" i="87"/>
  <c r="J25" i="87"/>
  <c r="J23" i="87"/>
  <c r="J21" i="87"/>
  <c r="J19" i="87"/>
  <c r="J17" i="87"/>
  <c r="K7" i="87"/>
  <c r="K11" i="87"/>
  <c r="K9" i="87"/>
  <c r="K15" i="87"/>
  <c r="K17" i="87"/>
  <c r="K6" i="87"/>
  <c r="K8" i="87"/>
  <c r="J30" i="87"/>
  <c r="J31" i="87" s="1"/>
  <c r="J32" i="87" s="1"/>
  <c r="J29" i="87"/>
  <c r="AE30" i="78"/>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Y8" i="1"/>
  <c r="J8" i="1"/>
  <c r="I4" i="83" s="1"/>
  <c r="I8" i="1"/>
  <c r="H8" i="1"/>
  <c r="M13" i="3"/>
  <c r="F21" i="6" s="1"/>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H30" i="85" s="1"/>
  <c r="B94" i="85"/>
  <c r="H29" i="85" s="1"/>
  <c r="B92" i="85"/>
  <c r="J28" i="85" s="1"/>
  <c r="AC28" i="85" s="1"/>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U35"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J30" i="85"/>
  <c r="AC30" i="85" s="1"/>
  <c r="F30" i="85"/>
  <c r="AA30" i="85" s="1"/>
  <c r="Q29" i="85"/>
  <c r="Z29" i="85" s="1"/>
  <c r="Q28" i="85"/>
  <c r="Z28" i="85" s="1"/>
  <c r="H28" i="85"/>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C15" i="85"/>
  <c r="Q14" i="85"/>
  <c r="Z14" i="85" s="1"/>
  <c r="J14" i="85"/>
  <c r="AC14" i="85" s="1"/>
  <c r="H14" i="85"/>
  <c r="F14" i="85"/>
  <c r="AA14" i="85" s="1"/>
  <c r="Q13" i="85"/>
  <c r="Z13" i="85" s="1"/>
  <c r="H13" i="85"/>
  <c r="AB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H31" i="84" s="1"/>
  <c r="AB31" i="84" s="1"/>
  <c r="B96" i="84"/>
  <c r="B94" i="84"/>
  <c r="H29" i="84" s="1"/>
  <c r="AB29" i="84" s="1"/>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J45" i="84"/>
  <c r="AC45" i="84" s="1"/>
  <c r="H45" i="84"/>
  <c r="AB45" i="84" s="1"/>
  <c r="F45" i="84"/>
  <c r="AA45" i="84" s="1"/>
  <c r="Q44" i="84"/>
  <c r="Z44" i="84" s="1"/>
  <c r="F44" i="84"/>
  <c r="AA44" i="84" s="1"/>
  <c r="Q43" i="84"/>
  <c r="Z43" i="84" s="1"/>
  <c r="J43" i="84"/>
  <c r="AC43" i="84" s="1"/>
  <c r="F43" i="84"/>
  <c r="AA43" i="84" s="1"/>
  <c r="Q42" i="84"/>
  <c r="Z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Q30" i="84"/>
  <c r="Z30" i="84" s="1"/>
  <c r="J30" i="84"/>
  <c r="AC30" i="84" s="1"/>
  <c r="H30" i="84"/>
  <c r="AB30" i="84" s="1"/>
  <c r="F30" i="84"/>
  <c r="AA30" i="84" s="1"/>
  <c r="Q29" i="84"/>
  <c r="Z29" i="84" s="1"/>
  <c r="Q28" i="84"/>
  <c r="Z28" i="84" s="1"/>
  <c r="J28" i="84"/>
  <c r="AC28" i="84" s="1"/>
  <c r="H28" i="84"/>
  <c r="AB28" i="84" s="1"/>
  <c r="F28" i="84"/>
  <c r="AA28" i="84" s="1"/>
  <c r="Q27" i="84"/>
  <c r="Z27" i="84" s="1"/>
  <c r="Q26" i="84"/>
  <c r="Z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F15" i="84"/>
  <c r="AA15" i="84" s="1"/>
  <c r="C15" i="84"/>
  <c r="Q14" i="84"/>
  <c r="Z14" i="84" s="1"/>
  <c r="F14" i="84"/>
  <c r="AA14" i="84" s="1"/>
  <c r="Q13" i="84"/>
  <c r="Z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F19" i="83"/>
  <c r="I17" i="83"/>
  <c r="F16" i="83"/>
  <c r="H15" i="83"/>
  <c r="C21" i="83" s="1"/>
  <c r="E19" i="83" s="1"/>
  <c r="E15" i="83"/>
  <c r="C15" i="83"/>
  <c r="H14" i="83"/>
  <c r="H12" i="83"/>
  <c r="I11" i="83"/>
  <c r="M10" i="83"/>
  <c r="H10" i="83"/>
  <c r="P9" i="83"/>
  <c r="O10" i="83" s="1"/>
  <c r="H9" i="83"/>
  <c r="M4" i="83"/>
  <c r="D2" i="85"/>
  <c r="D2" i="84"/>
  <c r="H13" i="84" l="1"/>
  <c r="AB13" i="84" s="1"/>
  <c r="J15" i="84"/>
  <c r="AC15" i="84" s="1"/>
  <c r="J26" i="84"/>
  <c r="AC26" i="84" s="1"/>
  <c r="H27" i="84"/>
  <c r="AB27" i="84" s="1"/>
  <c r="J42" i="84"/>
  <c r="AC42" i="84" s="1"/>
  <c r="J44" i="84"/>
  <c r="AC44" i="84" s="1"/>
  <c r="H46" i="84"/>
  <c r="AB46" i="84" s="1"/>
  <c r="F15" i="85"/>
  <c r="AA15" i="85" s="1"/>
  <c r="F28" i="85"/>
  <c r="AA28" i="85" s="1"/>
  <c r="F43" i="85"/>
  <c r="AA43" i="85" s="1"/>
  <c r="G87" i="84"/>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I36" i="84"/>
  <c r="J36" i="84" s="1"/>
  <c r="AC36" i="84" s="1"/>
  <c r="F37" i="84"/>
  <c r="AA37" i="84" s="1"/>
  <c r="J37" i="84"/>
  <c r="AC37" i="84" s="1"/>
  <c r="U40" i="84"/>
  <c r="H42" i="84"/>
  <c r="AB42" i="84" s="1"/>
  <c r="H43" i="84"/>
  <c r="AB43" i="84" s="1"/>
  <c r="F46" i="84"/>
  <c r="AA46" i="84" s="1"/>
  <c r="U41" i="85"/>
  <c r="U46" i="85"/>
  <c r="AC10" i="84"/>
  <c r="AC13" i="85"/>
  <c r="W13" i="85"/>
  <c r="AB36" i="84"/>
  <c r="U36" i="84"/>
  <c r="U8" i="84"/>
  <c r="W26" i="84"/>
  <c r="W30" i="84"/>
  <c r="AB34" i="84"/>
  <c r="W37" i="84"/>
  <c r="W41" i="84"/>
  <c r="W45" i="84"/>
  <c r="S8" i="85"/>
  <c r="W9" i="85"/>
  <c r="U12" i="85"/>
  <c r="F13" i="85"/>
  <c r="AA13" i="85" s="1"/>
  <c r="H15" i="85"/>
  <c r="F27" i="85"/>
  <c r="AA27" i="85" s="1"/>
  <c r="F29" i="85"/>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U15" i="85"/>
  <c r="AB17" i="85"/>
  <c r="U17" i="85"/>
  <c r="AB19" i="85"/>
  <c r="U19" i="85"/>
  <c r="AB21" i="85"/>
  <c r="U21" i="85"/>
  <c r="AB23" i="85"/>
  <c r="U23" i="85"/>
  <c r="AA25" i="85"/>
  <c r="S25" i="85"/>
  <c r="AB28" i="85"/>
  <c r="U28" i="85"/>
  <c r="AA29" i="85"/>
  <c r="S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H28" i="80"/>
  <c r="H27" i="80"/>
  <c r="I20" i="80"/>
  <c r="N7" i="1"/>
  <c r="F50" i="68" s="1"/>
  <c r="K13" i="3"/>
  <c r="G20" i="6" s="1"/>
  <c r="D38" i="43"/>
  <c r="C30" i="36"/>
  <c r="L14" i="4"/>
  <c r="L15" i="4" s="1"/>
  <c r="H12" i="77"/>
  <c r="S42" i="85" l="1"/>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I13" i="3"/>
  <c r="C33" i="79"/>
  <c r="C33" i="33"/>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C36" i="80" l="1"/>
  <c r="E28" i="80"/>
  <c r="E25" i="80"/>
  <c r="E24" i="80"/>
  <c r="F19" i="80"/>
  <c r="I17" i="80"/>
  <c r="F16" i="80"/>
  <c r="C21" i="80"/>
  <c r="E19" i="80" s="1"/>
  <c r="E15" i="80"/>
  <c r="C15" i="80"/>
  <c r="I11" i="80"/>
  <c r="M10" i="80"/>
  <c r="H10" i="80"/>
  <c r="P9" i="80"/>
  <c r="O10" i="80" s="1"/>
  <c r="H9" i="80"/>
  <c r="I7" i="80"/>
  <c r="M4" i="80"/>
  <c r="V9" i="78"/>
  <c r="V15" i="78" s="1"/>
  <c r="C36" i="77" l="1"/>
  <c r="I17" i="77" l="1"/>
  <c r="I11" i="77"/>
  <c r="H10" i="77"/>
  <c r="M4" i="77"/>
  <c r="C36" i="33" l="1"/>
  <c r="C36" i="79"/>
  <c r="Y6" i="1"/>
  <c r="Y7" i="1" s="1"/>
  <c r="I3" i="77"/>
  <c r="F19" i="6"/>
  <c r="B130" i="79"/>
  <c r="H46" i="79" s="1"/>
  <c r="AB46" i="79" s="1"/>
  <c r="B128" i="79"/>
  <c r="H45" i="79" s="1"/>
  <c r="AB45" i="79" s="1"/>
  <c r="B126" i="79"/>
  <c r="H44" i="79" s="1"/>
  <c r="AB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J30" i="79" s="1"/>
  <c r="AC30" i="79" s="1"/>
  <c r="B94" i="79"/>
  <c r="H29" i="79" s="1"/>
  <c r="AB29" i="79" s="1"/>
  <c r="B92" i="79"/>
  <c r="J28" i="79" s="1"/>
  <c r="AC28" i="79" s="1"/>
  <c r="D91" i="79"/>
  <c r="E91" i="79" s="1"/>
  <c r="F91" i="79" s="1"/>
  <c r="G91" i="79" s="1"/>
  <c r="H91" i="79" s="1"/>
  <c r="I91" i="79" s="1"/>
  <c r="J91" i="79" s="1"/>
  <c r="K91" i="79" s="1"/>
  <c r="L91" i="79" s="1"/>
  <c r="M91" i="79" s="1"/>
  <c r="B90" i="79"/>
  <c r="J27" i="79" s="1"/>
  <c r="AC27" i="79" s="1"/>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AB9" i="79" s="1"/>
  <c r="I54" i="79"/>
  <c r="J54" i="79" s="1"/>
  <c r="G54" i="79"/>
  <c r="H54" i="79" s="1"/>
  <c r="E54" i="79"/>
  <c r="F54" i="79" s="1"/>
  <c r="P49" i="79"/>
  <c r="P48" i="79"/>
  <c r="K48" i="79"/>
  <c r="V47" i="79"/>
  <c r="T47" i="79"/>
  <c r="R47" i="79"/>
  <c r="P47" i="79"/>
  <c r="Q46" i="79"/>
  <c r="Z46" i="79" s="1"/>
  <c r="J46" i="79"/>
  <c r="W46" i="79" s="1"/>
  <c r="F46" i="79"/>
  <c r="AA46" i="79" s="1"/>
  <c r="Q45" i="79"/>
  <c r="Z45" i="79" s="1"/>
  <c r="F45" i="79"/>
  <c r="AA45" i="79" s="1"/>
  <c r="Q44" i="79"/>
  <c r="Z44" i="79" s="1"/>
  <c r="J44" i="79"/>
  <c r="AC44" i="79" s="1"/>
  <c r="F44" i="79"/>
  <c r="AA44" i="79" s="1"/>
  <c r="Q43" i="79"/>
  <c r="Z43" i="79" s="1"/>
  <c r="J43" i="79"/>
  <c r="AC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H32" i="79"/>
  <c r="AB32" i="79" s="1"/>
  <c r="Q31" i="79"/>
  <c r="Z31" i="79" s="1"/>
  <c r="J31" i="79"/>
  <c r="AC31" i="79" s="1"/>
  <c r="Q30" i="79"/>
  <c r="Z30" i="79" s="1"/>
  <c r="H30" i="79"/>
  <c r="AB30" i="79" s="1"/>
  <c r="Q29" i="79"/>
  <c r="Z29" i="79" s="1"/>
  <c r="F29" i="79"/>
  <c r="AA29" i="79" s="1"/>
  <c r="Q28" i="79"/>
  <c r="Z28" i="79" s="1"/>
  <c r="H28" i="79"/>
  <c r="AB28" i="79" s="1"/>
  <c r="Q27" i="79"/>
  <c r="Z27" i="79" s="1"/>
  <c r="Q26" i="79"/>
  <c r="Z26" i="79" s="1"/>
  <c r="H26" i="79"/>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H15" i="79"/>
  <c r="AB15" i="79" s="1"/>
  <c r="C15" i="79"/>
  <c r="Q14" i="79"/>
  <c r="Z14" i="79" s="1"/>
  <c r="J14" i="79"/>
  <c r="AC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F9" i="79"/>
  <c r="AA9" i="79" s="1"/>
  <c r="J8" i="79"/>
  <c r="W8" i="79" s="1"/>
  <c r="H8" i="79"/>
  <c r="AB8" i="79" s="1"/>
  <c r="F8" i="79"/>
  <c r="S8" i="79" s="1"/>
  <c r="D3" i="4"/>
  <c r="E28" i="77"/>
  <c r="E25" i="77"/>
  <c r="C22" i="77"/>
  <c r="C21" i="77"/>
  <c r="E19" i="77" s="1"/>
  <c r="F19" i="77"/>
  <c r="F16" i="77"/>
  <c r="E15" i="77"/>
  <c r="C15" i="77"/>
  <c r="M10" i="77"/>
  <c r="P9" i="77"/>
  <c r="O10" i="77" s="1"/>
  <c r="D2" i="79"/>
  <c r="C11" i="77" l="1"/>
  <c r="F14" i="79"/>
  <c r="AA14" i="79" s="1"/>
  <c r="H17" i="79"/>
  <c r="AB17" i="79" s="1"/>
  <c r="H25" i="79"/>
  <c r="AB25" i="79" s="1"/>
  <c r="F28" i="79"/>
  <c r="AA28" i="79" s="1"/>
  <c r="F30" i="79"/>
  <c r="AA30" i="79" s="1"/>
  <c r="F32" i="79"/>
  <c r="AA32" i="79" s="1"/>
  <c r="J32" i="79"/>
  <c r="AC32" i="79" s="1"/>
  <c r="H42" i="79"/>
  <c r="AB42" i="79" s="1"/>
  <c r="F12" i="79"/>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I36" i="33"/>
  <c r="E36" i="33"/>
  <c r="G36" i="33"/>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W23" i="79"/>
  <c r="U25" i="79"/>
  <c r="W26" i="79"/>
  <c r="S28" i="79"/>
  <c r="W28" i="79"/>
  <c r="U29" i="79"/>
  <c r="S30" i="79"/>
  <c r="W30" i="79"/>
  <c r="U31" i="79"/>
  <c r="S32"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U42" i="79"/>
  <c r="W43" i="79"/>
  <c r="U44" i="79"/>
  <c r="S45" i="79"/>
  <c r="U46" i="79"/>
  <c r="S43" i="79" l="1"/>
  <c r="S25" i="79"/>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9"/>
  <c r="C7" i="69" s="1"/>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B65" i="72" s="1"/>
  <c r="A12" i="62"/>
  <c r="B58" i="72" s="1"/>
  <c r="A120" i="9"/>
  <c r="H2" i="52"/>
  <c r="A1" i="52"/>
  <c r="A3" i="53"/>
  <c r="Q25" i="71"/>
  <c r="P25" i="71"/>
  <c r="O25" i="71"/>
  <c r="N25" i="7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AH10" i="43"/>
  <c r="K49" i="9"/>
  <c r="E107" i="9"/>
  <c r="B13" i="53" s="1"/>
  <c r="B29" i="72" s="1"/>
  <c r="A122" i="9"/>
  <c r="A8" i="52" s="1"/>
  <c r="B54" i="72" s="1"/>
  <c r="E111" i="9"/>
  <c r="A126" i="9"/>
  <c r="E109" i="9"/>
  <c r="A124" i="9"/>
  <c r="B44" i="72"/>
  <c r="B42" i="72"/>
  <c r="B69" i="72"/>
  <c r="B68" i="72"/>
  <c r="B63" i="72"/>
  <c r="B62" i="72"/>
  <c r="B16" i="72"/>
  <c r="B67" i="72"/>
  <c r="B10" i="72"/>
  <c r="C53" i="10"/>
  <c r="B51" i="10"/>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J18" i="36"/>
  <c r="W18" i="36" s="1"/>
  <c r="H18" i="35"/>
  <c r="U18" i="35" s="1"/>
  <c r="J18" i="35"/>
  <c r="AC18" i="35" s="1"/>
  <c r="H21" i="37"/>
  <c r="AB21" i="37" s="1"/>
  <c r="F21" i="37"/>
  <c r="S21" i="37" s="1"/>
  <c r="H21" i="34"/>
  <c r="AB21" i="34" s="1"/>
  <c r="H21" i="33"/>
  <c r="U21" i="33" s="1"/>
  <c r="F21" i="33"/>
  <c r="S21" i="33" s="1"/>
  <c r="E83" i="21"/>
  <c r="F83" i="21" s="1"/>
  <c r="G83" i="21" s="1"/>
  <c r="H1" i="69"/>
  <c r="AC25" i="40"/>
  <c r="AC29" i="39"/>
  <c r="W29" i="39"/>
  <c r="AC18" i="36"/>
  <c r="AB18" i="35"/>
  <c r="W18" i="35"/>
  <c r="J21" i="37"/>
  <c r="AC21" i="37" s="1"/>
  <c r="J21" i="34"/>
  <c r="AC21" i="34" s="1"/>
  <c r="J21" i="33"/>
  <c r="W21" i="33" s="1"/>
  <c r="H21" i="21"/>
  <c r="U21" i="21" s="1"/>
  <c r="F38" i="69"/>
  <c r="E37" i="69"/>
  <c r="F36" i="69"/>
  <c r="F35" i="69"/>
  <c r="F40" i="69"/>
  <c r="F39" i="69"/>
  <c r="E10" i="69"/>
  <c r="E9" i="69"/>
  <c r="AB21" i="21"/>
  <c r="J21" i="21"/>
  <c r="W21" i="21" s="1"/>
  <c r="F38" i="68"/>
  <c r="E37" i="68"/>
  <c r="F36" i="68"/>
  <c r="F35" i="68"/>
  <c r="F40" i="68"/>
  <c r="F39" i="68"/>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I5" i="80" s="1"/>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AC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J27"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20" i="36" s="1"/>
  <c r="D64" i="36"/>
  <c r="E64" i="36" s="1"/>
  <c r="F64" i="36" s="1"/>
  <c r="G64" i="36" s="1"/>
  <c r="D62" i="36"/>
  <c r="B59" i="36"/>
  <c r="B57" i="36"/>
  <c r="J12" i="36" s="1"/>
  <c r="W12" i="36" s="1"/>
  <c r="B55" i="36"/>
  <c r="J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B57" i="35"/>
  <c r="J11" i="35" s="1"/>
  <c r="B61" i="35"/>
  <c r="F13" i="35" s="1"/>
  <c r="S13" i="35" s="1"/>
  <c r="B59" i="35"/>
  <c r="J12" i="35" s="1"/>
  <c r="W12" i="35" s="1"/>
  <c r="B131" i="34"/>
  <c r="B129" i="34"/>
  <c r="B127" i="34"/>
  <c r="B99" i="34"/>
  <c r="F32" i="34" s="1"/>
  <c r="B97" i="34"/>
  <c r="B95" i="34"/>
  <c r="B93" i="34"/>
  <c r="J29" i="34" s="1"/>
  <c r="B75" i="34"/>
  <c r="F14" i="34" s="1"/>
  <c r="AA14" i="34" s="1"/>
  <c r="B73" i="34"/>
  <c r="B71" i="34"/>
  <c r="B130" i="33"/>
  <c r="H46" i="33" s="1"/>
  <c r="AB46" i="33" s="1"/>
  <c r="B128" i="33"/>
  <c r="B126" i="33"/>
  <c r="J44" i="33" s="1"/>
  <c r="AC44" i="33" s="1"/>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H9" i="21" s="1"/>
  <c r="AB9" i="21" s="1"/>
  <c r="G18" i="20"/>
  <c r="B88" i="43" s="1"/>
  <c r="G19" i="20"/>
  <c r="B85" i="43" s="1"/>
  <c r="G16" i="20"/>
  <c r="B82" i="43" s="1"/>
  <c r="G15" i="20"/>
  <c r="B81" i="43" s="1"/>
  <c r="C24" i="20"/>
  <c r="B73" i="43" s="1"/>
  <c r="C21" i="20"/>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AC44" i="21" s="1"/>
  <c r="B98" i="21"/>
  <c r="H31" i="21" s="1"/>
  <c r="B96" i="21"/>
  <c r="B94" i="21"/>
  <c r="F29" i="21" s="1"/>
  <c r="AA29" i="21" s="1"/>
  <c r="B92" i="21"/>
  <c r="B90" i="21"/>
  <c r="B74" i="21"/>
  <c r="B72" i="2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F29" i="36"/>
  <c r="AA29" i="36" s="1"/>
  <c r="F16" i="36"/>
  <c r="AA16" i="36" s="1"/>
  <c r="J33" i="36"/>
  <c r="W33" i="36" s="1"/>
  <c r="H22" i="35"/>
  <c r="AB22" i="35" s="1"/>
  <c r="AC27" i="35"/>
  <c r="U31" i="35"/>
  <c r="S31" i="35"/>
  <c r="F36" i="34"/>
  <c r="J35" i="34"/>
  <c r="W35" i="34" s="1"/>
  <c r="S34" i="34"/>
  <c r="U34" i="34"/>
  <c r="H39" i="33"/>
  <c r="AB39" i="33" s="1"/>
  <c r="U35" i="33"/>
  <c r="F11" i="40"/>
  <c r="AA11" i="40" s="1"/>
  <c r="H11" i="40"/>
  <c r="U9" i="40"/>
  <c r="W31" i="40"/>
  <c r="F42" i="39"/>
  <c r="AA42" i="39" s="1"/>
  <c r="F41" i="39"/>
  <c r="S41" i="39" s="1"/>
  <c r="H40" i="39"/>
  <c r="AB40" i="39" s="1"/>
  <c r="H39" i="39"/>
  <c r="U39" i="39" s="1"/>
  <c r="S34" i="39"/>
  <c r="H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H27" i="39"/>
  <c r="U27" i="39" s="1"/>
  <c r="J19" i="39"/>
  <c r="J17" i="39"/>
  <c r="AC17" i="39" s="1"/>
  <c r="J27" i="39"/>
  <c r="AC27" i="39" s="1"/>
  <c r="F27" i="39"/>
  <c r="F11" i="21"/>
  <c r="S11" i="21" s="1"/>
  <c r="S40" i="21"/>
  <c r="H11" i="39"/>
  <c r="AB11" i="39" s="1"/>
  <c r="H32" i="33"/>
  <c r="AB32" i="33" s="1"/>
  <c r="H11" i="21"/>
  <c r="J11" i="21"/>
  <c r="W11" i="21" s="1"/>
  <c r="H37" i="40"/>
  <c r="H36" i="40"/>
  <c r="AB36" i="40" s="1"/>
  <c r="F35" i="40"/>
  <c r="AA35" i="40" s="1"/>
  <c r="H23" i="40"/>
  <c r="AB23" i="40" s="1"/>
  <c r="H17" i="40"/>
  <c r="J15" i="40"/>
  <c r="W15" i="40" s="1"/>
  <c r="J11" i="40"/>
  <c r="J30" i="35"/>
  <c r="W30" i="35" s="1"/>
  <c r="H30" i="35"/>
  <c r="F22" i="35"/>
  <c r="AA22" i="35" s="1"/>
  <c r="H10" i="35"/>
  <c r="U10" i="35" s="1"/>
  <c r="J29" i="36"/>
  <c r="AC29" i="36" s="1"/>
  <c r="F34" i="36"/>
  <c r="S34" i="36" s="1"/>
  <c r="U8" i="35"/>
  <c r="F14" i="35"/>
  <c r="J32" i="35"/>
  <c r="AC32" i="35" s="1"/>
  <c r="J16" i="35"/>
  <c r="AC16" i="35" s="1"/>
  <c r="H16" i="35"/>
  <c r="U16" i="35" s="1"/>
  <c r="F16" i="35"/>
  <c r="S16" i="35" s="1"/>
  <c r="H14" i="35"/>
  <c r="AB14" i="35" s="1"/>
  <c r="J29" i="35"/>
  <c r="W29" i="35" s="1"/>
  <c r="H33" i="35"/>
  <c r="J20" i="35"/>
  <c r="W20" i="35" s="1"/>
  <c r="F35" i="37"/>
  <c r="S35" i="37" s="1"/>
  <c r="J34" i="37"/>
  <c r="J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S19" i="34" s="1"/>
  <c r="H17" i="34"/>
  <c r="U17" i="34" s="1"/>
  <c r="F15" i="34"/>
  <c r="AA15" i="34" s="1"/>
  <c r="J15" i="34"/>
  <c r="W15" i="34" s="1"/>
  <c r="H15" i="34"/>
  <c r="AB15" i="34" s="1"/>
  <c r="W28" i="34"/>
  <c r="F41" i="33"/>
  <c r="F32" i="33"/>
  <c r="AA32" i="33" s="1"/>
  <c r="F11" i="33"/>
  <c r="AA11" i="33" s="1"/>
  <c r="F37" i="40"/>
  <c r="AA37" i="40" s="1"/>
  <c r="F36" i="40"/>
  <c r="AA36" i="40" s="1"/>
  <c r="H28" i="40"/>
  <c r="U28" i="40" s="1"/>
  <c r="F23" i="40"/>
  <c r="F17" i="40"/>
  <c r="AA17" i="40" s="1"/>
  <c r="J17" i="40"/>
  <c r="W17" i="40" s="1"/>
  <c r="F15" i="40"/>
  <c r="S15" i="40" s="1"/>
  <c r="H15" i="40"/>
  <c r="AB15" i="40" s="1"/>
  <c r="F29" i="35"/>
  <c r="H29" i="35"/>
  <c r="AB29" i="35" s="1"/>
  <c r="H33" i="37"/>
  <c r="AB33" i="37" s="1"/>
  <c r="F33" i="37"/>
  <c r="AA33" i="37" s="1"/>
  <c r="J43" i="34"/>
  <c r="AC43" i="34" s="1"/>
  <c r="J40" i="34"/>
  <c r="H38" i="34"/>
  <c r="AB38" i="34" s="1"/>
  <c r="J36" i="34"/>
  <c r="W36" i="34" s="1"/>
  <c r="H37" i="34"/>
  <c r="U37" i="34" s="1"/>
  <c r="H25" i="34"/>
  <c r="AB25" i="34" s="1"/>
  <c r="J25" i="34"/>
  <c r="AB23" i="34"/>
  <c r="F23" i="34"/>
  <c r="J19" i="34"/>
  <c r="AC19" i="34" s="1"/>
  <c r="F17" i="34"/>
  <c r="J17" i="34"/>
  <c r="W17" i="34" s="1"/>
  <c r="H11" i="33"/>
  <c r="AB11" i="33" s="1"/>
  <c r="F28" i="40"/>
  <c r="AA28" i="40"/>
  <c r="AA42" i="34"/>
  <c r="S42" i="34"/>
  <c r="J37" i="34"/>
  <c r="AC37" i="34" s="1"/>
  <c r="J11" i="33"/>
  <c r="W11" i="33" s="1"/>
  <c r="U23" i="40"/>
  <c r="J42" i="21"/>
  <c r="AC42" i="21" s="1"/>
  <c r="H42" i="21"/>
  <c r="U42" i="21" s="1"/>
  <c r="J44" i="34"/>
  <c r="AC44" i="34" s="1"/>
  <c r="F44" i="34"/>
  <c r="AA44" i="34" s="1"/>
  <c r="J10" i="35"/>
  <c r="J14" i="21"/>
  <c r="W14" i="21" s="1"/>
  <c r="F14" i="21"/>
  <c r="H14" i="21"/>
  <c r="U14" i="21" s="1"/>
  <c r="H28" i="21"/>
  <c r="AB28" i="21" s="1"/>
  <c r="H44" i="21"/>
  <c r="U44" i="21" s="1"/>
  <c r="F44" i="21"/>
  <c r="AA44" i="21" s="1"/>
  <c r="H46" i="21"/>
  <c r="U46" i="21" s="1"/>
  <c r="J46" i="21"/>
  <c r="W46" i="21" s="1"/>
  <c r="F46" i="21"/>
  <c r="AA46" i="21" s="1"/>
  <c r="H26" i="33"/>
  <c r="U26" i="33" s="1"/>
  <c r="J28" i="33"/>
  <c r="W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6" i="36"/>
  <c r="W26" i="36" s="1"/>
  <c r="H28" i="36"/>
  <c r="U28" i="36" s="1"/>
  <c r="J13" i="36"/>
  <c r="AC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F29" i="34"/>
  <c r="S29" i="34" s="1"/>
  <c r="J25" i="35"/>
  <c r="W25" i="35" s="1"/>
  <c r="F35" i="35"/>
  <c r="AA35" i="35" s="1"/>
  <c r="F13" i="37"/>
  <c r="S13" i="37" s="1"/>
  <c r="H38" i="37"/>
  <c r="AB38" i="37" s="1"/>
  <c r="F12" i="40"/>
  <c r="S12" i="40" s="1"/>
  <c r="H30" i="40"/>
  <c r="AB30" i="40" s="1"/>
  <c r="F33" i="40"/>
  <c r="AA33" i="40" s="1"/>
  <c r="H33" i="40"/>
  <c r="U33" i="40" s="1"/>
  <c r="J35" i="40"/>
  <c r="AC35" i="40" s="1"/>
  <c r="J37" i="40"/>
  <c r="AC37" i="40" s="1"/>
  <c r="F13" i="40"/>
  <c r="F14" i="37"/>
  <c r="F27" i="37"/>
  <c r="AA27" i="37" s="1"/>
  <c r="F13" i="39"/>
  <c r="AA13" i="39" s="1"/>
  <c r="J13" i="39"/>
  <c r="H13" i="39"/>
  <c r="U13" i="39" s="1"/>
  <c r="J36" i="37"/>
  <c r="J10" i="36"/>
  <c r="AC10" i="36" s="1"/>
  <c r="AB31" i="33"/>
  <c r="S44" i="34"/>
  <c r="F17" i="21"/>
  <c r="AA17" i="21" s="1"/>
  <c r="H17" i="21"/>
  <c r="AB17" i="21" s="1"/>
  <c r="F15" i="21"/>
  <c r="J41" i="39"/>
  <c r="W41" i="39" s="1"/>
  <c r="W44" i="39"/>
  <c r="G528" i="3"/>
  <c r="G564" i="3"/>
  <c r="BL568" i="3"/>
  <c r="BL530" i="3"/>
  <c r="BL562" i="3"/>
  <c r="G529" i="3"/>
  <c r="BA574" i="3"/>
  <c r="BA558" i="3"/>
  <c r="BA540" i="3"/>
  <c r="BA522" i="3"/>
  <c r="BA577" i="3"/>
  <c r="BA569" i="3"/>
  <c r="BA561" i="3"/>
  <c r="BA549" i="3"/>
  <c r="BA541" i="3"/>
  <c r="BA533" i="3"/>
  <c r="BA519" i="3"/>
  <c r="G581" i="3"/>
  <c r="G573" i="3"/>
  <c r="G565" i="3"/>
  <c r="BA557" i="3"/>
  <c r="AC557" i="3"/>
  <c r="BQ557" i="3"/>
  <c r="BL557" i="3" s="1"/>
  <c r="BQ583" i="3"/>
  <c r="BQ581" i="3"/>
  <c r="BQ579" i="3"/>
  <c r="BQ577" i="3"/>
  <c r="BL577" i="3" s="1"/>
  <c r="BQ575" i="3"/>
  <c r="BQ573" i="3"/>
  <c r="BL573" i="3" s="1"/>
  <c r="BQ571" i="3"/>
  <c r="BQ569" i="3"/>
  <c r="BL569" i="3" s="1"/>
  <c r="AZ569" i="3" s="1"/>
  <c r="BQ567" i="3"/>
  <c r="BQ565" i="3"/>
  <c r="BL565" i="3" s="1"/>
  <c r="BQ563" i="3"/>
  <c r="BQ561" i="3"/>
  <c r="BL561" i="3" s="1"/>
  <c r="BQ559" i="3"/>
  <c r="G559" i="3"/>
  <c r="G547" i="3"/>
  <c r="G53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L505" i="3" s="1"/>
  <c r="BQ503" i="3"/>
  <c r="BQ501" i="3"/>
  <c r="BQ5"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F22" i="36"/>
  <c r="S22" i="36" s="1"/>
  <c r="F26" i="36"/>
  <c r="S26" i="36" s="1"/>
  <c r="H35" i="34"/>
  <c r="U35" i="34" s="1"/>
  <c r="F41" i="34"/>
  <c r="S41" i="34" s="1"/>
  <c r="H41" i="34"/>
  <c r="U41" i="34" s="1"/>
  <c r="J41" i="34"/>
  <c r="AC41" i="34" s="1"/>
  <c r="F10" i="35"/>
  <c r="S10" i="35" s="1"/>
  <c r="F24" i="35"/>
  <c r="H24" i="35"/>
  <c r="AB24" i="35" s="1"/>
  <c r="H23" i="37"/>
  <c r="J32" i="37"/>
  <c r="AC32" i="37" s="1"/>
  <c r="F36" i="37"/>
  <c r="F37" i="37"/>
  <c r="AA37" i="37" s="1"/>
  <c r="F31" i="40"/>
  <c r="AA31" i="40" s="1"/>
  <c r="H31" i="40"/>
  <c r="H32" i="40"/>
  <c r="J36" i="40"/>
  <c r="W36" i="40" s="1"/>
  <c r="H19" i="37"/>
  <c r="J43" i="33"/>
  <c r="AC43" i="33" s="1"/>
  <c r="S28" i="31"/>
  <c r="S27" i="31"/>
  <c r="S26" i="31"/>
  <c r="U33" i="37"/>
  <c r="AB37" i="34"/>
  <c r="AA13" i="33"/>
  <c r="AC45" i="33"/>
  <c r="U19" i="21"/>
  <c r="W44" i="21"/>
  <c r="F43" i="33"/>
  <c r="AA43" i="33" s="1"/>
  <c r="AC15" i="34"/>
  <c r="W16" i="35"/>
  <c r="H37" i="21"/>
  <c r="U37" i="21" s="1"/>
  <c r="S42" i="21"/>
  <c r="H19" i="34"/>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19" i="40"/>
  <c r="S19" i="40" s="1"/>
  <c r="W23" i="39"/>
  <c r="AB44" i="39"/>
  <c r="U44" i="39"/>
  <c r="H37" i="39"/>
  <c r="AB37" i="39" s="1"/>
  <c r="AC37" i="39"/>
  <c r="W37" i="39"/>
  <c r="H25" i="39"/>
  <c r="U25" i="39" s="1"/>
  <c r="J25" i="39"/>
  <c r="W25" i="39" s="1"/>
  <c r="F25" i="39"/>
  <c r="AA25" i="39" s="1"/>
  <c r="F15" i="39"/>
  <c r="H15" i="39"/>
  <c r="U15" i="39" s="1"/>
  <c r="J15" i="39"/>
  <c r="W15" i="39" s="1"/>
  <c r="H41" i="39"/>
  <c r="U41" i="39" s="1"/>
  <c r="U40" i="39"/>
  <c r="S42" i="39"/>
  <c r="W9" i="39"/>
  <c r="W8" i="39"/>
  <c r="J19" i="40"/>
  <c r="J50" i="40"/>
  <c r="H103" i="9"/>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W35" i="40"/>
  <c r="A4" i="52"/>
  <c r="B41" i="72" s="1"/>
  <c r="J11" i="39"/>
  <c r="W11" i="39" s="1"/>
  <c r="F11" i="39"/>
  <c r="AA11" i="39" s="1"/>
  <c r="A12" i="52"/>
  <c r="B56" i="72" s="1"/>
  <c r="G4" i="4"/>
  <c r="I4" i="4"/>
  <c r="A2" i="9"/>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c r="BL148" i="3"/>
  <c r="G149" i="3"/>
  <c r="BA151" i="3"/>
  <c r="BL152" i="3"/>
  <c r="G153" i="3"/>
  <c r="BA155" i="3"/>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43"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G548" i="3"/>
  <c r="BG5" i="3"/>
  <c r="G17" i="3"/>
  <c r="BA17" i="3"/>
  <c r="BA15" i="3"/>
  <c r="BL493" i="3"/>
  <c r="U36" i="40"/>
  <c r="F36" i="43"/>
  <c r="F81" i="43"/>
  <c r="H113" i="43"/>
  <c r="I17" i="43"/>
  <c r="F6" i="1"/>
  <c r="G6" i="1" s="1"/>
  <c r="U43" i="21"/>
  <c r="G8" i="1"/>
  <c r="G10" i="1"/>
  <c r="W37" i="37"/>
  <c r="W44" i="34"/>
  <c r="S15" i="37"/>
  <c r="J37" i="33"/>
  <c r="W37" i="33" s="1"/>
  <c r="J34" i="33"/>
  <c r="W34" i="33" s="1"/>
  <c r="F33" i="34"/>
  <c r="AA33" i="34" s="1"/>
  <c r="J20" i="36"/>
  <c r="AB25" i="37"/>
  <c r="AC33" i="40"/>
  <c r="H35" i="40"/>
  <c r="AB35" i="40" s="1"/>
  <c r="AC29" i="35"/>
  <c r="H35" i="37"/>
  <c r="U35" i="37" s="1"/>
  <c r="H20" i="35"/>
  <c r="U20" i="35" s="1"/>
  <c r="F20" i="35"/>
  <c r="AB29" i="36"/>
  <c r="H32" i="37"/>
  <c r="AB32" i="37" s="1"/>
  <c r="J27" i="40"/>
  <c r="AC27" i="40" s="1"/>
  <c r="J30" i="40"/>
  <c r="F30" i="40"/>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37" i="3"/>
  <c r="F23" i="39"/>
  <c r="H33" i="34"/>
  <c r="F32" i="37"/>
  <c r="J33" i="34"/>
  <c r="AC33" i="34" s="1"/>
  <c r="H23" i="39"/>
  <c r="U23" i="39" s="1"/>
  <c r="D48" i="9"/>
  <c r="M52" i="9" s="1"/>
  <c r="K9" i="1"/>
  <c r="M9" i="1" s="1"/>
  <c r="AE9" i="1"/>
  <c r="D93" i="9"/>
  <c r="AC26" i="33"/>
  <c r="AC27" i="34"/>
  <c r="AC12" i="39"/>
  <c r="BL14" i="3"/>
  <c r="F12" i="33"/>
  <c r="AA12" i="33"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U35" i="40"/>
  <c r="S28" i="40"/>
  <c r="U37" i="39"/>
  <c r="F32" i="39"/>
  <c r="S32" i="39" s="1"/>
  <c r="F107" i="39"/>
  <c r="G107" i="39" s="1"/>
  <c r="H107" i="39" s="1"/>
  <c r="I107" i="39" s="1"/>
  <c r="J107" i="39" s="1"/>
  <c r="K107" i="39" s="1"/>
  <c r="L107" i="39" s="1"/>
  <c r="M107" i="39" s="1"/>
  <c r="J21" i="39"/>
  <c r="W21" i="39" s="1"/>
  <c r="F21" i="39"/>
  <c r="S21" i="39" s="1"/>
  <c r="G95" i="39"/>
  <c r="H21" i="39"/>
  <c r="U21" i="39" s="1"/>
  <c r="U19" i="39"/>
  <c r="S17" i="39"/>
  <c r="AC15" i="39"/>
  <c r="AB15" i="39"/>
  <c r="S9" i="39"/>
  <c r="S16" i="36"/>
  <c r="W24" i="35"/>
  <c r="U28" i="35"/>
  <c r="AB27" i="35"/>
  <c r="U36" i="35"/>
  <c r="U32" i="35"/>
  <c r="AC30" i="35"/>
  <c r="W32" i="35"/>
  <c r="AB16" i="35"/>
  <c r="U22" i="35"/>
  <c r="S22" i="35"/>
  <c r="U14" i="35"/>
  <c r="S8" i="35"/>
  <c r="W9" i="35"/>
  <c r="AC12" i="35"/>
  <c r="F9" i="35"/>
  <c r="H9" i="35"/>
  <c r="AB9" i="35" s="1"/>
  <c r="F26" i="35"/>
  <c r="J26" i="35"/>
  <c r="H26" i="35"/>
  <c r="AB26" i="35" s="1"/>
  <c r="AC29" i="37"/>
  <c r="U29" i="37"/>
  <c r="AB31" i="37"/>
  <c r="W30" i="37"/>
  <c r="AC35" i="37"/>
  <c r="S30" i="37"/>
  <c r="AC15" i="37"/>
  <c r="J17" i="37"/>
  <c r="W17" i="37"/>
  <c r="F17" i="37"/>
  <c r="AA17" i="37" s="1"/>
  <c r="F75" i="37"/>
  <c r="G75" i="37" s="1"/>
  <c r="F19" i="37"/>
  <c r="F79" i="37"/>
  <c r="G79" i="37" s="1"/>
  <c r="F23" i="37"/>
  <c r="S23" i="37"/>
  <c r="U15" i="37"/>
  <c r="AA13" i="37"/>
  <c r="H10" i="37"/>
  <c r="H60" i="37"/>
  <c r="F11" i="37"/>
  <c r="AB8" i="34"/>
  <c r="U43" i="34"/>
  <c r="W41" i="34"/>
  <c r="AC42" i="34"/>
  <c r="U39" i="34"/>
  <c r="W34" i="34"/>
  <c r="U28" i="34"/>
  <c r="AA29" i="34"/>
  <c r="S10" i="34"/>
  <c r="H67" i="34"/>
  <c r="I67" i="34" s="1"/>
  <c r="H10" i="34"/>
  <c r="U10" i="34" s="1"/>
  <c r="F11" i="34"/>
  <c r="S11" i="34" s="1"/>
  <c r="S27" i="33"/>
  <c r="S32" i="33"/>
  <c r="W38" i="33"/>
  <c r="H41" i="33"/>
  <c r="J35" i="33"/>
  <c r="AC35" i="33" s="1"/>
  <c r="J32" i="33"/>
  <c r="W32" i="33" s="1"/>
  <c r="H27" i="33"/>
  <c r="U27" i="33" s="1"/>
  <c r="J23" i="33"/>
  <c r="W23" i="33" s="1"/>
  <c r="H23" i="33"/>
  <c r="U23" i="33" s="1"/>
  <c r="F19" i="33"/>
  <c r="S19" i="33" s="1"/>
  <c r="J17" i="33"/>
  <c r="W17" i="33" s="1"/>
  <c r="I66" i="33"/>
  <c r="J10" i="33"/>
  <c r="W10" i="33" s="1"/>
  <c r="H10" i="33"/>
  <c r="U10" i="33" s="1"/>
  <c r="W43" i="21"/>
  <c r="W41" i="21"/>
  <c r="AA43" i="21"/>
  <c r="AA38" i="21"/>
  <c r="AA36" i="21"/>
  <c r="AC40" i="21"/>
  <c r="J15" i="21"/>
  <c r="W15" i="21" s="1"/>
  <c r="F23" i="21"/>
  <c r="E85" i="21"/>
  <c r="AC11" i="21"/>
  <c r="C18" i="9"/>
  <c r="D18" i="9" s="1"/>
  <c r="F34" i="67"/>
  <c r="F62" i="67"/>
  <c r="M20" i="67"/>
  <c r="F34" i="15"/>
  <c r="F62" i="15" s="1"/>
  <c r="G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9" i="43"/>
  <c r="E81" i="43"/>
  <c r="B79" i="43" s="1"/>
  <c r="E48" i="43"/>
  <c r="B46" i="43" s="1"/>
  <c r="E70" i="43"/>
  <c r="B68" i="43" s="1"/>
  <c r="C24" i="43" s="1"/>
  <c r="F100" i="43"/>
  <c r="H84" i="43"/>
  <c r="F34" i="43"/>
  <c r="N3" i="43"/>
  <c r="F59" i="43" s="1"/>
  <c r="N5" i="43"/>
  <c r="B19" i="53"/>
  <c r="B37" i="72" s="1"/>
  <c r="C7" i="39"/>
  <c r="C68" i="39" s="1"/>
  <c r="C7" i="35"/>
  <c r="C48" i="35" s="1"/>
  <c r="D48" i="35" s="1"/>
  <c r="C7" i="33"/>
  <c r="C7" i="21"/>
  <c r="C58" i="21" s="1"/>
  <c r="C7" i="40"/>
  <c r="C63" i="40" s="1"/>
  <c r="M47" i="9"/>
  <c r="G19" i="43"/>
  <c r="O19" i="43" s="1"/>
  <c r="T35" i="4"/>
  <c r="A19" i="51" s="1"/>
  <c r="B14" i="72" s="1"/>
  <c r="A4" i="51"/>
  <c r="B6" i="72" s="1"/>
  <c r="C4" i="12"/>
  <c r="L20" i="6"/>
  <c r="B6" i="1"/>
  <c r="E6" i="1" s="1"/>
  <c r="K11" i="1"/>
  <c r="AP6" i="1"/>
  <c r="B9" i="1"/>
  <c r="E9" i="1" s="1"/>
  <c r="G1" i="15"/>
  <c r="G1" i="69"/>
  <c r="G1" i="67"/>
  <c r="AB28" i="40"/>
  <c r="W34" i="40"/>
  <c r="W27" i="40"/>
  <c r="S33" i="40"/>
  <c r="S31" i="40"/>
  <c r="U8" i="40"/>
  <c r="S8" i="40"/>
  <c r="AA39" i="39"/>
  <c r="AC41" i="39"/>
  <c r="AB23" i="39"/>
  <c r="AC25" i="39"/>
  <c r="AB13" i="39"/>
  <c r="S13" i="39"/>
  <c r="U11" i="39"/>
  <c r="AA27" i="39"/>
  <c r="S27" i="39"/>
  <c r="W17" i="39"/>
  <c r="AB39" i="39"/>
  <c r="U38" i="39"/>
  <c r="S8" i="39"/>
  <c r="S28" i="36"/>
  <c r="W29" i="36"/>
  <c r="W22" i="36"/>
  <c r="W33" i="35"/>
  <c r="AA30" i="35"/>
  <c r="U36" i="37"/>
  <c r="AB37" i="37"/>
  <c r="AB35" i="37"/>
  <c r="AA31" i="37"/>
  <c r="AA8" i="37"/>
  <c r="U8" i="37"/>
  <c r="AA40" i="34"/>
  <c r="W19" i="34"/>
  <c r="W33" i="34"/>
  <c r="AC29" i="34"/>
  <c r="W29" i="34"/>
  <c r="S32" i="34"/>
  <c r="AA32" i="34"/>
  <c r="S37" i="34"/>
  <c r="U38" i="34"/>
  <c r="AC40" i="34"/>
  <c r="W40" i="34"/>
  <c r="AA19" i="34"/>
  <c r="AA36" i="34"/>
  <c r="S36" i="34"/>
  <c r="AA8" i="34"/>
  <c r="S8" i="34"/>
  <c r="AA46" i="34"/>
  <c r="AB32" i="34"/>
  <c r="AB14" i="34"/>
  <c r="W43" i="34"/>
  <c r="W23" i="34"/>
  <c r="U39" i="33"/>
  <c r="U38" i="33"/>
  <c r="AB34" i="33"/>
  <c r="S11" i="33"/>
  <c r="S44" i="21"/>
  <c r="AB42" i="21"/>
  <c r="U28" i="21"/>
  <c r="AA11" i="21"/>
  <c r="F33" i="21"/>
  <c r="J33" i="21"/>
  <c r="H33" i="21"/>
  <c r="F37" i="21"/>
  <c r="AA37" i="21" s="1"/>
  <c r="AA26" i="21"/>
  <c r="AB46" i="21"/>
  <c r="U40" i="21"/>
  <c r="AC15" i="21"/>
  <c r="W8" i="21"/>
  <c r="S35" i="21"/>
  <c r="J37" i="21"/>
  <c r="W37" i="21" s="1"/>
  <c r="H15" i="21"/>
  <c r="U15" i="21" s="1"/>
  <c r="J17" i="21"/>
  <c r="AC19" i="21"/>
  <c r="W39" i="21"/>
  <c r="S46" i="21"/>
  <c r="H32" i="21"/>
  <c r="AB32" i="21" s="1"/>
  <c r="J32" i="21"/>
  <c r="F32" i="21"/>
  <c r="AA32" i="21" s="1"/>
  <c r="K141" i="21"/>
  <c r="K144" i="21"/>
  <c r="K143" i="21"/>
  <c r="AB25" i="21"/>
  <c r="W42" i="21"/>
  <c r="F10" i="21"/>
  <c r="AA10" i="21" s="1"/>
  <c r="K145" i="21"/>
  <c r="W25" i="21"/>
  <c r="AC26" i="21"/>
  <c r="AC34" i="21"/>
  <c r="C19" i="39"/>
  <c r="C17" i="40"/>
  <c r="C23" i="40"/>
  <c r="C21" i="40"/>
  <c r="B54" i="43"/>
  <c r="B52" i="43"/>
  <c r="B56" i="43"/>
  <c r="B67" i="43"/>
  <c r="D23" i="15"/>
  <c r="D22" i="15"/>
  <c r="E4" i="4"/>
  <c r="B5" i="62" s="1"/>
  <c r="B73" i="72" s="1"/>
  <c r="C4" i="4"/>
  <c r="F30" i="11"/>
  <c r="F31" i="12"/>
  <c r="M18" i="67"/>
  <c r="F32" i="15"/>
  <c r="F60" i="15" s="1"/>
  <c r="F28" i="15"/>
  <c r="E7" i="70"/>
  <c r="F54" i="9"/>
  <c r="J32" i="39"/>
  <c r="H32" i="39"/>
  <c r="AB32" i="39" s="1"/>
  <c r="AA32" i="39"/>
  <c r="AB21" i="39"/>
  <c r="AA21" i="39"/>
  <c r="AC21" i="39"/>
  <c r="U9" i="35"/>
  <c r="U26" i="35"/>
  <c r="AC17" i="37"/>
  <c r="J19" i="37"/>
  <c r="W19" i="37" s="1"/>
  <c r="S19" i="37"/>
  <c r="AA19" i="37"/>
  <c r="AA23" i="37"/>
  <c r="J23" i="37"/>
  <c r="W23" i="37" s="1"/>
  <c r="J10" i="37"/>
  <c r="I60" i="37"/>
  <c r="H11" i="37"/>
  <c r="H11" i="34"/>
  <c r="J10" i="34"/>
  <c r="W10" i="34" s="1"/>
  <c r="AB41" i="33"/>
  <c r="U41" i="33"/>
  <c r="J27" i="33"/>
  <c r="W27" i="33" s="1"/>
  <c r="F23" i="33"/>
  <c r="S23" i="33" s="1"/>
  <c r="AA19" i="33"/>
  <c r="H19" i="33"/>
  <c r="U19" i="33" s="1"/>
  <c r="H17" i="33"/>
  <c r="F17" i="33"/>
  <c r="AA17" i="33" s="1"/>
  <c r="J23" i="21"/>
  <c r="AC23" i="21" s="1"/>
  <c r="F85" i="21"/>
  <c r="G85" i="21" s="1"/>
  <c r="H23" i="21"/>
  <c r="AB23" i="21" s="1"/>
  <c r="AP7" i="1"/>
  <c r="AC33" i="21"/>
  <c r="W33" i="21"/>
  <c r="S32" i="21"/>
  <c r="U32" i="21"/>
  <c r="A18" i="62"/>
  <c r="B64" i="72" s="1"/>
  <c r="AC23" i="37"/>
  <c r="J11" i="37"/>
  <c r="W11" i="37" s="1"/>
  <c r="J11" i="34"/>
  <c r="AC11" i="34" s="1"/>
  <c r="F34" i="11"/>
  <c r="F11" i="12"/>
  <c r="C23" i="12" s="1"/>
  <c r="F34" i="68"/>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E2" i="69"/>
  <c r="J15" i="15"/>
  <c r="F13" i="67"/>
  <c r="F8" i="15"/>
  <c r="F9" i="15"/>
  <c r="AO10" i="1"/>
  <c r="E2" i="68"/>
  <c r="C20" i="9"/>
  <c r="F5" i="73"/>
  <c r="D35" i="9"/>
  <c r="F6" i="73"/>
  <c r="AO13" i="1"/>
  <c r="D19" i="9"/>
  <c r="M28" i="15"/>
  <c r="F16" i="15"/>
  <c r="AO12" i="1"/>
  <c r="F37" i="15"/>
  <c r="D2" i="21"/>
  <c r="C76" i="15"/>
  <c r="F20" i="31"/>
  <c r="F3" i="73"/>
  <c r="F16" i="67"/>
  <c r="AO9" i="1"/>
  <c r="M9" i="15"/>
  <c r="D2" i="37"/>
  <c r="D2" i="36"/>
  <c r="M27" i="15"/>
  <c r="E13" i="76"/>
  <c r="E11" i="76"/>
  <c r="AO8" i="1"/>
  <c r="D3" i="73"/>
  <c r="M21" i="67"/>
  <c r="D2" i="33"/>
  <c r="F38" i="15"/>
  <c r="M26" i="67"/>
  <c r="D5" i="73"/>
  <c r="F26" i="15"/>
  <c r="B13" i="76"/>
  <c r="M6" i="67"/>
  <c r="B10" i="76"/>
  <c r="F37" i="67"/>
  <c r="D2" i="34"/>
  <c r="M24" i="67"/>
  <c r="E10" i="76"/>
  <c r="B12" i="76"/>
  <c r="D20" i="9"/>
  <c r="E12" i="76"/>
  <c r="D34" i="9"/>
  <c r="B9" i="76"/>
  <c r="M23" i="15"/>
  <c r="M6" i="15"/>
  <c r="AO11" i="1"/>
  <c r="C19" i="9"/>
  <c r="M8" i="15"/>
  <c r="E8" i="76"/>
  <c r="F7" i="73"/>
  <c r="E7" i="76"/>
  <c r="E9" i="76"/>
  <c r="F40" i="67"/>
  <c r="B8" i="76"/>
  <c r="F42" i="67"/>
  <c r="B11" i="76"/>
  <c r="AO7" i="1"/>
  <c r="F4" i="73"/>
  <c r="D2" i="35"/>
  <c r="B7" i="76"/>
  <c r="AA20" i="36" l="1"/>
  <c r="S20" i="36"/>
  <c r="D8" i="53"/>
  <c r="D120" i="9"/>
  <c r="AB19" i="37"/>
  <c r="U19" i="37"/>
  <c r="AA36" i="37"/>
  <c r="S36" i="37"/>
  <c r="S22" i="31"/>
  <c r="R22" i="31" s="1"/>
  <c r="S15" i="21"/>
  <c r="AA15" i="21"/>
  <c r="AA23" i="40"/>
  <c r="S23" i="40"/>
  <c r="W34" i="37"/>
  <c r="AC34" i="37"/>
  <c r="AA14" i="35"/>
  <c r="S14" i="35"/>
  <c r="U17" i="40"/>
  <c r="AB17" i="40"/>
  <c r="U37" i="40"/>
  <c r="AB37" i="40"/>
  <c r="U11" i="21"/>
  <c r="AB11" i="21"/>
  <c r="AC19" i="39"/>
  <c r="W19" i="39"/>
  <c r="U34" i="39"/>
  <c r="AB34" i="39"/>
  <c r="AB11" i="40"/>
  <c r="U11" i="40"/>
  <c r="BM5" i="3"/>
  <c r="AC8" i="33"/>
  <c r="W8" i="33"/>
  <c r="W23" i="21"/>
  <c r="U32" i="39"/>
  <c r="S10" i="21"/>
  <c r="U11" i="37"/>
  <c r="AB11" i="37"/>
  <c r="AC10" i="37"/>
  <c r="W10" i="37"/>
  <c r="S12" i="33"/>
  <c r="B49" i="43"/>
  <c r="W10" i="21"/>
  <c r="AC38" i="21"/>
  <c r="S33" i="21"/>
  <c r="AA33" i="21"/>
  <c r="AC35" i="34"/>
  <c r="S27" i="37"/>
  <c r="AB20" i="35"/>
  <c r="U15" i="40"/>
  <c r="W23" i="40"/>
  <c r="AB8" i="21"/>
  <c r="S11" i="37"/>
  <c r="AA11" i="37"/>
  <c r="U10" i="37"/>
  <c r="AB10" i="37"/>
  <c r="AA26" i="35"/>
  <c r="S26" i="35"/>
  <c r="AA9" i="35"/>
  <c r="S9" i="35"/>
  <c r="AB10" i="35"/>
  <c r="S29" i="36"/>
  <c r="AC17" i="40"/>
  <c r="AC30" i="40"/>
  <c r="W30" i="40"/>
  <c r="AC12" i="36"/>
  <c r="AZ334" i="3"/>
  <c r="AZ389" i="3"/>
  <c r="W27" i="39"/>
  <c r="U31" i="40"/>
  <c r="AB31" i="40"/>
  <c r="BL531" i="3"/>
  <c r="BL535" i="3"/>
  <c r="BL539" i="3"/>
  <c r="BL543" i="3"/>
  <c r="BL547" i="3"/>
  <c r="BL551" i="3"/>
  <c r="BL555" i="3"/>
  <c r="S14" i="21"/>
  <c r="AA14" i="21"/>
  <c r="W10" i="35"/>
  <c r="AC10" i="35"/>
  <c r="AA17" i="34"/>
  <c r="S17" i="34"/>
  <c r="AA23" i="34"/>
  <c r="S23" i="34"/>
  <c r="AC25" i="34"/>
  <c r="W25" i="34"/>
  <c r="U17" i="33"/>
  <c r="AB17" i="33"/>
  <c r="AC19" i="40"/>
  <c r="W19" i="40"/>
  <c r="AB19" i="34"/>
  <c r="U19" i="34"/>
  <c r="AB23" i="37"/>
  <c r="U23" i="37"/>
  <c r="AA24" i="35"/>
  <c r="S24" i="35"/>
  <c r="AC36" i="37"/>
  <c r="W36" i="37"/>
  <c r="W13" i="39"/>
  <c r="AC13" i="39"/>
  <c r="AA13" i="40"/>
  <c r="S13" i="40"/>
  <c r="AB30" i="35"/>
  <c r="U30" i="35"/>
  <c r="W11" i="40"/>
  <c r="AC11" i="40"/>
  <c r="AC34" i="39"/>
  <c r="W34" i="39"/>
  <c r="AB34" i="21"/>
  <c r="U34" i="21"/>
  <c r="W35" i="21"/>
  <c r="AC35" i="21"/>
  <c r="J27" i="21"/>
  <c r="W27" i="21" s="1"/>
  <c r="H27" i="21"/>
  <c r="AB27" i="21" s="1"/>
  <c r="AB31" i="21"/>
  <c r="U31" i="21"/>
  <c r="W45" i="21"/>
  <c r="AC45" i="21"/>
  <c r="B74" i="43"/>
  <c r="B65" i="43"/>
  <c r="F9" i="21"/>
  <c r="J9" i="21"/>
  <c r="E62" i="36"/>
  <c r="F62" i="36" s="1"/>
  <c r="G62" i="36" s="1"/>
  <c r="J14" i="36"/>
  <c r="AC14" i="36" s="1"/>
  <c r="F68" i="36"/>
  <c r="G68" i="36" s="1"/>
  <c r="H20" i="36"/>
  <c r="U20" i="36" s="1"/>
  <c r="J24" i="36"/>
  <c r="F24" i="36"/>
  <c r="AA24" i="36" s="1"/>
  <c r="H24" i="36"/>
  <c r="H33" i="36"/>
  <c r="F33" i="36"/>
  <c r="AA33" i="36" s="1"/>
  <c r="AB31" i="36"/>
  <c r="U31" i="36"/>
  <c r="W8" i="37"/>
  <c r="AC8" i="37"/>
  <c r="AA10" i="37"/>
  <c r="S10" i="37"/>
  <c r="J13" i="40"/>
  <c r="W13" i="40" s="1"/>
  <c r="H13" i="40"/>
  <c r="H27" i="40"/>
  <c r="F27" i="40"/>
  <c r="AC28" i="40"/>
  <c r="W28" i="40"/>
  <c r="J32" i="40"/>
  <c r="F32" i="40"/>
  <c r="S32" i="40" s="1"/>
  <c r="S39" i="40"/>
  <c r="AA39" i="40"/>
  <c r="S40" i="33"/>
  <c r="AA40" i="33"/>
  <c r="U42" i="34"/>
  <c r="AB42" i="34"/>
  <c r="S34" i="37"/>
  <c r="AA34" i="37"/>
  <c r="BL581" i="3"/>
  <c r="AZ581" i="3" s="1"/>
  <c r="BA581" i="3"/>
  <c r="BL580" i="3"/>
  <c r="BA580" i="3"/>
  <c r="BL579" i="3"/>
  <c r="BA579" i="3"/>
  <c r="BA578" i="3"/>
  <c r="BL576" i="3"/>
  <c r="BA576" i="3"/>
  <c r="BA575" i="3"/>
  <c r="BL574" i="3"/>
  <c r="BL572" i="3"/>
  <c r="BA572" i="3"/>
  <c r="AZ572" i="3" s="1"/>
  <c r="BA571" i="3"/>
  <c r="BL570" i="3"/>
  <c r="BA570" i="3"/>
  <c r="BA568" i="3"/>
  <c r="BA567" i="3"/>
  <c r="BL566" i="3"/>
  <c r="BL564" i="3"/>
  <c r="BA564" i="3"/>
  <c r="AZ564" i="3" s="1"/>
  <c r="BA563" i="3"/>
  <c r="BA562" i="3"/>
  <c r="BL560" i="3"/>
  <c r="BA560" i="3"/>
  <c r="BA559" i="3"/>
  <c r="BL558" i="3"/>
  <c r="BL556" i="3"/>
  <c r="BA556" i="3"/>
  <c r="AZ556" i="3" s="1"/>
  <c r="BL554" i="3"/>
  <c r="BA554" i="3"/>
  <c r="BA553" i="3"/>
  <c r="BL552" i="3"/>
  <c r="BA552" i="3"/>
  <c r="BL549" i="3"/>
  <c r="BA547" i="3"/>
  <c r="BA546" i="3"/>
  <c r="AZ546" i="3" s="1"/>
  <c r="BL544" i="3"/>
  <c r="BA544" i="3"/>
  <c r="BA543" i="3"/>
  <c r="BL542" i="3"/>
  <c r="BA542" i="3"/>
  <c r="BA539" i="3"/>
  <c r="BL538" i="3"/>
  <c r="BA538" i="3"/>
  <c r="BL536" i="3"/>
  <c r="BA536" i="3"/>
  <c r="BA535" i="3"/>
  <c r="BL534" i="3"/>
  <c r="BA534" i="3"/>
  <c r="BL532" i="3"/>
  <c r="AZ532" i="3" s="1"/>
  <c r="BA531" i="3"/>
  <c r="BA530" i="3"/>
  <c r="BL528" i="3"/>
  <c r="BA528" i="3"/>
  <c r="AZ528" i="3" s="1"/>
  <c r="BA527" i="3"/>
  <c r="BL526" i="3"/>
  <c r="BA526" i="3"/>
  <c r="BL522" i="3"/>
  <c r="BA516" i="3"/>
  <c r="BA511" i="3"/>
  <c r="BL510" i="3"/>
  <c r="BA510" i="3"/>
  <c r="AZ510" i="3" s="1"/>
  <c r="BL508" i="3"/>
  <c r="BA504" i="3"/>
  <c r="BL502" i="3"/>
  <c r="BK5" i="3"/>
  <c r="BH5" i="3"/>
  <c r="BA493" i="3"/>
  <c r="AZ371" i="3"/>
  <c r="AZ351" i="3"/>
  <c r="AZ344" i="3"/>
  <c r="BL503" i="3"/>
  <c r="BL507" i="3"/>
  <c r="BL527" i="3"/>
  <c r="BL533" i="3"/>
  <c r="BL537" i="3"/>
  <c r="BL541" i="3"/>
  <c r="AZ541" i="3" s="1"/>
  <c r="BL545" i="3"/>
  <c r="BL553" i="3"/>
  <c r="BL559" i="3"/>
  <c r="BL563" i="3"/>
  <c r="BL567" i="3"/>
  <c r="BL571" i="3"/>
  <c r="BL575" i="3"/>
  <c r="AZ575" i="3" s="1"/>
  <c r="G557" i="3"/>
  <c r="E81" i="33"/>
  <c r="F81" i="33" s="1"/>
  <c r="G81" i="33" s="1"/>
  <c r="J19" i="33"/>
  <c r="F28" i="33"/>
  <c r="H28" i="33"/>
  <c r="H31" i="34"/>
  <c r="F31" i="34"/>
  <c r="F25" i="35"/>
  <c r="H25" i="35"/>
  <c r="AB25" i="35" s="1"/>
  <c r="J35" i="35"/>
  <c r="H35" i="35"/>
  <c r="AC8" i="36"/>
  <c r="W8" i="36"/>
  <c r="G9" i="1"/>
  <c r="G400" i="3"/>
  <c r="G402" i="3"/>
  <c r="G406" i="3"/>
  <c r="G420" i="3"/>
  <c r="BL423" i="3"/>
  <c r="G428" i="3"/>
  <c r="G434" i="3"/>
  <c r="G440" i="3"/>
  <c r="BA455" i="3"/>
  <c r="BA469" i="3"/>
  <c r="G470" i="3"/>
  <c r="BA473" i="3"/>
  <c r="G476" i="3"/>
  <c r="BA477" i="3"/>
  <c r="BL477" i="3"/>
  <c r="G478" i="3"/>
  <c r="BL479" i="3"/>
  <c r="BL480" i="3"/>
  <c r="G481" i="3"/>
  <c r="BA482" i="3"/>
  <c r="G483" i="3"/>
  <c r="BA483" i="3"/>
  <c r="BA316" i="3"/>
  <c r="G323" i="3"/>
  <c r="G339" i="3"/>
  <c r="BA339" i="3"/>
  <c r="AZ339" i="3" s="1"/>
  <c r="G343" i="3"/>
  <c r="G351" i="3"/>
  <c r="G221" i="3"/>
  <c r="BL230" i="3"/>
  <c r="G233" i="3"/>
  <c r="G241" i="3"/>
  <c r="G251" i="3"/>
  <c r="G259" i="3"/>
  <c r="G261" i="3"/>
  <c r="BA270" i="3"/>
  <c r="G273" i="3"/>
  <c r="BL280" i="3"/>
  <c r="G287" i="3"/>
  <c r="G289" i="3"/>
  <c r="BL294" i="3"/>
  <c r="G297" i="3"/>
  <c r="BA114" i="3"/>
  <c r="G119" i="3"/>
  <c r="BL122" i="3"/>
  <c r="BA128" i="3"/>
  <c r="AZ128" i="3" s="1"/>
  <c r="BL130" i="3"/>
  <c r="BA144" i="3"/>
  <c r="AZ144" i="3" s="1"/>
  <c r="BL146" i="3"/>
  <c r="G192" i="3"/>
  <c r="G198" i="3"/>
  <c r="BL205" i="3"/>
  <c r="G206" i="3"/>
  <c r="BA207" i="3"/>
  <c r="AZ207" i="3" s="1"/>
  <c r="BL207" i="3"/>
  <c r="G18" i="3"/>
  <c r="BA19" i="3"/>
  <c r="G24" i="3"/>
  <c r="BA24" i="3"/>
  <c r="BA70" i="3"/>
  <c r="G81" i="3"/>
  <c r="G91" i="3"/>
  <c r="U25" i="40"/>
  <c r="D71" i="71"/>
  <c r="X5" i="71"/>
  <c r="AA5" i="71"/>
  <c r="K56" i="9"/>
  <c r="F14" i="36"/>
  <c r="S14" i="36" s="1"/>
  <c r="H14" i="36"/>
  <c r="U14" i="36" s="1"/>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30" i="69"/>
  <c r="F52" i="9"/>
  <c r="F28" i="67"/>
  <c r="U30" i="40"/>
  <c r="AB36" i="21"/>
  <c r="AC27" i="21"/>
  <c r="S19" i="21"/>
  <c r="U17" i="21"/>
  <c r="F13" i="21"/>
  <c r="AA13" i="21" s="1"/>
  <c r="H45" i="21"/>
  <c r="S31" i="33"/>
  <c r="AA11" i="34"/>
  <c r="AC32" i="34"/>
  <c r="U25" i="34"/>
  <c r="AA35" i="37"/>
  <c r="U24" i="35"/>
  <c r="U25" i="35"/>
  <c r="AB41" i="39"/>
  <c r="U42" i="39"/>
  <c r="W37" i="40"/>
  <c r="U32" i="37"/>
  <c r="S28" i="35"/>
  <c r="S32" i="35"/>
  <c r="U22" i="36"/>
  <c r="AA26" i="36"/>
  <c r="AC15" i="40"/>
  <c r="F27" i="36"/>
  <c r="AA27" i="36" s="1"/>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H16" i="36"/>
  <c r="W31" i="36"/>
  <c r="J29" i="33"/>
  <c r="AC29" i="33" s="1"/>
  <c r="F29" i="33"/>
  <c r="H45" i="33"/>
  <c r="AB45" i="33" s="1"/>
  <c r="F45" i="33"/>
  <c r="AA45" i="33" s="1"/>
  <c r="F12" i="34"/>
  <c r="H12" i="34"/>
  <c r="H30" i="34"/>
  <c r="J30" i="34"/>
  <c r="H46" i="34"/>
  <c r="J46" i="34"/>
  <c r="AB9" i="36"/>
  <c r="U9" i="36"/>
  <c r="AA10" i="36"/>
  <c r="S10" i="36"/>
  <c r="J16" i="36"/>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F32" i="36"/>
  <c r="J32" i="36"/>
  <c r="W32" i="36" s="1"/>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AB28" i="36"/>
  <c r="U26" i="36"/>
  <c r="AB20" i="36"/>
  <c r="AA22" i="36"/>
  <c r="U18" i="36"/>
  <c r="W14" i="36"/>
  <c r="AB14" i="36"/>
  <c r="E17" i="43"/>
  <c r="N17" i="43"/>
  <c r="N7" i="43"/>
  <c r="N9" i="43"/>
  <c r="N11" i="43"/>
  <c r="F38" i="43"/>
  <c r="N6" i="43"/>
  <c r="F33" i="43"/>
  <c r="H17" i="43"/>
  <c r="M1" i="43"/>
  <c r="J17" i="43"/>
  <c r="D17" i="43"/>
  <c r="F48" i="43"/>
  <c r="H54" i="43" s="1"/>
  <c r="C48" i="68"/>
  <c r="T9" i="1"/>
  <c r="W33" i="3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AZ13" i="3" s="1"/>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I3" i="80"/>
  <c r="B14" i="74" s="1"/>
  <c r="F70" i="43"/>
  <c r="H77" i="43" s="1"/>
  <c r="AB27" i="36"/>
  <c r="C24" i="12"/>
  <c r="C28" i="67"/>
  <c r="C13" i="12"/>
  <c r="C36" i="11"/>
  <c r="C28" i="15"/>
  <c r="G7" i="36"/>
  <c r="I7" i="36"/>
  <c r="E7" i="36"/>
  <c r="H62" i="43"/>
  <c r="H66" i="43"/>
  <c r="H59" i="43"/>
  <c r="H64" i="43"/>
  <c r="H61" i="43"/>
  <c r="M11" i="43"/>
  <c r="M17" i="43"/>
  <c r="L17" i="43"/>
  <c r="H74" i="43"/>
  <c r="H60" i="43"/>
  <c r="H67" i="43"/>
  <c r="H63" i="43"/>
  <c r="H65" i="43"/>
  <c r="F37" i="43"/>
  <c r="K17" i="43"/>
  <c r="C17" i="43"/>
  <c r="F35" i="43"/>
  <c r="F39" i="43"/>
  <c r="G7" i="1"/>
  <c r="G11" i="1"/>
  <c r="A118" i="9"/>
  <c r="I5" i="77"/>
  <c r="AQ9" i="1"/>
  <c r="S33" i="33"/>
  <c r="L27" i="6"/>
  <c r="S4" i="43"/>
  <c r="C23"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BL513" i="3"/>
  <c r="BA513" i="3"/>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E101" i="43"/>
  <c r="E102" i="43" s="1"/>
  <c r="AZ17" i="3"/>
  <c r="S8" i="21"/>
  <c r="S39" i="21"/>
  <c r="AB39" i="21"/>
  <c r="W36" i="21"/>
  <c r="W43" i="33"/>
  <c r="AC13" i="37"/>
  <c r="AB17" i="37"/>
  <c r="S37" i="37"/>
  <c r="W27" i="37"/>
  <c r="AA33" i="35"/>
  <c r="AB13" i="35"/>
  <c r="W10" i="36"/>
  <c r="AC26" i="36"/>
  <c r="AA34" i="36"/>
  <c r="S27" i="36"/>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A18" i="36"/>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C92" i="9"/>
  <c r="C94" i="9"/>
  <c r="C31" i="12"/>
  <c r="C21" i="69"/>
  <c r="D22" i="67"/>
  <c r="D3" i="79"/>
  <c r="AR13" i="1"/>
  <c r="T13" i="1"/>
  <c r="AQ10" i="1"/>
  <c r="T10" i="1"/>
  <c r="AR12" i="1"/>
  <c r="T12" i="1"/>
  <c r="G29" i="6"/>
  <c r="AH11" i="43"/>
  <c r="AH13" i="43" s="1"/>
  <c r="N101" i="43"/>
  <c r="O8" i="1"/>
  <c r="P8" i="1" s="1"/>
  <c r="P6" i="1"/>
  <c r="O11" i="1"/>
  <c r="P11" i="1" s="1"/>
  <c r="O9" i="1"/>
  <c r="P7" i="1"/>
  <c r="AB36" i="33"/>
  <c r="U8" i="33"/>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J20" i="67"/>
  <c r="B12" i="70"/>
  <c r="F51" i="15"/>
  <c r="B7" i="70"/>
  <c r="B11" i="70"/>
  <c r="B8" i="70"/>
  <c r="F66" i="15"/>
  <c r="F70" i="67"/>
  <c r="D103" i="9"/>
  <c r="C27" i="15"/>
  <c r="F65" i="15"/>
  <c r="B9" i="70"/>
  <c r="G20" i="9"/>
  <c r="C103" i="9"/>
  <c r="B13" i="70"/>
  <c r="F68" i="67"/>
  <c r="D7" i="73"/>
  <c r="F26" i="67"/>
  <c r="C76" i="67"/>
  <c r="M8" i="67"/>
  <c r="M26" i="15"/>
  <c r="F13" i="15"/>
  <c r="F41" i="67"/>
  <c r="J15" i="67"/>
  <c r="L48" i="67"/>
  <c r="D9" i="68"/>
  <c r="D4" i="73"/>
  <c r="M22" i="15"/>
  <c r="M29" i="15"/>
  <c r="D9" i="69"/>
  <c r="F43" i="15"/>
  <c r="F8" i="67"/>
  <c r="M22" i="67"/>
  <c r="F6" i="67"/>
  <c r="M9" i="67"/>
  <c r="F38" i="67"/>
  <c r="M28" i="67"/>
  <c r="D6" i="73"/>
  <c r="M29" i="67"/>
  <c r="M23" i="67"/>
  <c r="F9" i="67"/>
  <c r="C36" i="68"/>
  <c r="M27" i="67"/>
  <c r="C36" i="69"/>
  <c r="F43" i="67"/>
  <c r="L47" i="67"/>
  <c r="F36" i="15"/>
  <c r="F7" i="67"/>
  <c r="G1" i="73"/>
  <c r="F40" i="15"/>
  <c r="L48" i="15"/>
  <c r="F42" i="15"/>
  <c r="L47" i="15"/>
  <c r="F35" i="67"/>
  <c r="F7" i="15"/>
  <c r="F36" i="67"/>
  <c r="M24" i="15"/>
  <c r="AB35" i="35" l="1"/>
  <c r="U35" i="35"/>
  <c r="S31" i="34"/>
  <c r="AA31" i="34"/>
  <c r="U28" i="33"/>
  <c r="AB28" i="33"/>
  <c r="AC19" i="33"/>
  <c r="W19" i="33"/>
  <c r="AZ542" i="3"/>
  <c r="AZ563" i="3"/>
  <c r="AZ580" i="3"/>
  <c r="U13" i="40"/>
  <c r="AB13" i="40"/>
  <c r="AB24" i="36"/>
  <c r="U24" i="36"/>
  <c r="AA9" i="21"/>
  <c r="S9" i="21"/>
  <c r="AZ543" i="3"/>
  <c r="AZ535" i="3"/>
  <c r="AZ32" i="3"/>
  <c r="AZ513" i="3"/>
  <c r="AZ514" i="3"/>
  <c r="AC35" i="35"/>
  <c r="W35" i="35"/>
  <c r="S25" i="35"/>
  <c r="AA25" i="35"/>
  <c r="AB33" i="36"/>
  <c r="U33" i="36"/>
  <c r="W9" i="21"/>
  <c r="AC9" i="21"/>
  <c r="AZ531" i="3"/>
  <c r="D121" i="9"/>
  <c r="D7" i="52" s="1"/>
  <c r="D6" i="52"/>
  <c r="C9" i="69"/>
  <c r="C9" i="68"/>
  <c r="C21" i="71"/>
  <c r="D22" i="71"/>
  <c r="S37" i="33"/>
  <c r="AA37" i="33"/>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S32" i="36"/>
  <c r="AA32" i="36"/>
  <c r="W16" i="36"/>
  <c r="AC16" i="36"/>
  <c r="U46" i="34"/>
  <c r="AB46" i="34"/>
  <c r="AB30" i="34"/>
  <c r="U30" i="34"/>
  <c r="S12" i="34"/>
  <c r="AA12" i="34"/>
  <c r="AB16" i="36"/>
  <c r="U16" i="36"/>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E106" i="43"/>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E109"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C34" i="67"/>
  <c r="F63" i="67"/>
  <c r="C62" i="67" s="1"/>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I3" i="83"/>
  <c r="M6" i="1"/>
  <c r="C11" i="80"/>
  <c r="C8" i="80"/>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2" i="43"/>
  <c r="L104" i="43"/>
  <c r="L107"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3" i="71"/>
  <c r="D73" i="71" s="1"/>
  <c r="D74" i="71"/>
  <c r="I21" i="66"/>
  <c r="D1" i="66" s="1"/>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AB23" i="36"/>
  <c r="U23" i="36"/>
  <c r="L59" i="15"/>
  <c r="Q61" i="15" s="1"/>
  <c r="AC23" i="36"/>
  <c r="W23" i="36"/>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2" i="43"/>
  <c r="H104" i="43"/>
  <c r="H107" i="43"/>
  <c r="H109" i="43"/>
  <c r="K14" i="1"/>
  <c r="N102" i="43"/>
  <c r="N105" i="43"/>
  <c r="N107" i="43"/>
  <c r="N109" i="43"/>
  <c r="N103" i="43"/>
  <c r="N104" i="43"/>
  <c r="N106" i="43"/>
  <c r="C107" i="43"/>
  <c r="C102" i="43"/>
  <c r="C104" i="43"/>
  <c r="C105" i="43"/>
  <c r="K102" i="43"/>
  <c r="K109" i="43"/>
  <c r="K104" i="43"/>
  <c r="G107" i="43"/>
  <c r="G105" i="43"/>
  <c r="G106" i="43"/>
  <c r="G102" i="43"/>
  <c r="J102" i="43"/>
  <c r="J109" i="43"/>
  <c r="J105" i="43"/>
  <c r="E29" i="6"/>
  <c r="G30" i="6"/>
  <c r="G31" i="6" s="1"/>
  <c r="P9" i="1"/>
  <c r="J10" i="40"/>
  <c r="AC10" i="40" s="1"/>
  <c r="F10" i="40"/>
  <c r="S10" i="40" s="1"/>
  <c r="H10" i="40"/>
  <c r="AB10" i="40" s="1"/>
  <c r="F59" i="67"/>
  <c r="H7" i="37"/>
  <c r="AB7" i="37" s="1"/>
  <c r="T42" i="37" s="1"/>
  <c r="G42" i="37" s="1"/>
  <c r="B40" i="1"/>
  <c r="I18" i="83" s="1"/>
  <c r="S10" i="39"/>
  <c r="H7" i="33"/>
  <c r="J7" i="33"/>
  <c r="D65" i="40"/>
  <c r="E63" i="40"/>
  <c r="F48" i="35"/>
  <c r="S7" i="36"/>
  <c r="AA7" i="36"/>
  <c r="AC7" i="37"/>
  <c r="V42" i="37" s="1"/>
  <c r="I42" i="37" s="1"/>
  <c r="W7" i="37"/>
  <c r="AB7" i="36"/>
  <c r="T36" i="36" s="1"/>
  <c r="G36" i="36" s="1"/>
  <c r="U7" i="36"/>
  <c r="AB7" i="34"/>
  <c r="T49" i="34" s="1"/>
  <c r="G49" i="34" s="1"/>
  <c r="F7" i="33"/>
  <c r="E58" i="21"/>
  <c r="AC7" i="36"/>
  <c r="V36" i="36" s="1"/>
  <c r="I36" i="36" s="1"/>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67"/>
  <c r="C17" i="67"/>
  <c r="C14" i="67"/>
  <c r="C16" i="15"/>
  <c r="R36" i="36" l="1"/>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29" i="67" s="1"/>
  <c r="C15" i="67"/>
  <c r="C18" i="67"/>
  <c r="J7" i="84"/>
  <c r="F7" i="85"/>
  <c r="H7" i="85"/>
  <c r="E41" i="43"/>
  <c r="C41" i="43" s="1"/>
  <c r="C20" i="43"/>
  <c r="T11" i="43" s="1"/>
  <c r="V11" i="43" s="1"/>
  <c r="F7" i="84"/>
  <c r="H7" i="84"/>
  <c r="D65" i="71"/>
  <c r="O65" i="71"/>
  <c r="O64" i="71"/>
  <c r="W7" i="85"/>
  <c r="AC7" i="85"/>
  <c r="V48" i="85" s="1"/>
  <c r="I48" i="85" s="1"/>
  <c r="O6" i="1"/>
  <c r="C8" i="83"/>
  <c r="C11" i="83"/>
  <c r="C9" i="80"/>
  <c r="C13" i="80" s="1"/>
  <c r="C10" i="80"/>
  <c r="C12" i="80"/>
  <c r="D5" i="43"/>
  <c r="C18" i="83"/>
  <c r="E16" i="83" s="1"/>
  <c r="E251" i="3"/>
  <c r="E42" i="3"/>
  <c r="E496" i="3"/>
  <c r="E552" i="3"/>
  <c r="E270" i="3"/>
  <c r="E324" i="3"/>
  <c r="E348" i="3"/>
  <c r="E525" i="3"/>
  <c r="E194" i="3"/>
  <c r="E407" i="3"/>
  <c r="E57" i="40"/>
  <c r="E64" i="39"/>
  <c r="AA7" i="34"/>
  <c r="R49" i="34" s="1"/>
  <c r="R50"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AC6"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I18" i="77"/>
  <c r="C18" i="77" s="1"/>
  <c r="E16" i="77" s="1"/>
  <c r="I18" i="80"/>
  <c r="C18" i="80" s="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W10" i="40"/>
  <c r="M14" i="1"/>
  <c r="K15" i="1"/>
  <c r="K16" i="1" s="1"/>
  <c r="E30" i="6"/>
  <c r="U10" i="39"/>
  <c r="AC10" i="39"/>
  <c r="I53" i="34"/>
  <c r="J53" i="34" s="1"/>
  <c r="F58" i="21"/>
  <c r="R37" i="36"/>
  <c r="E36" i="36"/>
  <c r="F63" i="40"/>
  <c r="E65" i="40"/>
  <c r="W7" i="33"/>
  <c r="AC7" i="33"/>
  <c r="AA7" i="37"/>
  <c r="R42" i="37" s="1"/>
  <c r="S7" i="37"/>
  <c r="I40" i="36"/>
  <c r="J40" i="36" s="1"/>
  <c r="S7" i="33"/>
  <c r="AA7" i="33"/>
  <c r="E49" i="34"/>
  <c r="G53" i="34"/>
  <c r="H53" i="34" s="1"/>
  <c r="G54" i="34"/>
  <c r="H54" i="34" s="1"/>
  <c r="G40" i="36"/>
  <c r="H40" i="36" s="1"/>
  <c r="G41" i="36"/>
  <c r="H41" i="36" s="1"/>
  <c r="G46" i="37"/>
  <c r="H46" i="37" s="1"/>
  <c r="G47" i="37"/>
  <c r="H47" i="37" s="1"/>
  <c r="I46" i="37"/>
  <c r="J46" i="37" s="1"/>
  <c r="G48" i="35"/>
  <c r="U7" i="33"/>
  <c r="AB7" i="33"/>
  <c r="C53" i="67"/>
  <c r="C10" i="67"/>
  <c r="C5" i="67" s="1"/>
  <c r="C53" i="15"/>
  <c r="C48" i="15" s="1"/>
  <c r="F25" i="12"/>
  <c r="F22" i="69"/>
  <c r="F41" i="69" s="1"/>
  <c r="F24" i="67"/>
  <c r="C24" i="67" s="1"/>
  <c r="F22" i="11"/>
  <c r="F22" i="68"/>
  <c r="F24" i="15"/>
  <c r="C24" i="15" s="1"/>
  <c r="C35" i="9"/>
  <c r="F27" i="69"/>
  <c r="F27" i="68"/>
  <c r="AE6" i="1"/>
  <c r="T4" i="43" l="1"/>
  <c r="V4" i="43" s="1"/>
  <c r="C36" i="43"/>
  <c r="E36" i="43" s="1"/>
  <c r="D20" i="71"/>
  <c r="C19" i="71"/>
  <c r="C37" i="43"/>
  <c r="T16" i="43"/>
  <c r="V16" i="43" s="1"/>
  <c r="J24" i="67"/>
  <c r="C48" i="67"/>
  <c r="C66" i="67" s="1"/>
  <c r="J24" i="15"/>
  <c r="C19" i="67"/>
  <c r="C20" i="67" s="1"/>
  <c r="C26" i="67" s="1"/>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14" i="80"/>
  <c r="C20" i="80" s="1"/>
  <c r="C19" i="80" s="1"/>
  <c r="C35" i="43"/>
  <c r="C34" i="43"/>
  <c r="C38" i="43"/>
  <c r="C39" i="43"/>
  <c r="E66" i="39"/>
  <c r="E27" i="6"/>
  <c r="E37" i="43"/>
  <c r="G37" i="43"/>
  <c r="I37" i="43" s="1"/>
  <c r="G36" i="43"/>
  <c r="I36" i="43" s="1"/>
  <c r="C17" i="77"/>
  <c r="C23" i="77" s="1"/>
  <c r="E16" i="80"/>
  <c r="T35" i="71"/>
  <c r="D35" i="71"/>
  <c r="T48" i="33"/>
  <c r="G48" i="33" s="1"/>
  <c r="G52" i="33" s="1"/>
  <c r="H52" i="33" s="1"/>
  <c r="B14" i="71"/>
  <c r="B13" i="71" s="1"/>
  <c r="B12" i="71" s="1"/>
  <c r="B11" i="71" s="1"/>
  <c r="S15" i="71"/>
  <c r="F45" i="69"/>
  <c r="C29" i="69"/>
  <c r="D27" i="69" s="1"/>
  <c r="C47" i="69"/>
  <c r="D45" i="69" s="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V48" i="33" s="1"/>
  <c r="I48" i="33" s="1"/>
  <c r="W25" i="33"/>
  <c r="AA25" i="33"/>
  <c r="R48" i="33" s="1"/>
  <c r="S25" i="33"/>
  <c r="R49" i="79"/>
  <c r="G53" i="79"/>
  <c r="H53" i="79" s="1"/>
  <c r="F70" i="39"/>
  <c r="G68" i="39"/>
  <c r="I53" i="79"/>
  <c r="J53" i="79" s="1"/>
  <c r="E52" i="79"/>
  <c r="F52" i="79" s="1"/>
  <c r="E53" i="79"/>
  <c r="F53" i="79" s="1"/>
  <c r="O14" i="1"/>
  <c r="M16" i="1"/>
  <c r="N16" i="1" s="1"/>
  <c r="E54" i="34"/>
  <c r="F54" i="34" s="1"/>
  <c r="E53" i="34"/>
  <c r="F53" i="34" s="1"/>
  <c r="E40" i="36"/>
  <c r="F40" i="36" s="1"/>
  <c r="E41" i="36"/>
  <c r="F41" i="36" s="1"/>
  <c r="I54" i="34"/>
  <c r="J54" i="34" s="1"/>
  <c r="H48" i="35"/>
  <c r="C49" i="34"/>
  <c r="C50" i="34"/>
  <c r="I41" i="36"/>
  <c r="J41" i="36" s="1"/>
  <c r="R43" i="37"/>
  <c r="E42" i="37"/>
  <c r="G63" i="40"/>
  <c r="F65" i="40"/>
  <c r="C37" i="36"/>
  <c r="B2" i="36" s="1"/>
  <c r="B3" i="36" s="1"/>
  <c r="C36" i="36"/>
  <c r="D35" i="80" s="1"/>
  <c r="G58" i="21"/>
  <c r="F41" i="68"/>
  <c r="C60" i="15"/>
  <c r="C66" i="15"/>
  <c r="C26" i="69"/>
  <c r="D22" i="69" s="1"/>
  <c r="C44" i="69"/>
  <c r="D41" i="69" s="1"/>
  <c r="C44" i="68"/>
  <c r="D41" i="68" s="1"/>
  <c r="C26" i="68"/>
  <c r="D22" i="68" s="1"/>
  <c r="C26" i="12"/>
  <c r="D25" i="12" s="1"/>
  <c r="C44" i="11"/>
  <c r="D41" i="11" s="1"/>
  <c r="C23" i="11"/>
  <c r="C26" i="11"/>
  <c r="D22" i="11" s="1"/>
  <c r="C38" i="67"/>
  <c r="C34" i="9"/>
  <c r="F41" i="15"/>
  <c r="T19" i="71" l="1"/>
  <c r="C18" i="71"/>
  <c r="D19" i="71"/>
  <c r="U19" i="71" s="1"/>
  <c r="D3" i="21"/>
  <c r="E6" i="6"/>
  <c r="D3" i="34"/>
  <c r="B2" i="34" s="1"/>
  <c r="B3" i="34" s="1"/>
  <c r="G33" i="43"/>
  <c r="I33" i="43" s="1"/>
  <c r="C60" i="67"/>
  <c r="M18" i="9"/>
  <c r="B118" i="9" s="1"/>
  <c r="B1" i="74" s="1"/>
  <c r="C7" i="74" s="1"/>
  <c r="D37" i="11"/>
  <c r="C37" i="11" s="1"/>
  <c r="D19" i="11"/>
  <c r="C19" i="11" s="1"/>
  <c r="C24" i="11" s="1"/>
  <c r="L18" i="9"/>
  <c r="C13" i="83"/>
  <c r="C14" i="83" s="1"/>
  <c r="C17" i="83" s="1"/>
  <c r="C16" i="83" s="1"/>
  <c r="C23" i="67"/>
  <c r="C29" i="67" s="1"/>
  <c r="C33" i="67" s="1"/>
  <c r="C31" i="67"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C17" i="80"/>
  <c r="C23" i="80"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G53" i="33"/>
  <c r="H53" i="33" s="1"/>
  <c r="F69" i="15"/>
  <c r="J29" i="15"/>
  <c r="R49" i="33"/>
  <c r="C48" i="33" s="1"/>
  <c r="E48" i="33"/>
  <c r="I53" i="33" s="1"/>
  <c r="J53" i="33" s="1"/>
  <c r="I52" i="33"/>
  <c r="J52" i="33" s="1"/>
  <c r="C8" i="74"/>
  <c r="D17" i="12"/>
  <c r="C17" i="12" s="1"/>
  <c r="C14" i="12"/>
  <c r="D10" i="11"/>
  <c r="C10" i="11" s="1"/>
  <c r="D20" i="12"/>
  <c r="C20" i="12" s="1"/>
  <c r="C18" i="12" s="1"/>
  <c r="D28" i="6"/>
  <c r="D11" i="6"/>
  <c r="D14" i="6"/>
  <c r="D12" i="6"/>
  <c r="D6"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C7" i="77"/>
  <c r="C27" i="77" s="1"/>
  <c r="C26" i="77"/>
  <c r="F50" i="11"/>
  <c r="P14" i="1"/>
  <c r="P16" i="1" s="1"/>
  <c r="C11" i="12" s="1"/>
  <c r="O16" i="1"/>
  <c r="C34" i="11"/>
  <c r="L16" i="1"/>
  <c r="G65" i="40"/>
  <c r="H63" i="40"/>
  <c r="C43" i="37"/>
  <c r="B2" i="37" s="1"/>
  <c r="B3" i="37" s="1"/>
  <c r="C42" i="37"/>
  <c r="I48" i="35"/>
  <c r="H58" i="21"/>
  <c r="E47" i="37"/>
  <c r="F47" i="37" s="1"/>
  <c r="E46" i="37"/>
  <c r="F46" i="37" s="1"/>
  <c r="I47" i="37"/>
  <c r="J47" i="37" s="1"/>
  <c r="J59" i="15"/>
  <c r="J60" i="15" s="1"/>
  <c r="F6" i="15"/>
  <c r="C16" i="80" l="1"/>
  <c r="C17" i="71"/>
  <c r="D18" i="71"/>
  <c r="H23" i="6"/>
  <c r="C26" i="43"/>
  <c r="B2" i="43" s="1"/>
  <c r="C27" i="43"/>
  <c r="C22" i="11"/>
  <c r="C36" i="67"/>
  <c r="J19" i="67"/>
  <c r="J17" i="67" s="1"/>
  <c r="Q49" i="67"/>
  <c r="J14" i="67"/>
  <c r="J13" i="67" s="1"/>
  <c r="J23" i="67" s="1"/>
  <c r="J59" i="67"/>
  <c r="J60" i="67" s="1"/>
  <c r="L46" i="67" s="1"/>
  <c r="C57" i="67"/>
  <c r="C61" i="67" s="1"/>
  <c r="C59" i="67" s="1"/>
  <c r="C13" i="67"/>
  <c r="C75" i="67" s="1"/>
  <c r="C48" i="85"/>
  <c r="D35" i="83" s="1"/>
  <c r="J8" i="83" s="1"/>
  <c r="C49" i="85"/>
  <c r="C48" i="84"/>
  <c r="C49" i="84"/>
  <c r="E53" i="85"/>
  <c r="F53" i="85" s="1"/>
  <c r="E52" i="85"/>
  <c r="F52" i="85" s="1"/>
  <c r="I53" i="85"/>
  <c r="J53" i="85" s="1"/>
  <c r="E52" i="84"/>
  <c r="F52" i="84" s="1"/>
  <c r="E53" i="84"/>
  <c r="F53" i="84" s="1"/>
  <c r="E53" i="33"/>
  <c r="F53" i="33" s="1"/>
  <c r="C20" i="83"/>
  <c r="C19" i="83" s="1"/>
  <c r="C7" i="80"/>
  <c r="M21" i="6"/>
  <c r="I21" i="6" s="1"/>
  <c r="S21" i="6" s="1"/>
  <c r="S8" i="1"/>
  <c r="H24" i="6"/>
  <c r="R24" i="6" s="1"/>
  <c r="H25" i="6"/>
  <c r="R25" i="6" s="1"/>
  <c r="H22" i="6"/>
  <c r="R22" i="6" s="1"/>
  <c r="C7" i="68"/>
  <c r="M20" i="6"/>
  <c r="I20" i="6" s="1"/>
  <c r="S7" i="1"/>
  <c r="H26" i="6"/>
  <c r="R26" i="6" s="1"/>
  <c r="S6" i="1"/>
  <c r="K27" i="6"/>
  <c r="M19" i="6"/>
  <c r="R23" i="6"/>
  <c r="E52" i="33"/>
  <c r="F52" i="33" s="1"/>
  <c r="C49" i="33"/>
  <c r="C28" i="11"/>
  <c r="C27" i="11" s="1"/>
  <c r="D8" i="74"/>
  <c r="D7" i="74"/>
  <c r="D30" i="6"/>
  <c r="D16" i="6"/>
  <c r="A7" i="51"/>
  <c r="B7" i="72" s="1"/>
  <c r="A10" i="51"/>
  <c r="B9" i="72" s="1"/>
  <c r="C4" i="52"/>
  <c r="B45" i="72" s="1"/>
  <c r="D27" i="6"/>
  <c r="C21" i="9"/>
  <c r="D21" i="9"/>
  <c r="G21" i="9"/>
  <c r="C6" i="15"/>
  <c r="B3" i="79"/>
  <c r="C3" i="77" s="1"/>
  <c r="B2" i="79"/>
  <c r="I68" i="39"/>
  <c r="H70" i="39"/>
  <c r="C24" i="77"/>
  <c r="C35" i="11"/>
  <c r="C38" i="11"/>
  <c r="C15" i="12"/>
  <c r="C12" i="12"/>
  <c r="I63" i="40"/>
  <c r="H65" i="40"/>
  <c r="I58" i="21"/>
  <c r="J58" i="21" s="1"/>
  <c r="K58" i="21" s="1"/>
  <c r="L58" i="21" s="1"/>
  <c r="M58" i="21" s="1"/>
  <c r="N58" i="21" s="1"/>
  <c r="O58" i="21" s="1"/>
  <c r="H7" i="21" s="1"/>
  <c r="J48" i="35"/>
  <c r="Q48" i="15"/>
  <c r="C17" i="15"/>
  <c r="E6" i="76"/>
  <c r="D10" i="69"/>
  <c r="B6" i="76"/>
  <c r="D10" i="68"/>
  <c r="C34" i="69"/>
  <c r="C38" i="69" l="1"/>
  <c r="C35" i="69"/>
  <c r="D19" i="69"/>
  <c r="D37" i="69" s="1"/>
  <c r="C37" i="69" s="1"/>
  <c r="C10" i="69"/>
  <c r="C8" i="69" s="1"/>
  <c r="C5" i="69" s="1"/>
  <c r="C23" i="69" s="1"/>
  <c r="C10" i="68"/>
  <c r="C8" i="68" s="1"/>
  <c r="D19" i="68"/>
  <c r="D37" i="68" s="1"/>
  <c r="C37" i="68" s="1"/>
  <c r="D17" i="71"/>
  <c r="C16" i="71"/>
  <c r="B2" i="76"/>
  <c r="B3" i="43"/>
  <c r="E2" i="76"/>
  <c r="H21" i="6"/>
  <c r="R21" i="6" s="1"/>
  <c r="R8" i="1" s="1"/>
  <c r="C31" i="11"/>
  <c r="C64" i="67"/>
  <c r="Q48" i="67"/>
  <c r="J22" i="67"/>
  <c r="J16" i="67" s="1"/>
  <c r="J25" i="67" s="1"/>
  <c r="Q70" i="67"/>
  <c r="C56" i="67"/>
  <c r="C65" i="67" s="1"/>
  <c r="C37" i="67"/>
  <c r="C30" i="67" s="1"/>
  <c r="C39" i="67" s="1"/>
  <c r="Q69" i="67" s="1"/>
  <c r="B3" i="84"/>
  <c r="C3" i="83" s="1"/>
  <c r="C4" i="83" s="1"/>
  <c r="B2" i="84"/>
  <c r="B3" i="85"/>
  <c r="B2" i="85"/>
  <c r="F7" i="21"/>
  <c r="AA7" i="21" s="1"/>
  <c r="R48" i="21" s="1"/>
  <c r="C5" i="68"/>
  <c r="C23" i="68" s="1"/>
  <c r="C26" i="80"/>
  <c r="C23" i="83"/>
  <c r="AR8" i="1"/>
  <c r="AQ8" i="1"/>
  <c r="T8" i="1"/>
  <c r="AQ7" i="1"/>
  <c r="T7" i="1"/>
  <c r="AR7" i="1"/>
  <c r="S20" i="6"/>
  <c r="H20" i="6"/>
  <c r="R20" i="6" s="1"/>
  <c r="R7" i="1" s="1"/>
  <c r="M27" i="6"/>
  <c r="I19" i="6"/>
  <c r="E6" i="70"/>
  <c r="E2" i="70" s="1"/>
  <c r="S16" i="1"/>
  <c r="T6" i="1"/>
  <c r="AQ6" i="1"/>
  <c r="AR6" i="1"/>
  <c r="D31" i="6"/>
  <c r="I6" i="6" s="1"/>
  <c r="D35" i="77"/>
  <c r="J8" i="77" s="1"/>
  <c r="J8" i="80"/>
  <c r="C4" i="77"/>
  <c r="C29" i="77" s="1"/>
  <c r="B3" i="33"/>
  <c r="B2" i="33"/>
  <c r="C19" i="69"/>
  <c r="C24" i="69" s="1"/>
  <c r="C19" i="68"/>
  <c r="C32" i="15"/>
  <c r="C10" i="15"/>
  <c r="C5" i="15" s="1"/>
  <c r="C38" i="15" s="1"/>
  <c r="C33" i="15"/>
  <c r="J7" i="21"/>
  <c r="AC7" i="21" s="1"/>
  <c r="V48" i="21" s="1"/>
  <c r="I48" i="21" s="1"/>
  <c r="I70" i="39"/>
  <c r="J68" i="39"/>
  <c r="C16" i="12"/>
  <c r="C21" i="12" s="1"/>
  <c r="C22" i="12" s="1"/>
  <c r="C30" i="12" s="1"/>
  <c r="C28" i="12" s="1"/>
  <c r="C33" i="11"/>
  <c r="C39" i="11" s="1"/>
  <c r="U7" i="21"/>
  <c r="AB7" i="21"/>
  <c r="T48" i="21" s="1"/>
  <c r="G48" i="21" s="1"/>
  <c r="S7" i="21"/>
  <c r="J63" i="40"/>
  <c r="I65" i="40"/>
  <c r="K48" i="35"/>
  <c r="L48" i="35" s="1"/>
  <c r="M48" i="35" s="1"/>
  <c r="N48" i="35" s="1"/>
  <c r="O48" i="35" s="1"/>
  <c r="H7" i="35" s="1"/>
  <c r="C14" i="15"/>
  <c r="L51" i="67"/>
  <c r="C34" i="68"/>
  <c r="C33" i="69" l="1"/>
  <c r="C42" i="69" s="1"/>
  <c r="C35" i="68"/>
  <c r="C38" i="68"/>
  <c r="D16" i="71"/>
  <c r="C15" i="71"/>
  <c r="B3" i="76"/>
  <c r="Q68" i="67"/>
  <c r="C80" i="67"/>
  <c r="C79" i="67" s="1"/>
  <c r="C58" i="67"/>
  <c r="C67" i="67" s="1"/>
  <c r="C68" i="67" s="1"/>
  <c r="C71" i="67" s="1"/>
  <c r="I5" i="6"/>
  <c r="C40" i="67"/>
  <c r="D2" i="67" s="1"/>
  <c r="C7" i="83"/>
  <c r="C27" i="83" s="1"/>
  <c r="C26" i="83"/>
  <c r="C15" i="15"/>
  <c r="C18" i="15"/>
  <c r="S19" i="6"/>
  <c r="S27" i="6" s="1"/>
  <c r="H19" i="6"/>
  <c r="I27" i="6"/>
  <c r="T16" i="1"/>
  <c r="C24" i="68"/>
  <c r="C20" i="68"/>
  <c r="C25" i="68" s="1"/>
  <c r="C20" i="69"/>
  <c r="C28" i="69" s="1"/>
  <c r="C27" i="69" s="1"/>
  <c r="C39" i="69"/>
  <c r="W7" i="21"/>
  <c r="J7" i="35"/>
  <c r="W7" i="35" s="1"/>
  <c r="J70" i="39"/>
  <c r="K68" i="39"/>
  <c r="C30" i="77"/>
  <c r="D36" i="77" s="1"/>
  <c r="G35" i="77" s="1"/>
  <c r="C27" i="12"/>
  <c r="C25" i="12" s="1"/>
  <c r="C32" i="12" s="1"/>
  <c r="B2" i="12" s="1"/>
  <c r="B3" i="12" s="1"/>
  <c r="C42" i="11"/>
  <c r="C46" i="11"/>
  <c r="C45" i="11" s="1"/>
  <c r="C43" i="11"/>
  <c r="J65" i="40"/>
  <c r="K63" i="40"/>
  <c r="I52" i="21"/>
  <c r="J52" i="21" s="1"/>
  <c r="U7" i="35"/>
  <c r="AB7" i="35"/>
  <c r="T38" i="35" s="1"/>
  <c r="G38" i="35" s="1"/>
  <c r="R49" i="21"/>
  <c r="E48" i="21"/>
  <c r="G52" i="21"/>
  <c r="H52" i="21" s="1"/>
  <c r="G53" i="21"/>
  <c r="H53" i="21" s="1"/>
  <c r="F7" i="35"/>
  <c r="Q67" i="67"/>
  <c r="L57" i="67"/>
  <c r="L60" i="67" s="1"/>
  <c r="C33" i="68" l="1"/>
  <c r="C42" i="68" s="1"/>
  <c r="C27" i="80"/>
  <c r="C24" i="80" s="1"/>
  <c r="C39" i="68"/>
  <c r="C45" i="67"/>
  <c r="C46" i="67" s="1"/>
  <c r="C14" i="71"/>
  <c r="D15" i="71"/>
  <c r="U15" i="71" s="1"/>
  <c r="T15" i="71"/>
  <c r="C43" i="67"/>
  <c r="Q65" i="67"/>
  <c r="C83" i="67"/>
  <c r="C82" i="67" s="1"/>
  <c r="Q56" i="67"/>
  <c r="Q47" i="67"/>
  <c r="Q53" i="67" s="1"/>
  <c r="C24" i="83"/>
  <c r="C29" i="83" s="1"/>
  <c r="C30" i="83" s="1"/>
  <c r="D36" i="83" s="1"/>
  <c r="J9" i="83" s="1"/>
  <c r="C19" i="15"/>
  <c r="C20" i="15" s="1"/>
  <c r="C26" i="15" s="1"/>
  <c r="R19" i="6"/>
  <c r="H27" i="6"/>
  <c r="D37" i="77"/>
  <c r="L2" i="87" s="1"/>
  <c r="C22" i="68"/>
  <c r="AC7" i="35"/>
  <c r="V38" i="35" s="1"/>
  <c r="I38" i="35" s="1"/>
  <c r="G43" i="35" s="1"/>
  <c r="H43" i="35" s="1"/>
  <c r="C43" i="69"/>
  <c r="C41" i="69" s="1"/>
  <c r="C46" i="69"/>
  <c r="C45" i="69" s="1"/>
  <c r="C25" i="69"/>
  <c r="C22" i="69" s="1"/>
  <c r="C31" i="69" s="1"/>
  <c r="C28" i="68"/>
  <c r="C27" i="68" s="1"/>
  <c r="L68" i="39"/>
  <c r="K70" i="39"/>
  <c r="L57" i="15"/>
  <c r="L60" i="15" s="1"/>
  <c r="L46" i="15" s="1"/>
  <c r="J9" i="77"/>
  <c r="C41" i="11"/>
  <c r="C49" i="11" s="1"/>
  <c r="C51" i="11" s="1"/>
  <c r="C52" i="11" s="1"/>
  <c r="B2" i="11" s="1"/>
  <c r="B3" i="11" s="1"/>
  <c r="C46" i="68"/>
  <c r="C45" i="68" s="1"/>
  <c r="C43" i="68"/>
  <c r="S7" i="35"/>
  <c r="AA7" i="35"/>
  <c r="R38" i="35" s="1"/>
  <c r="C49" i="21"/>
  <c r="B2" i="21" s="1"/>
  <c r="B3" i="21" s="1"/>
  <c r="C48" i="21"/>
  <c r="E52" i="21"/>
  <c r="F52" i="21" s="1"/>
  <c r="E53" i="21"/>
  <c r="F53" i="21" s="1"/>
  <c r="G42" i="35"/>
  <c r="H42" i="35" s="1"/>
  <c r="I53" i="21"/>
  <c r="J53" i="21" s="1"/>
  <c r="K65" i="40"/>
  <c r="L63" i="40"/>
  <c r="I42" i="35"/>
  <c r="J42" i="35" s="1"/>
  <c r="Q66" i="67"/>
  <c r="Q57" i="67"/>
  <c r="B2" i="67"/>
  <c r="B3" i="67"/>
  <c r="C41" i="68" l="1"/>
  <c r="C49" i="69"/>
  <c r="Q75" i="67"/>
  <c r="C13" i="71"/>
  <c r="D14" i="71"/>
  <c r="M2" i="87"/>
  <c r="L33" i="87"/>
  <c r="L35" i="87"/>
  <c r="L37" i="87"/>
  <c r="L34" i="87"/>
  <c r="L36" i="87"/>
  <c r="L38" i="87"/>
  <c r="L3" i="87"/>
  <c r="L5" i="87"/>
  <c r="L7" i="87"/>
  <c r="L9" i="87"/>
  <c r="L11" i="87"/>
  <c r="L13" i="87"/>
  <c r="L15" i="87"/>
  <c r="L17" i="87"/>
  <c r="L19" i="87"/>
  <c r="L21" i="87"/>
  <c r="L23" i="87"/>
  <c r="L25" i="87"/>
  <c r="L27" i="87"/>
  <c r="L29" i="87"/>
  <c r="L31" i="87"/>
  <c r="L4" i="87"/>
  <c r="L6" i="87"/>
  <c r="L8" i="87"/>
  <c r="L10" i="87"/>
  <c r="L12" i="87"/>
  <c r="L14" i="87"/>
  <c r="L16" i="87"/>
  <c r="L18" i="87"/>
  <c r="L20" i="87"/>
  <c r="L22" i="87"/>
  <c r="L24" i="87"/>
  <c r="L26" i="87"/>
  <c r="L28" i="87"/>
  <c r="L30" i="87"/>
  <c r="L32" i="87"/>
  <c r="K2" i="78"/>
  <c r="Q62" i="67"/>
  <c r="G35" i="83"/>
  <c r="D37" i="83"/>
  <c r="G37" i="83" s="1"/>
  <c r="C23" i="15"/>
  <c r="C29" i="15" s="1"/>
  <c r="J14" i="15" s="1"/>
  <c r="R27" i="6"/>
  <c r="R6" i="1"/>
  <c r="G37" i="77"/>
  <c r="E38" i="77"/>
  <c r="E39" i="77" s="1"/>
  <c r="C38" i="77"/>
  <c r="C39" i="77" s="1"/>
  <c r="C31" i="68"/>
  <c r="C51" i="69"/>
  <c r="C52" i="69" s="1"/>
  <c r="C53" i="69" s="1"/>
  <c r="M68" i="39"/>
  <c r="L70" i="39"/>
  <c r="Q57" i="15"/>
  <c r="Q66" i="15"/>
  <c r="J10" i="77"/>
  <c r="C49" i="68"/>
  <c r="C51" i="68" s="1"/>
  <c r="C56" i="11"/>
  <c r="C57" i="11" s="1"/>
  <c r="R39" i="35"/>
  <c r="E38" i="35"/>
  <c r="M63" i="40"/>
  <c r="L65" i="40"/>
  <c r="M21" i="15"/>
  <c r="F35" i="15"/>
  <c r="B2" i="69" l="1"/>
  <c r="C3" i="80"/>
  <c r="D14" i="74" s="1"/>
  <c r="R23" i="87"/>
  <c r="S23" i="87" s="1"/>
  <c r="D13" i="71"/>
  <c r="C12" i="71"/>
  <c r="M30" i="87"/>
  <c r="M26" i="87"/>
  <c r="M22" i="87"/>
  <c r="M18" i="87"/>
  <c r="M14" i="87"/>
  <c r="M10" i="87"/>
  <c r="M6" i="87"/>
  <c r="M31" i="87"/>
  <c r="M27" i="87"/>
  <c r="M23" i="87"/>
  <c r="M19" i="87"/>
  <c r="M15" i="87"/>
  <c r="M11" i="87"/>
  <c r="M7" i="87"/>
  <c r="M3" i="87"/>
  <c r="R22" i="87" s="1"/>
  <c r="S22" i="87" s="1"/>
  <c r="M36" i="87"/>
  <c r="M37" i="87"/>
  <c r="M33" i="87"/>
  <c r="M32" i="87"/>
  <c r="M28" i="87"/>
  <c r="M24" i="87"/>
  <c r="M20" i="87"/>
  <c r="M16" i="87"/>
  <c r="M12" i="87"/>
  <c r="M8" i="87"/>
  <c r="M4" i="87"/>
  <c r="M29" i="87"/>
  <c r="M25" i="87"/>
  <c r="M21" i="87"/>
  <c r="M17" i="87"/>
  <c r="M13" i="87"/>
  <c r="M9" i="87"/>
  <c r="M5" i="87"/>
  <c r="M38" i="87"/>
  <c r="M34" i="87"/>
  <c r="M35" i="87"/>
  <c r="X29" i="78"/>
  <c r="N2" i="78"/>
  <c r="O2" i="78" s="1"/>
  <c r="Z21" i="78"/>
  <c r="L2" i="78"/>
  <c r="K34" i="78"/>
  <c r="N34" i="78" s="1"/>
  <c r="O34" i="78" s="1"/>
  <c r="K36" i="78"/>
  <c r="N36" i="78" s="1"/>
  <c r="O36" i="78" s="1"/>
  <c r="K38" i="78"/>
  <c r="N38" i="78" s="1"/>
  <c r="O38" i="78" s="1"/>
  <c r="K35" i="78"/>
  <c r="N35" i="78" s="1"/>
  <c r="O35" i="78" s="1"/>
  <c r="K37" i="78"/>
  <c r="N37" i="78" s="1"/>
  <c r="O37" i="78" s="1"/>
  <c r="K33" i="78"/>
  <c r="N33" i="78" s="1"/>
  <c r="O33" i="78" s="1"/>
  <c r="K26" i="78"/>
  <c r="N26" i="78" s="1"/>
  <c r="O26" i="78" s="1"/>
  <c r="K27" i="78"/>
  <c r="N27" i="78" s="1"/>
  <c r="O27" i="78" s="1"/>
  <c r="K29" i="78"/>
  <c r="N29" i="78" s="1"/>
  <c r="O29" i="78" s="1"/>
  <c r="K31" i="78"/>
  <c r="N31" i="78" s="1"/>
  <c r="O31" i="78" s="1"/>
  <c r="K28" i="78"/>
  <c r="N28" i="78" s="1"/>
  <c r="O28" i="78" s="1"/>
  <c r="K30" i="78"/>
  <c r="N30" i="78" s="1"/>
  <c r="O30" i="78" s="1"/>
  <c r="K32" i="78"/>
  <c r="N32" i="78" s="1"/>
  <c r="O32" i="78" s="1"/>
  <c r="L33" i="78"/>
  <c r="K12" i="78"/>
  <c r="N12" i="78" s="1"/>
  <c r="O12" i="78" s="1"/>
  <c r="K13" i="78"/>
  <c r="N13" i="78" s="1"/>
  <c r="O13" i="78" s="1"/>
  <c r="K15" i="78"/>
  <c r="N15" i="78" s="1"/>
  <c r="O15" i="78" s="1"/>
  <c r="K17" i="78"/>
  <c r="N17" i="78" s="1"/>
  <c r="O17" i="78" s="1"/>
  <c r="K19" i="78"/>
  <c r="N19" i="78" s="1"/>
  <c r="O19" i="78" s="1"/>
  <c r="K21" i="78"/>
  <c r="N21" i="78" s="1"/>
  <c r="O21" i="78" s="1"/>
  <c r="K23" i="78"/>
  <c r="N23" i="78" s="1"/>
  <c r="O23" i="78" s="1"/>
  <c r="K25" i="78"/>
  <c r="N25" i="78" s="1"/>
  <c r="O25" i="78" s="1"/>
  <c r="K14" i="78"/>
  <c r="N14" i="78" s="1"/>
  <c r="O14" i="78" s="1"/>
  <c r="K16" i="78"/>
  <c r="N16" i="78" s="1"/>
  <c r="O16" i="78" s="1"/>
  <c r="K18" i="78"/>
  <c r="N18" i="78" s="1"/>
  <c r="O18" i="78" s="1"/>
  <c r="K20" i="78"/>
  <c r="N20" i="78" s="1"/>
  <c r="O20" i="78" s="1"/>
  <c r="K22" i="78"/>
  <c r="N22" i="78" s="1"/>
  <c r="O22" i="78" s="1"/>
  <c r="K24" i="78"/>
  <c r="N24" i="78" s="1"/>
  <c r="O24" i="78" s="1"/>
  <c r="L18" i="78"/>
  <c r="K4" i="78"/>
  <c r="N4" i="78" s="1"/>
  <c r="O4" i="78" s="1"/>
  <c r="K6" i="78"/>
  <c r="N6" i="78" s="1"/>
  <c r="O6" i="78" s="1"/>
  <c r="K8" i="78"/>
  <c r="N8" i="78" s="1"/>
  <c r="O8" i="78" s="1"/>
  <c r="K10" i="78"/>
  <c r="N10" i="78" s="1"/>
  <c r="O10" i="78" s="1"/>
  <c r="K5" i="78"/>
  <c r="N5" i="78" s="1"/>
  <c r="O5" i="78" s="1"/>
  <c r="K7" i="78"/>
  <c r="N7" i="78" s="1"/>
  <c r="O7" i="78" s="1"/>
  <c r="K9" i="78"/>
  <c r="N9" i="78" s="1"/>
  <c r="O9" i="78" s="1"/>
  <c r="K11" i="78"/>
  <c r="N11" i="78" s="1"/>
  <c r="O11" i="78" s="1"/>
  <c r="K3" i="78"/>
  <c r="N3" i="78" s="1"/>
  <c r="O3" i="78" s="1"/>
  <c r="C38" i="83"/>
  <c r="C39" i="83" s="1"/>
  <c r="W2" i="78"/>
  <c r="E38" i="83"/>
  <c r="E39" i="83" s="1"/>
  <c r="J10" i="83"/>
  <c r="C36" i="15"/>
  <c r="J19" i="15"/>
  <c r="Q49" i="15"/>
  <c r="C57" i="15"/>
  <c r="C61" i="15" s="1"/>
  <c r="C13" i="15"/>
  <c r="Q70" i="15" s="1"/>
  <c r="C34" i="15"/>
  <c r="C31" i="15" s="1"/>
  <c r="F63" i="15"/>
  <c r="C62" i="15" s="1"/>
  <c r="J20" i="15"/>
  <c r="R16" i="1"/>
  <c r="J22" i="15"/>
  <c r="J13" i="15"/>
  <c r="J23" i="15" s="1"/>
  <c r="C52" i="68"/>
  <c r="B2" i="68" s="1"/>
  <c r="C57" i="69"/>
  <c r="C56" i="69" s="1"/>
  <c r="M70" i="39"/>
  <c r="N68" i="39"/>
  <c r="C39" i="35"/>
  <c r="B2" i="35" s="1"/>
  <c r="B3" i="35" s="1"/>
  <c r="C38" i="35"/>
  <c r="N63" i="40"/>
  <c r="M65" i="40"/>
  <c r="E43" i="35"/>
  <c r="F43" i="35" s="1"/>
  <c r="E42" i="35"/>
  <c r="F42" i="35" s="1"/>
  <c r="I43" i="35"/>
  <c r="J43" i="35" s="1"/>
  <c r="B3" i="69"/>
  <c r="B10" i="74" l="1"/>
  <c r="G14" i="74"/>
  <c r="R24" i="87"/>
  <c r="S24" i="87" s="1"/>
  <c r="R25" i="87"/>
  <c r="S25" i="87" s="1"/>
  <c r="L16" i="78"/>
  <c r="L35" i="78"/>
  <c r="L12" i="78"/>
  <c r="L32" i="78"/>
  <c r="L13" i="78"/>
  <c r="C11" i="71"/>
  <c r="D12" i="71"/>
  <c r="R31" i="87"/>
  <c r="S31" i="87" s="1"/>
  <c r="R30" i="87"/>
  <c r="S30" i="87" s="1"/>
  <c r="R28" i="87"/>
  <c r="S28" i="87" s="1"/>
  <c r="R27" i="87"/>
  <c r="S27" i="87" s="1"/>
  <c r="R26" i="87"/>
  <c r="S26" i="87" s="1"/>
  <c r="AA29" i="78"/>
  <c r="AA31" i="78" s="1"/>
  <c r="AC29" i="78"/>
  <c r="AC31" i="78" s="1"/>
  <c r="Z29" i="78"/>
  <c r="Z31" i="78" s="1"/>
  <c r="AB29" i="78"/>
  <c r="AB31" i="78" s="1"/>
  <c r="AD29" i="78"/>
  <c r="AD31" i="78" s="1"/>
  <c r="X31" i="78"/>
  <c r="Y29" i="78"/>
  <c r="Y31" i="78" s="1"/>
  <c r="AA21" i="78"/>
  <c r="X21" i="78" s="1"/>
  <c r="Z22" i="78"/>
  <c r="AA22" i="78" s="1"/>
  <c r="X22" i="78" s="1"/>
  <c r="L23" i="78"/>
  <c r="L4" i="78"/>
  <c r="L15" i="78"/>
  <c r="L8" i="78"/>
  <c r="L3" i="78"/>
  <c r="L11" i="78"/>
  <c r="L7" i="78"/>
  <c r="L10" i="78"/>
  <c r="L6" i="78"/>
  <c r="L24" i="78"/>
  <c r="L20" i="78"/>
  <c r="L25" i="78"/>
  <c r="L21" i="78"/>
  <c r="L17" i="78"/>
  <c r="L30" i="78"/>
  <c r="L31" i="78"/>
  <c r="L36" i="78"/>
  <c r="L27" i="78"/>
  <c r="L9" i="78"/>
  <c r="L5" i="78"/>
  <c r="L22" i="78"/>
  <c r="L14" i="78"/>
  <c r="L19" i="78"/>
  <c r="L28" i="78"/>
  <c r="L29" i="78"/>
  <c r="L26" i="78"/>
  <c r="L37" i="78"/>
  <c r="L38" i="78"/>
  <c r="L34" i="78"/>
  <c r="W4" i="78"/>
  <c r="Z4" i="78" s="1"/>
  <c r="W6" i="78"/>
  <c r="Z6" i="78" s="1"/>
  <c r="W8" i="78"/>
  <c r="Z8" i="78" s="1"/>
  <c r="W5" i="78"/>
  <c r="Z5" i="78" s="1"/>
  <c r="W7" i="78"/>
  <c r="Z7" i="78" s="1"/>
  <c r="Z2" i="78"/>
  <c r="W3" i="78"/>
  <c r="Z3" i="78" s="1"/>
  <c r="J17" i="15"/>
  <c r="J16" i="15" s="1"/>
  <c r="J25" i="15" s="1"/>
  <c r="C64" i="15"/>
  <c r="C56" i="15"/>
  <c r="C65" i="15" s="1"/>
  <c r="C4" i="80"/>
  <c r="C29" i="80" s="1"/>
  <c r="C30" i="80" s="1"/>
  <c r="D36" i="80" s="1"/>
  <c r="C59" i="15"/>
  <c r="C37" i="15"/>
  <c r="C30" i="15" s="1"/>
  <c r="C39" i="15" s="1"/>
  <c r="C40" i="15" s="1"/>
  <c r="C75" i="15"/>
  <c r="C57" i="68"/>
  <c r="C56" i="68" s="1"/>
  <c r="N70" i="39"/>
  <c r="O68" i="39"/>
  <c r="O70" i="39" s="1"/>
  <c r="H7" i="39"/>
  <c r="O63" i="40"/>
  <c r="O65" i="40" s="1"/>
  <c r="N65" i="40"/>
  <c r="B3" i="68"/>
  <c r="T11" i="71" l="1"/>
  <c r="D11" i="71"/>
  <c r="U11" i="71" s="1"/>
  <c r="C10" i="71"/>
  <c r="J7" i="39"/>
  <c r="W7" i="39" s="1"/>
  <c r="R25" i="78"/>
  <c r="Q25" i="78" s="1"/>
  <c r="R11" i="78"/>
  <c r="Q11" i="78" s="1"/>
  <c r="R32" i="78"/>
  <c r="Q32" i="78" s="1"/>
  <c r="R37" i="78"/>
  <c r="Q37" i="78" s="1"/>
  <c r="R38" i="78"/>
  <c r="Q38" i="78" s="1"/>
  <c r="F7" i="39"/>
  <c r="AA7" i="39" s="1"/>
  <c r="R47" i="39" s="1"/>
  <c r="Z9" i="78"/>
  <c r="W9" i="78" s="1"/>
  <c r="W10" i="78" s="1"/>
  <c r="Z10" i="78" s="1"/>
  <c r="C58" i="15"/>
  <c r="C67" i="15" s="1"/>
  <c r="C68" i="15" s="1"/>
  <c r="C71" i="15" s="1"/>
  <c r="G35" i="80"/>
  <c r="J9" i="80"/>
  <c r="D37" i="80"/>
  <c r="L39" i="87" s="1"/>
  <c r="Q69" i="15"/>
  <c r="Q68" i="15" s="1"/>
  <c r="C80" i="15"/>
  <c r="C79" i="15" s="1"/>
  <c r="Q47" i="15"/>
  <c r="Q53" i="15" s="1"/>
  <c r="B2" i="15"/>
  <c r="Q65" i="15"/>
  <c r="Q75" i="15" s="1"/>
  <c r="C83" i="15"/>
  <c r="C82" i="15" s="1"/>
  <c r="Q56" i="15"/>
  <c r="Q62" i="15" s="1"/>
  <c r="C43" i="15"/>
  <c r="AC7" i="39"/>
  <c r="V47" i="39" s="1"/>
  <c r="I47" i="39" s="1"/>
  <c r="AB7" i="39"/>
  <c r="T47" i="39" s="1"/>
  <c r="G47" i="39" s="1"/>
  <c r="U7" i="39"/>
  <c r="J7" i="40"/>
  <c r="F7" i="40"/>
  <c r="H7" i="40"/>
  <c r="L51" i="15"/>
  <c r="AO6" i="1"/>
  <c r="D10" i="71" l="1"/>
  <c r="C9" i="71"/>
  <c r="M39" i="87"/>
  <c r="L40" i="87"/>
  <c r="L42" i="87"/>
  <c r="L44" i="87"/>
  <c r="L46" i="87"/>
  <c r="L48" i="87"/>
  <c r="L50" i="87"/>
  <c r="L52" i="87"/>
  <c r="L41" i="87"/>
  <c r="L43" i="87"/>
  <c r="L45" i="87"/>
  <c r="L47" i="87"/>
  <c r="L49" i="87"/>
  <c r="L51" i="87"/>
  <c r="L53" i="87"/>
  <c r="K39" i="78"/>
  <c r="N39" i="78" s="1"/>
  <c r="O39" i="78" s="1"/>
  <c r="S7" i="39"/>
  <c r="Q67" i="15"/>
  <c r="C46" i="15"/>
  <c r="J10" i="80"/>
  <c r="G37" i="80"/>
  <c r="C38" i="80"/>
  <c r="C39" i="80" s="1"/>
  <c r="E38" i="80"/>
  <c r="E39" i="80" s="1"/>
  <c r="B6" i="70"/>
  <c r="B2" i="70" s="1"/>
  <c r="B3" i="70" s="1"/>
  <c r="B3" i="15"/>
  <c r="R48" i="39"/>
  <c r="E47" i="39"/>
  <c r="G51" i="39"/>
  <c r="H51" i="39" s="1"/>
  <c r="G52" i="39"/>
  <c r="H52" i="39" s="1"/>
  <c r="I51" i="39"/>
  <c r="J51" i="39" s="1"/>
  <c r="I52" i="39"/>
  <c r="J52" i="39" s="1"/>
  <c r="U7" i="40"/>
  <c r="AB7" i="40"/>
  <c r="T42" i="40" s="1"/>
  <c r="G42" i="40" s="1"/>
  <c r="AA7" i="40"/>
  <c r="R42" i="40" s="1"/>
  <c r="S7" i="40"/>
  <c r="AC7" i="40"/>
  <c r="V42" i="40" s="1"/>
  <c r="I42" i="40" s="1"/>
  <c r="W7" i="40"/>
  <c r="C8" i="71" l="1"/>
  <c r="D9" i="71"/>
  <c r="M53" i="87"/>
  <c r="M49" i="87"/>
  <c r="M45" i="87"/>
  <c r="M41" i="87"/>
  <c r="M50" i="87"/>
  <c r="M46" i="87"/>
  <c r="M42" i="87"/>
  <c r="M51" i="87"/>
  <c r="M47" i="87"/>
  <c r="M43" i="87"/>
  <c r="M52" i="87"/>
  <c r="M48" i="87"/>
  <c r="M44" i="87"/>
  <c r="M40" i="87"/>
  <c r="K52" i="78"/>
  <c r="N52" i="78" s="1"/>
  <c r="O52" i="78" s="1"/>
  <c r="K44" i="78"/>
  <c r="N44" i="78" s="1"/>
  <c r="O44" i="78" s="1"/>
  <c r="K49" i="78"/>
  <c r="N49" i="78" s="1"/>
  <c r="O49" i="78" s="1"/>
  <c r="K40" i="78"/>
  <c r="N40" i="78" s="1"/>
  <c r="O40" i="78" s="1"/>
  <c r="AE29" i="78"/>
  <c r="AE31" i="78" s="1"/>
  <c r="AF31" i="78" s="1"/>
  <c r="AF32"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M54" i="87" l="1"/>
  <c r="D8" i="71"/>
  <c r="C7" i="71"/>
  <c r="R29" i="87"/>
  <c r="S29" i="87" s="1"/>
  <c r="S32" i="87" s="1"/>
  <c r="R32" i="87" s="1"/>
  <c r="L40" i="78"/>
  <c r="L43" i="78"/>
  <c r="L50" i="78"/>
  <c r="L49" i="78"/>
  <c r="L52" i="78"/>
  <c r="L47" i="78"/>
  <c r="L44" i="78"/>
  <c r="L45" i="78"/>
  <c r="L48" i="78"/>
  <c r="L42" i="78"/>
  <c r="L53" i="78"/>
  <c r="O54" i="78"/>
  <c r="N54" i="78" s="1"/>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6" i="71" l="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D6" i="71" l="1"/>
  <c r="C5" i="71"/>
  <c r="R55" i="78"/>
  <c r="Q55" i="78" s="1"/>
  <c r="C5" i="74"/>
  <c r="B6" i="74"/>
  <c r="D6" i="74" s="1"/>
  <c r="D5" i="71" l="1"/>
  <c r="M20" i="43" s="1"/>
  <c r="Z15" i="78"/>
  <c r="Z16" i="78" s="1"/>
  <c r="W16" i="78" s="1"/>
  <c r="C6" i="74"/>
  <c r="W15" i="78" l="1"/>
  <c r="L54" i="87" l="1"/>
  <c r="E97" i="9" l="1"/>
  <c r="E96" i="9"/>
  <c r="C96" i="9"/>
  <c r="B51" i="72"/>
  <c r="F4" i="52"/>
  <c r="F119" i="9"/>
  <c r="F5" i="52"/>
  <c r="B53" i="72"/>
  <c r="M54" i="9"/>
  <c r="D56" i="9"/>
  <c r="C85" i="9"/>
  <c r="C95" i="9"/>
  <c r="C97" i="9"/>
  <c r="D58" i="9"/>
  <c r="C86" i="9"/>
  <c r="C93" i="9"/>
  <c r="D9" i="52"/>
  <c r="D123" i="9"/>
  <c r="B52" i="72"/>
  <c r="F118" i="9"/>
  <c r="G118" i="9"/>
  <c r="G4" i="52"/>
  <c r="B21" i="72"/>
  <c r="D7" i="53"/>
  <c r="H102" i="9"/>
  <c r="H4" i="52"/>
  <c r="C104" i="9"/>
  <c r="C80" i="9"/>
  <c r="E80" i="9"/>
  <c r="E81" i="9"/>
  <c r="B30" i="72"/>
  <c r="N60" i="9"/>
  <c r="N59" i="9"/>
  <c r="N61" i="9"/>
  <c r="D54" i="9"/>
  <c r="C68" i="9"/>
  <c r="H108" i="9"/>
  <c r="D15" i="53"/>
  <c r="B31" i="72"/>
  <c r="D13" i="53"/>
  <c r="D14" i="53"/>
  <c r="B32" i="72"/>
  <c r="B22" i="72"/>
  <c r="D6" i="53"/>
  <c r="M48" i="9"/>
  <c r="I4" i="52"/>
  <c r="C105" i="9"/>
  <c r="D5" i="53"/>
  <c r="B20" i="72"/>
  <c r="M55" i="9"/>
  <c r="C64" i="9"/>
  <c r="C63" i="9"/>
  <c r="C67" i="9"/>
  <c r="D59" i="9"/>
  <c r="H119" i="9"/>
  <c r="H5" i="52"/>
  <c r="D52" i="9"/>
  <c r="D53" i="9"/>
  <c r="C72" i="9"/>
  <c r="C79" i="9"/>
  <c r="C81" i="9"/>
  <c r="H107" i="9"/>
  <c r="D122" i="9"/>
  <c r="D8" i="52"/>
  <c r="C78" i="9"/>
  <c r="C73" i="9"/>
  <c r="P57" i="9"/>
  <c r="H101" i="9"/>
  <c r="D45" i="9"/>
  <c r="D55" i="9"/>
  <c r="M53" i="9"/>
  <c r="N57" i="9"/>
  <c r="N58" i="9"/>
  <c r="B47" i="72"/>
  <c r="D4" i="52"/>
  <c r="D118" i="9"/>
  <c r="D119" i="9"/>
  <c r="D5" i="52"/>
  <c r="B49"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5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D17" authorId="2" shapeId="0" xr:uid="{00000000-0006-0000-2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color indexed="81"/>
            <rFont val="宋体"/>
            <family val="3"/>
            <charset val="134"/>
          </rPr>
          <t xml:space="preserve">需在此处填写剩余土地年限
</t>
        </r>
      </text>
    </comment>
    <comment ref="C9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700-000012000000}">
      <text>
        <r>
          <rPr>
            <b/>
            <sz val="9"/>
            <color indexed="81"/>
            <rFont val="宋体"/>
            <family val="3"/>
            <charset val="134"/>
          </rPr>
          <t xml:space="preserve">容积率
</t>
        </r>
      </text>
    </comment>
    <comment ref="D101" authorId="0" shapeId="0" xr:uid="{00000000-0006-0000-2700-000013000000}">
      <text>
        <r>
          <rPr>
            <b/>
            <sz val="9"/>
            <color indexed="81"/>
            <rFont val="宋体"/>
            <family val="3"/>
            <charset val="134"/>
          </rPr>
          <t xml:space="preserve">容积率
</t>
        </r>
      </text>
    </comment>
    <comment ref="E101" authorId="0" shapeId="0" xr:uid="{00000000-0006-0000-2700-000014000000}">
      <text>
        <r>
          <rPr>
            <b/>
            <sz val="9"/>
            <color indexed="81"/>
            <rFont val="宋体"/>
            <family val="3"/>
            <charset val="134"/>
          </rPr>
          <t xml:space="preserve">容积率
</t>
        </r>
      </text>
    </comment>
    <comment ref="F101" authorId="0" shapeId="0" xr:uid="{00000000-0006-0000-2700-000015000000}">
      <text>
        <r>
          <rPr>
            <b/>
            <sz val="9"/>
            <color indexed="81"/>
            <rFont val="宋体"/>
            <family val="3"/>
            <charset val="134"/>
          </rPr>
          <t xml:space="preserve">容积率
</t>
        </r>
      </text>
    </comment>
    <comment ref="G101" authorId="0" shapeId="0" xr:uid="{00000000-0006-0000-2700-000016000000}">
      <text>
        <r>
          <rPr>
            <b/>
            <sz val="9"/>
            <color indexed="81"/>
            <rFont val="宋体"/>
            <family val="3"/>
            <charset val="134"/>
          </rPr>
          <t xml:space="preserve">容积率
</t>
        </r>
      </text>
    </comment>
    <comment ref="H101" authorId="0" shapeId="0" xr:uid="{00000000-0006-0000-2700-000017000000}">
      <text>
        <r>
          <rPr>
            <b/>
            <sz val="9"/>
            <color indexed="81"/>
            <rFont val="宋体"/>
            <family val="3"/>
            <charset val="134"/>
          </rPr>
          <t xml:space="preserve">容积率
</t>
        </r>
      </text>
    </comment>
    <comment ref="I101" authorId="0" shapeId="0" xr:uid="{00000000-0006-0000-2700-000018000000}">
      <text>
        <r>
          <rPr>
            <b/>
            <sz val="9"/>
            <color indexed="81"/>
            <rFont val="宋体"/>
            <family val="3"/>
            <charset val="134"/>
          </rPr>
          <t xml:space="preserve">容积率
</t>
        </r>
      </text>
    </comment>
    <comment ref="J101" authorId="0" shapeId="0" xr:uid="{00000000-0006-0000-2700-000019000000}">
      <text>
        <r>
          <rPr>
            <b/>
            <sz val="9"/>
            <color indexed="81"/>
            <rFont val="宋体"/>
            <family val="3"/>
            <charset val="134"/>
          </rPr>
          <t xml:space="preserve">容积率
</t>
        </r>
      </text>
    </comment>
    <comment ref="K101" authorId="0" shapeId="0" xr:uid="{00000000-0006-0000-2700-00001A000000}">
      <text>
        <r>
          <rPr>
            <b/>
            <sz val="9"/>
            <color indexed="81"/>
            <rFont val="宋体"/>
            <family val="3"/>
            <charset val="134"/>
          </rPr>
          <t xml:space="preserve">容积率
</t>
        </r>
      </text>
    </comment>
    <comment ref="L101" authorId="0" shapeId="0" xr:uid="{00000000-0006-0000-2700-00001B000000}">
      <text>
        <r>
          <rPr>
            <b/>
            <sz val="9"/>
            <color indexed="81"/>
            <rFont val="宋体"/>
            <family val="3"/>
            <charset val="134"/>
          </rPr>
          <t xml:space="preserve">容积率
</t>
        </r>
      </text>
    </comment>
    <comment ref="M101" authorId="0" shapeId="0" xr:uid="{00000000-0006-0000-2700-00001C000000}">
      <text>
        <r>
          <rPr>
            <b/>
            <sz val="9"/>
            <color indexed="81"/>
            <rFont val="宋体"/>
            <family val="3"/>
            <charset val="134"/>
          </rPr>
          <t xml:space="preserve">容积率
</t>
        </r>
      </text>
    </comment>
    <comment ref="N101" authorId="0" shapeId="0" xr:uid="{00000000-0006-0000-2700-00001D000000}">
      <text>
        <r>
          <rPr>
            <b/>
            <sz val="9"/>
            <color indexed="81"/>
            <rFont val="宋体"/>
            <family val="3"/>
            <charset val="134"/>
          </rPr>
          <t xml:space="preserve">容积率
</t>
        </r>
      </text>
    </comment>
    <comment ref="C108"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400-000004000000}">
      <text>
        <r>
          <rPr>
            <sz val="11"/>
            <color indexed="81"/>
            <rFont val="宋体"/>
            <family val="3"/>
            <charset val="134"/>
          </rPr>
          <t>在建项目均选择“是”</t>
        </r>
      </text>
    </comment>
    <comment ref="F59" authorId="1" shapeId="0" xr:uid="{00000000-0006-0000-3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400-000006000000}">
      <text>
        <r>
          <rPr>
            <sz val="10"/>
            <color indexed="81"/>
            <rFont val="宋体"/>
            <family val="3"/>
            <charset val="134"/>
          </rPr>
          <t xml:space="preserve">在建
</t>
        </r>
      </text>
    </comment>
    <comment ref="N59" authorId="0" shapeId="0" xr:uid="{00000000-0006-0000-34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<sst xmlns="http://schemas.openxmlformats.org/spreadsheetml/2006/main" count="9542" uniqueCount="3545">
  <si>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</si>
  <si>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</si>
  <si>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</si>
  <si>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</si>
  <si>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</si>
  <si>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</si>
  <si>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</si>
  <si>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</si>
  <si>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</si>
  <si>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</si>
  <si>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</si>
  <si>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</si>
  <si>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</si>
  <si>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</si>
  <si>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</si>
  <si>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</si>
  <si>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</si>
  <si>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</si>
  <si>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</si>
  <si>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</si>
  <si>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</si>
  <si>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</si>
  <si>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</si>
  <si>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</si>
  <si>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</si>
  <si>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</si>
  <si>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</si>
  <si>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</si>
  <si>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</si>
  <si>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</si>
  <si>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</si>
  <si>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</si>
  <si>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</si>
  <si>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</si>
  <si>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</si>
  <si>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</si>
  <si>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</si>
  <si>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</si>
  <si>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</si>
  <si>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</si>
  <si>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</si>
  <si>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</si>
  <si>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</si>
  <si>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</si>
  <si>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</si>
  <si>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</si>
  <si>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</si>
  <si>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</si>
  <si>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</si>
  <si>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</si>
  <si>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</si>
  <si>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</si>
  <si>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</si>
  <si>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</si>
  <si>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</si>
  <si>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</si>
  <si>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</si>
  <si>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</si>
  <si>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</si>
  <si>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</si>
  <si>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</si>
  <si>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</si>
  <si>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</si>
  <si>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</si>
  <si>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</si>
  <si>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</si>
  <si>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</si>
  <si>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</si>
  <si>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</si>
  <si>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</si>
  <si>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</si>
  <si>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</si>
  <si>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</si>
  <si>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</si>
  <si>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</si>
  <si>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</si>
  <si>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</si>
  <si>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</si>
  <si>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</si>
  <si>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</si>
  <si>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</si>
  <si>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</si>
  <si>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</si>
  <si>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</si>
  <si>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</si>
  <si>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</si>
  <si>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</si>
  <si>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</si>
  <si>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</si>
  <si>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</si>
  <si>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</si>
  <si>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</si>
  <si>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</si>
  <si>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</si>
  <si>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</si>
  <si>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</si>
  <si>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</si>
  <si>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</si>
  <si>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</si>
  <si>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</si>
  <si>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</si>
  <si>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</si>
  <si>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</si>
  <si>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</si>
  <si>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</si>
  <si>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</si>
  <si>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</si>
  <si>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</si>
  <si>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</si>
  <si>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</si>
  <si>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</si>
  <si>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</si>
  <si>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</si>
  <si>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</si>
  <si>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</si>
  <si>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</si>
  <si>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</si>
  <si>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</si>
  <si>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</si>
  <si>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</si>
  <si>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</si>
  <si>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</si>
  <si>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</si>
  <si>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</si>
  <si>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</si>
  <si>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</si>
  <si>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</si>
  <si>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</si>
  <si>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</si>
  <si>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</si>
  <si>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</si>
  <si>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</si>
  <si>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</si>
  <si>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</si>
  <si>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</si>
  <si>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</si>
  <si>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</si>
  <si>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</si>
  <si>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</si>
  <si>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</si>
  <si>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</si>
  <si>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</si>
  <si>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</si>
  <si>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</si>
  <si>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</si>
  <si>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</si>
  <si>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</si>
  <si>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</si>
  <si>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</si>
  <si>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</si>
  <si>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</si>
  <si>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</si>
  <si>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</si>
  <si>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</si>
  <si>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</si>
  <si>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</si>
  <si>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</si>
  <si>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</si>
  <si>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</si>
  <si>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</si>
  <si>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</si>
  <si>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</si>
  <si>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</si>
  <si>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</si>
  <si>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</si>
  <si>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</si>
  <si>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</si>
  <si>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</si>
  <si>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</si>
  <si>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</si>
  <si>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</si>
  <si>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</si>
  <si>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</si>
  <si>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</si>
  <si>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</si>
  <si>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</si>
  <si>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</si>
  <si>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</si>
  <si>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</si>
  <si>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</si>
  <si>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</si>
  <si>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</si>
  <si>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</si>
  <si>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</si>
  <si>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</si>
  <si>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</si>
  <si>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</si>
  <si>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</si>
  <si>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</si>
  <si>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</si>
  <si>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</si>
  <si>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</si>
  <si>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</si>
  <si>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</si>
  <si>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</si>
  <si>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</si>
  <si>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</si>
  <si>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</si>
  <si>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</si>
  <si>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</si>
  <si>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</si>
  <si>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</si>
  <si>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</si>
  <si>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</si>
  <si>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</si>
  <si>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</si>
  <si>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</si>
  <si>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</si>
  <si>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</si>
  <si>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</si>
  <si>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</si>
  <si>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</si>
  <si>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</si>
  <si>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</si>
  <si>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</si>
  <si>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</si>
  <si>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</si>
  <si>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</si>
  <si>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</si>
  <si>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</si>
  <si>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</si>
  <si>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</si>
  <si>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</si>
  <si>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</si>
  <si>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</si>
  <si>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</si>
  <si>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</si>
  <si>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</si>
  <si>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</si>
  <si>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</si>
  <si>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</si>
  <si>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</si>
  <si>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</si>
  <si>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</si>
  <si>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</si>
  <si>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</si>
  <si>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</si>
  <si>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</si>
  <si>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</si>
  <si>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</si>
  <si>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</si>
  <si>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</si>
  <si>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</si>
  <si>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</si>
  <si>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</si>
  <si>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</si>
  <si>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</si>
  <si>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</si>
  <si>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</si>
  <si>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</si>
  <si>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</si>
  <si>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</si>
  <si>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</si>
  <si>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</si>
  <si>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</si>
  <si>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</si>
  <si>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</si>
  <si>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</si>
  <si>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</si>
  <si>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</si>
  <si>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</si>
  <si>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</si>
  <si>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</si>
  <si>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</si>
  <si>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</si>
  <si>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</si>
  <si>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</si>
  <si>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</si>
  <si>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</si>
  <si>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</si>
  <si>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</si>
  <si>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</si>
  <si>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</si>
  <si>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</si>
  <si>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</si>
  <si>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</si>
  <si>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</si>
  <si>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</si>
  <si>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</si>
  <si>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</si>
  <si>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</si>
  <si>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</si>
  <si>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</si>
  <si>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</si>
  <si>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</si>
  <si>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</si>
  <si>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</si>
  <si>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</si>
  <si>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</si>
  <si>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</si>
  <si>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</si>
  <si>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</si>
  <si>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</si>
  <si>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</si>
  <si>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</si>
  <si>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</si>
  <si>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</si>
  <si>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</si>
  <si>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</si>
  <si>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</si>
  <si>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</si>
  <si>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</si>
  <si>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</si>
  <si>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</si>
  <si>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</si>
  <si>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</si>
  <si>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</si>
  <si>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</si>
  <si>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</si>
  <si>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</si>
  <si>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</si>
  <si>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</si>
  <si>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</si>
  <si>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</si>
  <si>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</si>
  <si>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</si>
  <si>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</si>
  <si>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</si>
  <si>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</si>
  <si>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</si>
  <si>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</si>
  <si>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</si>
  <si>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</si>
  <si>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</si>
  <si>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</si>
  <si>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</si>
  <si>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</si>
  <si>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</si>
  <si>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</si>
  <si>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</si>
  <si>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</si>
  <si>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</si>
  <si>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</si>
  <si>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</si>
  <si>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</si>
  <si>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</si>
  <si>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</si>
  <si>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</si>
  <si>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</si>
  <si>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</si>
  <si>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</si>
  <si>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</si>
  <si>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</si>
  <si>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</si>
  <si>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</si>
  <si>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</si>
  <si>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</si>
  <si>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</si>
  <si>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</si>
  <si>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</si>
  <si>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</si>
  <si>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</si>
  <si>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</si>
  <si>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</si>
  <si>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</si>
  <si>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</si>
  <si>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</si>
  <si>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</si>
  <si>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</si>
  <si>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</si>
  <si>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</si>
  <si>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</si>
  <si>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</si>
  <si>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</si>
  <si>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</si>
  <si>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</si>
  <si>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</si>
  <si>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</si>
  <si>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</si>
  <si>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</si>
  <si>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</si>
  <si>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</si>
  <si>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</si>
  <si>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</si>
  <si>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</si>
  <si>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</si>
  <si>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</si>
  <si>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</si>
  <si>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</si>
  <si>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</si>
  <si>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</si>
  <si>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</si>
  <si>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</si>
  <si>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</si>
  <si>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</si>
  <si>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</si>
  <si>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</si>
  <si>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</si>
  <si>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</si>
  <si>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</si>
  <si>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</si>
  <si>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</si>
  <si>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</si>
  <si>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</si>
  <si>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</si>
  <si>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</si>
  <si>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</si>
  <si>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</si>
  <si>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</si>
  <si>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</si>
  <si>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</si>
  <si>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</si>
  <si>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</si>
  <si>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</si>
  <si>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</si>
  <si>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</si>
  <si>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</si>
  <si>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</si>
  <si>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</si>
  <si>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</si>
  <si>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</si>
  <si>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</si>
  <si>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</si>
  <si>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</si>
  <si>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</si>
  <si>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</si>
  <si>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</si>
  <si>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</si>
  <si>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</si>
  <si>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</si>
  <si>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</si>
  <si>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</si>
  <si>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</si>
  <si>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</si>
  <si>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</si>
  <si>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</si>
  <si>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</si>
  <si>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</si>
  <si>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</si>
  <si>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</si>
  <si>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</si>
  <si>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</si>
  <si>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</si>
  <si>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</si>
  <si>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</si>
  <si>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</si>
  <si>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</si>
  <si>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</si>
  <si>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</si>
  <si>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</si>
  <si>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</si>
  <si>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</si>
  <si>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</si>
  <si>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</si>
  <si>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</si>
  <si>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</si>
  <si>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</si>
  <si>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</si>
  <si>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</si>
  <si>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</si>
  <si>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</si>
  <si>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</si>
  <si>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</si>
  <si>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</si>
  <si>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</si>
  <si>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</si>
  <si>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</si>
  <si>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</si>
  <si>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</si>
  <si>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</si>
  <si>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</si>
  <si>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</si>
  <si>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</si>
  <si>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</si>
  <si>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</si>
  <si>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</si>
  <si>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</si>
  <si>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</si>
  <si>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</si>
  <si>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</si>
  <si>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</si>
  <si>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</si>
  <si>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</si>
  <si>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</si>
  <si>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</si>
  <si>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</si>
  <si>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</si>
  <si>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</si>
  <si>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</si>
  <si>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</si>
  <si>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</si>
  <si>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</si>
  <si>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</si>
  <si>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</si>
  <si>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</si>
  <si>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</si>
  <si>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</si>
  <si>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</si>
  <si>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</si>
  <si>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</si>
  <si>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</si>
  <si>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</si>
  <si>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</si>
  <si>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</si>
  <si>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</si>
  <si>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</si>
  <si>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</si>
  <si>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</si>
  <si>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</si>
  <si>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</si>
  <si>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</si>
  <si>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</si>
  <si>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</si>
  <si>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</si>
  <si>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</si>
  <si>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</si>
  <si>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</si>
  <si>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</si>
  <si>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</si>
  <si>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</si>
  <si>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</si>
  <si>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</si>
  <si>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</si>
  <si>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</si>
  <si>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</si>
  <si>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</si>
  <si>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</si>
  <si>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</si>
  <si>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</si>
  <si>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</si>
  <si>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</si>
  <si>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</si>
  <si>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</si>
  <si>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</si>
  <si>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</si>
  <si>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</si>
  <si>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</si>
  <si>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</si>
  <si>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</si>
  <si>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</si>
  <si>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</si>
  <si>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</si>
  <si>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</si>
  <si>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</si>
  <si>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</si>
  <si>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</si>
  <si>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</si>
  <si>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</si>
  <si>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</si>
  <si>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</si>
  <si>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</si>
  <si>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</si>
  <si>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</si>
  <si>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</si>
  <si>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</si>
  <si>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</si>
  <si>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</si>
  <si>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</si>
  <si>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</si>
  <si>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</si>
  <si>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</si>
  <si>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</si>
  <si>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</si>
  <si>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</si>
  <si>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</si>
  <si>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</si>
  <si>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</si>
  <si>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</si>
  <si>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</si>
  <si>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</si>
  <si>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</si>
  <si>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</si>
  <si>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</si>
  <si>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</si>
  <si>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</si>
  <si>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</si>
  <si>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</si>
  <si>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</si>
  <si>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</si>
  <si>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</si>
  <si>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</si>
  <si>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</si>
  <si>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</si>
  <si>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</si>
  <si>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</si>
  <si>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</si>
  <si>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</si>
  <si>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</si>
  <si>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</si>
  <si>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</si>
  <si>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</si>
  <si>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</si>
  <si>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</si>
  <si>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</si>
  <si>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</si>
  <si>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</si>
  <si>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</si>
  <si>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</si>
  <si>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</si>
  <si>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</si>
  <si>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</si>
  <si>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</si>
  <si>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</si>
  <si>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</si>
  <si>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</si>
  <si>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</si>
  <si>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</si>
  <si>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</si>
  <si>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</si>
  <si>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</si>
  <si>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</si>
  <si>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</si>
  <si>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</si>
  <si>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</si>
  <si>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</si>
  <si>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</si>
  <si>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</si>
  <si>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</si>
  <si>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</si>
  <si>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</si>
  <si>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</si>
  <si>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</si>
  <si>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</si>
  <si>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</si>
  <si>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</si>
  <si>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</si>
  <si>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</si>
  <si>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</si>
  <si>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</si>
  <si>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</si>
  <si>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</si>
  <si>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</si>
  <si>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</si>
  <si>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</si>
  <si>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</si>
  <si>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</si>
  <si>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</si>
  <si>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</si>
  <si>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</si>
  <si>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</si>
  <si>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</si>
  <si>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</si>
  <si>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</si>
  <si>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</si>
  <si>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</si>
  <si>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</si>
  <si>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</si>
  <si>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</si>
  <si>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</si>
  <si>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</si>
  <si>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</si>
  <si>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</si>
  <si>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</si>
  <si>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</si>
  <si>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</si>
  <si>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</si>
  <si>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</si>
  <si>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</si>
  <si>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</si>
  <si>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</si>
  <si>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</si>
  <si>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</si>
  <si>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</si>
  <si>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</si>
  <si>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</si>
  <si>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</si>
  <si>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</si>
  <si>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</si>
  <si>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</si>
  <si>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</si>
  <si>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</si>
  <si>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</si>
  <si>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</si>
  <si>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</si>
  <si>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</si>
  <si>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</si>
  <si>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</si>
  <si>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</si>
  <si>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</si>
  <si>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</si>
  <si>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</si>
  <si>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</si>
  <si>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</si>
  <si>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</si>
  <si>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</si>
  <si>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</si>
  <si>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</si>
  <si>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</si>
  <si>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</si>
  <si>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</si>
  <si>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</si>
  <si>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</si>
  <si>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</si>
  <si>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</si>
  <si>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</si>
  <si>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</si>
  <si>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</si>
  <si>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</si>
  <si>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</si>
  <si>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</si>
  <si>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</si>
  <si>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</si>
  <si>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</si>
  <si>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</si>
  <si>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</si>
  <si>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</si>
  <si>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</si>
  <si>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</si>
  <si>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</si>
  <si>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</si>
  <si>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</si>
  <si>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</si>
  <si>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</si>
  <si>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</si>
  <si>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</si>
  <si>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</si>
  <si>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</si>
  <si>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</si>
  <si>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</si>
  <si>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</si>
  <si>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</si>
  <si>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</si>
  <si>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</si>
  <si>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</si>
  <si>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</si>
  <si>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</si>
  <si>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</si>
  <si>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</si>
  <si>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</si>
  <si>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</si>
  <si>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</si>
  <si>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</si>
  <si>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</si>
  <si>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</si>
  <si>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</si>
  <si>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</si>
  <si>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</si>
  <si>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</si>
  <si>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</si>
  <si>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</si>
  <si>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</si>
  <si>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</si>
  <si>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</si>
  <si>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</si>
  <si>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</si>
  <si>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</si>
  <si>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</si>
  <si>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</si>
  <si>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</si>
  <si>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</si>
  <si>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</si>
  <si>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</si>
  <si>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</si>
  <si>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</si>
  <si>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</si>
  <si>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</si>
  <si>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</si>
  <si>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</si>
  <si>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</si>
  <si>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</si>
  <si>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</si>
  <si>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</si>
  <si>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</si>
  <si>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</si>
  <si>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</si>
  <si>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</si>
  <si>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</si>
  <si>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</si>
  <si>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</si>
  <si>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</si>
  <si>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</si>
  <si>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</si>
  <si>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</si>
  <si>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</si>
  <si>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</si>
  <si>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</si>
  <si>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</si>
  <si>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</si>
  <si>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</si>
  <si>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</si>
  <si>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</si>
  <si>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</si>
  <si>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</si>
  <si>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</si>
  <si>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</si>
  <si>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</si>
  <si>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</si>
  <si>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</si>
  <si>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</si>
  <si>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</si>
  <si>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</si>
  <si>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</si>
  <si>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</si>
  <si>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</si>
  <si>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</si>
  <si>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</si>
  <si>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</si>
  <si>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</si>
  <si>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</si>
  <si>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</si>
  <si>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</si>
  <si>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</si>
  <si>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</si>
  <si>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</si>
  <si>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</si>
  <si>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</si>
  <si>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</si>
  <si>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</si>
  <si>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</si>
  <si>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</si>
  <si>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</si>
  <si>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</si>
  <si>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</si>
  <si>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</si>
  <si>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</si>
  <si>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</si>
  <si>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</si>
  <si>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</si>
  <si>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</si>
  <si>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</si>
  <si>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</si>
  <si>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</si>
  <si>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</si>
  <si>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</si>
  <si>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</si>
  <si>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</si>
  <si>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</si>
  <si>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</si>
  <si>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</si>
  <si>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</si>
  <si>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</si>
  <si>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</si>
  <si>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</si>
  <si>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</si>
  <si>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</si>
  <si>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</si>
  <si>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</si>
  <si>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</si>
  <si>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</si>
  <si>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</si>
  <si>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</si>
  <si>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</si>
  <si>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</si>
  <si>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</si>
  <si>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</si>
  <si>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</si>
  <si>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</si>
  <si>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</si>
  <si>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</si>
  <si>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</si>
  <si>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</si>
  <si>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</si>
  <si>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</si>
  <si>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</si>
  <si>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</si>
  <si>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</si>
  <si>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</si>
  <si>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</si>
  <si>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</si>
  <si>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</si>
  <si>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</si>
  <si>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</si>
  <si>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</si>
  <si>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</si>
  <si>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</si>
  <si>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</si>
  <si>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</si>
  <si>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</si>
  <si>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</si>
  <si>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</si>
  <si>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</si>
  <si>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</si>
  <si>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</si>
  <si>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</si>
  <si>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</si>
  <si>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</si>
  <si>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</si>
  <si>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</si>
  <si>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</si>
  <si>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</si>
  <si>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</si>
  <si>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</si>
  <si>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</si>
  <si>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</si>
  <si>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</si>
  <si>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</si>
  <si>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</si>
  <si>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</si>
  <si>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</si>
  <si>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</si>
  <si>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</si>
  <si>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</si>
  <si>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</si>
  <si>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</si>
  <si>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</si>
  <si>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</si>
  <si>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</si>
  <si>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</si>
  <si>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</si>
  <si>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</si>
  <si>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</si>
  <si>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</si>
  <si>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</si>
  <si>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</si>
  <si>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</si>
  <si>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</si>
  <si>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</si>
  <si>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</si>
  <si>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</si>
  <si>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</si>
  <si>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</si>
  <si>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</si>
  <si>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</si>
  <si>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</si>
  <si>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</si>
  <si>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</si>
  <si>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</si>
  <si>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</si>
  <si>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</si>
  <si>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</si>
  <si>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</si>
  <si>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</si>
  <si>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</si>
  <si>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</si>
  <si>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</si>
  <si>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</si>
  <si>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</si>
  <si>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</si>
  <si>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</si>
  <si>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</si>
  <si>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</si>
  <si>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</si>
  <si>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</si>
  <si>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</si>
  <si>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</si>
  <si>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</si>
  <si>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</si>
  <si>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</si>
  <si>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</si>
  <si>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</si>
  <si>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</si>
  <si>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</si>
  <si>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</si>
  <si>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</si>
  <si>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</si>
  <si>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</si>
  <si>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</si>
  <si>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</si>
  <si>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</si>
  <si>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</si>
  <si>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</si>
  <si>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</si>
  <si>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</si>
  <si>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</si>
  <si>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</si>
  <si>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</si>
  <si>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</si>
  <si>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</si>
  <si>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</si>
  <si>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</si>
  <si>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</si>
  <si>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</si>
  <si>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</si>
  <si>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</si>
  <si>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</si>
  <si>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</si>
  <si>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</si>
  <si>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</si>
  <si>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</si>
  <si>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</si>
  <si>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</si>
  <si>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</si>
  <si>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</si>
  <si>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</si>
  <si>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</si>
  <si>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</si>
  <si>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</si>
  <si>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</si>
  <si>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</si>
  <si>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</si>
  <si>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</si>
  <si>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</si>
  <si>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</si>
  <si>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</si>
  <si>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</si>
  <si>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</si>
  <si>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</si>
  <si>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</si>
  <si>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</si>
  <si>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</si>
  <si>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</si>
  <si>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</si>
  <si>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</si>
  <si>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</si>
  <si>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</si>
  <si>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</si>
  <si>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</si>
  <si>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</si>
  <si>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</si>
  <si>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</si>
  <si>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</si>
  <si>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</si>
  <si>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</si>
  <si>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</si>
  <si>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</si>
  <si>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</si>
  <si>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</si>
  <si>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</si>
  <si>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</si>
  <si>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</si>
  <si>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</si>
  <si>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</si>
  <si>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</si>
  <si>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</si>
  <si>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</si>
  <si>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</si>
  <si>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</si>
  <si>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</si>
  <si>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</si>
  <si>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</si>
  <si>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</si>
  <si>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</si>
  <si>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</si>
  <si>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</si>
  <si>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</si>
  <si>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</si>
  <si>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</si>
  <si>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</si>
  <si>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</si>
  <si>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</si>
  <si>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</si>
  <si>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</si>
  <si>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</si>
  <si>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</si>
  <si>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</si>
  <si>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</si>
  <si>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</si>
  <si>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</si>
  <si>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</si>
  <si>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</si>
  <si>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</si>
  <si>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</si>
  <si>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</si>
  <si>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</si>
  <si>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</si>
  <si>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</si>
  <si>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</si>
  <si>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</si>
  <si>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</si>
  <si>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</si>
  <si>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</si>
  <si>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</si>
  <si>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</si>
  <si>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</si>
  <si>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</si>
  <si>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</si>
  <si>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</si>
  <si>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</si>
  <si>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</si>
  <si>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</si>
  <si>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</si>
  <si>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</si>
  <si>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</si>
  <si>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</si>
  <si>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</si>
  <si>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</si>
  <si>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</si>
  <si>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</si>
  <si>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</si>
  <si>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</si>
  <si>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</si>
  <si>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</si>
  <si>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</si>
  <si>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</si>
  <si>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</si>
  <si>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</si>
  <si>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</si>
  <si>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</si>
  <si>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</si>
  <si>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</si>
  <si>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</si>
  <si>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</si>
  <si>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</si>
  <si>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</si>
  <si>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</si>
  <si>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</si>
  <si>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</si>
  <si>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</si>
  <si>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</si>
  <si>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</si>
  <si>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</si>
  <si>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</si>
  <si>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</si>
  <si>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</si>
  <si>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</si>
  <si>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</si>
  <si>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</si>
  <si>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</si>
  <si>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</si>
  <si>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</si>
  <si>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</si>
  <si>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</si>
  <si>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</si>
  <si>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</si>
  <si>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</si>
  <si>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</si>
  <si>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</si>
  <si>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</si>
  <si>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</si>
  <si>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</si>
  <si>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</si>
  <si>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</si>
  <si>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</si>
  <si>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</si>
  <si>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</si>
  <si>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</si>
  <si>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</si>
  <si>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</si>
  <si>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</si>
  <si>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</si>
  <si>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</si>
  <si>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</si>
  <si>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</si>
  <si>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</si>
  <si>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</si>
  <si>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</si>
  <si>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</si>
  <si>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</si>
  <si>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</si>
  <si>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</si>
  <si>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</si>
  <si>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</si>
  <si>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</si>
  <si>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</si>
  <si>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</si>
  <si>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</si>
  <si>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</si>
  <si>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</si>
  <si>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</si>
  <si>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</si>
  <si>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</si>
  <si>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</si>
  <si>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</si>
  <si>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</si>
  <si>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</si>
  <si>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</si>
  <si>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</si>
  <si>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</si>
  <si>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</si>
  <si>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</si>
  <si>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</si>
  <si>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</si>
  <si>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</si>
  <si>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</si>
  <si>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</si>
  <si>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</si>
  <si>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</si>
  <si>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</si>
  <si>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</si>
  <si>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</si>
  <si>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</si>
  <si>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</si>
  <si>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</si>
  <si>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</si>
  <si>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</si>
  <si>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</si>
  <si>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</si>
  <si>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</si>
  <si>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</si>
  <si>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</si>
  <si>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</si>
  <si>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</si>
  <si>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</si>
  <si>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</si>
  <si>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</si>
  <si>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</si>
  <si>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</si>
  <si>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</si>
  <si>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</si>
  <si>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</si>
  <si>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</si>
  <si>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</si>
  <si>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</si>
  <si>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</si>
  <si>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</si>
  <si>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</si>
  <si>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</si>
  <si>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</si>
  <si>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</si>
  <si>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</si>
  <si>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</si>
  <si>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</si>
  <si>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</si>
  <si>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</si>
  <si>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</si>
  <si>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</si>
  <si>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</si>
  <si>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</si>
  <si>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</si>
  <si>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</si>
  <si>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</si>
  <si>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</si>
  <si>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</si>
  <si>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</si>
  <si>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</si>
  <si>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</si>
  <si>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</si>
  <si>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</si>
  <si>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</si>
  <si>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</si>
  <si>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</si>
  <si>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</si>
  <si>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</si>
  <si>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</si>
  <si>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</si>
  <si>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</si>
  <si>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</si>
  <si>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</si>
  <si>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</si>
  <si>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</si>
  <si>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</si>
  <si>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</si>
  <si>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</si>
  <si>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</si>
  <si>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</si>
  <si>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</si>
  <si>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</si>
  <si>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</si>
  <si>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</si>
  <si>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</si>
  <si>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</si>
  <si>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</si>
  <si>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</si>
  <si>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</si>
  <si>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</si>
  <si>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</si>
  <si>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</si>
  <si>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</si>
  <si>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</si>
  <si>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</si>
  <si>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</si>
  <si>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</si>
  <si>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</si>
  <si>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</si>
  <si>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</si>
  <si>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</si>
  <si>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</si>
  <si>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</si>
  <si>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</si>
  <si>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</si>
  <si>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</si>
  <si>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</si>
  <si>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</si>
  <si>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</si>
  <si>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</si>
  <si>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</si>
  <si>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</si>
  <si>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</si>
  <si>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</si>
  <si>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</si>
  <si>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</si>
  <si>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</si>
  <si>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</si>
  <si>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</si>
  <si>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</si>
  <si>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</si>
  <si>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</si>
  <si>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</si>
  <si>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</si>
  <si>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</si>
  <si>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</si>
  <si>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</si>
  <si>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</si>
  <si>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</si>
  <si>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</si>
  <si>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</si>
  <si>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</si>
  <si>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</si>
  <si>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</si>
  <si>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</si>
  <si>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</si>
  <si>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</si>
  <si>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</si>
  <si>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</si>
  <si>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</si>
  <si>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</si>
  <si>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</si>
  <si>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</si>
  <si>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</si>
  <si>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</si>
  <si>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</si>
  <si>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</si>
  <si>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</si>
  <si>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</si>
  <si>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</si>
  <si>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</si>
  <si>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</si>
  <si>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</si>
  <si>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</si>
  <si>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</si>
  <si>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</si>
  <si>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</si>
  <si>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</si>
  <si>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</si>
  <si>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</si>
  <si>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</si>
  <si>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</si>
  <si>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</si>
  <si>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</si>
  <si>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</si>
  <si>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</si>
  <si>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</si>
  <si>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</si>
  <si>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</si>
  <si>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</si>
  <si>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</si>
  <si>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</si>
  <si>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</si>
  <si>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</si>
  <si>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</si>
  <si>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</si>
  <si>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</si>
  <si>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</si>
  <si>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</si>
  <si>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</si>
  <si>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</si>
  <si>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</si>
  <si>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</si>
  <si>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</si>
  <si>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</si>
  <si>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</si>
  <si>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</si>
  <si>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</si>
  <si>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</si>
  <si>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</si>
  <si>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</si>
  <si>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</si>
  <si>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</si>
  <si>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</si>
  <si>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</si>
  <si>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</si>
  <si>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</si>
  <si>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</si>
  <si>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</si>
  <si>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</si>
  <si>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</si>
  <si>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</si>
  <si>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</si>
  <si>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</si>
  <si>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</si>
  <si>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</si>
  <si>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</si>
  <si>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</si>
  <si>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</si>
  <si>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</si>
  <si>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</si>
  <si>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</si>
  <si>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</si>
  <si>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</si>
  <si>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</si>
  <si>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</si>
  <si>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</si>
  <si>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</si>
  <si>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</si>
  <si>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</si>
  <si>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</si>
  <si>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</si>
  <si>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</si>
  <si>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</si>
  <si>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</si>
  <si>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</si>
  <si>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</si>
  <si>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</si>
  <si>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</si>
  <si>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</si>
  <si>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</si>
  <si>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</si>
  <si>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</si>
  <si>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</si>
  <si>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</si>
  <si>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</si>
  <si>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</si>
  <si>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</si>
  <si>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</si>
  <si>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</si>
  <si>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</si>
  <si>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</si>
  <si>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</si>
  <si>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</si>
  <si>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</si>
  <si>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</si>
  <si>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</si>
  <si>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</si>
  <si>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</si>
  <si>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</si>
  <si>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</si>
  <si>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</si>
  <si>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</si>
  <si>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</si>
  <si>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</si>
  <si>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</si>
  <si>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</si>
  <si>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</si>
  <si>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</si>
  <si>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</si>
  <si>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</si>
  <si>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</si>
  <si>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</si>
  <si>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</si>
  <si>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</si>
  <si>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</si>
  <si>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</si>
  <si>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</si>
  <si>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</si>
  <si>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</si>
  <si>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</si>
  <si>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</si>
  <si>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</si>
  <si>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</si>
  <si>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</si>
  <si>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</si>
  <si>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</si>
  <si>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</si>
  <si>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</si>
  <si>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</si>
  <si>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</si>
  <si>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</si>
  <si>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</si>
  <si>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</si>
  <si>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</si>
  <si>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</si>
  <si>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</si>
  <si>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</si>
  <si>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</si>
  <si>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</si>
  <si>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</si>
  <si>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</si>
  <si>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</si>
  <si>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</si>
  <si>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</si>
  <si>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</si>
  <si>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</si>
  <si>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</si>
  <si>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</si>
  <si>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</si>
  <si>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</si>
  <si>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</si>
  <si>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</si>
  <si>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</si>
  <si>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</si>
  <si>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</si>
  <si>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</si>
  <si>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</si>
  <si>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</si>
  <si>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</si>
  <si>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</si>
  <si>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</si>
  <si>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</si>
  <si>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</si>
  <si>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</si>
  <si>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</si>
  <si>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</si>
  <si>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</si>
  <si>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</si>
  <si>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</si>
  <si>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</si>
  <si>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</si>
  <si>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</si>
  <si>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</si>
  <si>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</si>
  <si>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</si>
  <si>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</si>
  <si>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</si>
  <si>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</si>
  <si>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</si>
  <si>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</si>
  <si>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</si>
  <si>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</si>
  <si>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</si>
  <si>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</si>
  <si>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</si>
  <si>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</si>
  <si>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</si>
  <si>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</si>
  <si>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</si>
  <si>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</si>
  <si>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</si>
  <si>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</si>
  <si>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</si>
  <si>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</si>
  <si>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</si>
  <si>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</si>
  <si>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</si>
  <si>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</si>
  <si>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</si>
  <si>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</si>
  <si>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</si>
  <si>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</si>
  <si>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</si>
  <si>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</si>
  <si>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</si>
  <si>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</si>
  <si>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</si>
  <si>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</si>
  <si>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</si>
  <si>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</si>
  <si>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</si>
  <si>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</si>
  <si>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</si>
  <si>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</si>
  <si>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</si>
  <si>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</si>
  <si>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</si>
  <si>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</si>
  <si>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</si>
  <si>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</si>
  <si>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</si>
  <si>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</si>
  <si>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</si>
  <si>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</si>
  <si>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</si>
  <si>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</si>
  <si>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</si>
  <si>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</si>
  <si>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</si>
  <si>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</si>
  <si>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</si>
  <si>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</si>
  <si>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</si>
  <si>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</si>
  <si>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</si>
  <si>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</si>
  <si>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</si>
  <si>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</si>
  <si>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</si>
  <si>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</si>
  <si>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</si>
  <si>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</si>
  <si>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</si>
  <si>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</si>
  <si>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</si>
  <si>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</si>
  <si>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</si>
  <si>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</si>
  <si>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</si>
  <si>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</si>
  <si>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</si>
  <si>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</si>
  <si>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</si>
  <si>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</si>
  <si>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</si>
  <si>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</si>
  <si>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</si>
  <si>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</si>
  <si>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</si>
  <si>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</si>
  <si>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</si>
  <si>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</si>
  <si>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</si>
  <si>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</si>
  <si>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</si>
  <si>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</si>
  <si>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</si>
  <si>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</si>
  <si>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</si>
  <si>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</si>
  <si>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</si>
  <si>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</si>
  <si>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</si>
  <si>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</si>
  <si>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</si>
  <si>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</si>
  <si>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</si>
  <si>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</si>
  <si>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</si>
  <si>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</si>
  <si>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</si>
  <si>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</si>
  <si>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</si>
  <si>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</si>
  <si>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</si>
  <si>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</si>
  <si>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</si>
  <si>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</si>
  <si>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</si>
  <si>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</si>
  <si>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</si>
  <si>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</si>
  <si>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</si>
  <si>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</si>
  <si>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</si>
  <si>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</si>
  <si>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</si>
  <si>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</si>
  <si>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</si>
  <si>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</si>
  <si>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</si>
  <si>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</si>
  <si>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</si>
  <si>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</si>
  <si>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</si>
  <si>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</si>
  <si>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</si>
  <si>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</si>
  <si>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</si>
  <si>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</si>
  <si>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</si>
  <si>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</si>
  <si>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</si>
  <si>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</si>
  <si>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</si>
  <si>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</si>
  <si>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</si>
  <si>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</si>
  <si>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</si>
  <si>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</si>
  <si>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</si>
  <si>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</si>
  <si>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</si>
  <si>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</si>
  <si>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</si>
  <si>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</si>
  <si>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</si>
  <si>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</si>
  <si>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</si>
  <si>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</si>
  <si>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</si>
  <si>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</si>
  <si>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</si>
  <si>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</si>
  <si>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</si>
  <si>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</si>
  <si>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</si>
  <si>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</si>
  <si>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</si>
  <si>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</si>
  <si>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</si>
  <si>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</si>
  <si>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</si>
  <si>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</si>
  <si>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</si>
  <si>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</si>
  <si>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</si>
  <si>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</si>
  <si>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</si>
  <si>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</si>
  <si>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</si>
  <si>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</si>
  <si>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</si>
  <si>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</si>
  <si>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</si>
  <si>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</si>
  <si>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</si>
  <si>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</si>
  <si>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</si>
  <si>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</si>
  <si>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</si>
  <si>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</si>
  <si>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</si>
  <si>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</si>
  <si>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</si>
  <si>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</si>
  <si>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</si>
  <si>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</si>
  <si>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</si>
  <si>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</si>
  <si>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</si>
  <si>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</si>
  <si>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</si>
  <si>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</si>
  <si>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</si>
  <si>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</si>
  <si>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</si>
  <si>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</si>
  <si>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</si>
  <si>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</si>
  <si>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</si>
  <si>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</si>
  <si>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</si>
  <si>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</si>
  <si>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</si>
  <si>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</si>
  <si>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</si>
  <si>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</si>
  <si>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</si>
  <si>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</si>
  <si>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</si>
  <si>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</si>
  <si>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</si>
  <si>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</si>
  <si>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</si>
  <si>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</si>
  <si>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</si>
  <si>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</si>
  <si>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</si>
  <si>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</si>
  <si>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</si>
  <si>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</si>
  <si>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</si>
  <si>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</si>
  <si>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</si>
  <si>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</si>
  <si>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</si>
  <si>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</si>
  <si>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</si>
  <si>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</si>
  <si>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</si>
  <si>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</si>
  <si>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</si>
  <si>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</si>
  <si>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</si>
  <si>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</si>
  <si>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</si>
  <si>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</si>
  <si>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</si>
  <si>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</si>
  <si>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</si>
  <si>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</si>
  <si>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</si>
  <si>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</si>
  <si>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</si>
  <si>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</si>
  <si>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</si>
  <si>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</si>
  <si>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</si>
  <si>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</si>
  <si>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</si>
  <si>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</si>
  <si>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</si>
  <si>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</si>
  <si>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</si>
  <si>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</si>
  <si>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</si>
  <si>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</si>
  <si>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</si>
  <si>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</si>
  <si>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</si>
  <si>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</si>
  <si>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</si>
  <si>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</si>
  <si>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</si>
  <si>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</si>
  <si>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</si>
  <si>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</si>
  <si>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</si>
  <si>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</si>
  <si>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</si>
  <si>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</si>
  <si>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</si>
  <si>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</si>
  <si>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</si>
  <si>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</si>
  <si>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</si>
  <si>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</si>
  <si>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</si>
  <si>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</si>
  <si>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</si>
  <si>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</si>
  <si>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</si>
  <si>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</si>
  <si>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</si>
  <si>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</si>
  <si>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</si>
  <si>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</si>
  <si>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</si>
  <si>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</si>
  <si>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</si>
  <si>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</si>
  <si>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</si>
  <si>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</si>
  <si>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</si>
  <si>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</si>
  <si>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</si>
  <si>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</si>
  <si>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</si>
  <si>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</si>
  <si>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</si>
  <si>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</si>
  <si>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</si>
  <si>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</si>
  <si>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</si>
  <si>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</si>
  <si>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</si>
  <si>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</si>
  <si>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</si>
  <si>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</si>
  <si>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</si>
  <si>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</si>
  <si>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</si>
  <si>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</si>
  <si>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</si>
  <si>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</si>
  <si>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</si>
  <si>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</si>
  <si>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</si>
  <si>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</si>
  <si>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</si>
  <si>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</si>
  <si>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</si>
  <si>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</si>
  <si>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</si>
  <si>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</si>
  <si>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</si>
  <si>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</si>
  <si>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</si>
  <si>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</si>
  <si>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</si>
  <si>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</si>
  <si>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</si>
  <si>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</si>
  <si>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</si>
  <si>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</si>
  <si>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</si>
  <si>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</si>
  <si>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</si>
  <si>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</si>
  <si>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</si>
  <si>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</si>
  <si>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</si>
  <si>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</si>
  <si>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</si>
  <si>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</si>
  <si>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</si>
  <si>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</si>
  <si>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</si>
  <si>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</si>
  <si>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</si>
  <si>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</si>
  <si>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</si>
  <si>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</si>
  <si>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</si>
  <si>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</si>
  <si>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</si>
  <si>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</si>
  <si>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</si>
  <si>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</si>
  <si>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</si>
  <si>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</si>
  <si>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</si>
  <si>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</si>
  <si>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</si>
  <si>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</si>
  <si>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</si>
  <si>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</si>
  <si>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</si>
  <si>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</si>
  <si>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</si>
  <si>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</si>
  <si>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</si>
  <si>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</si>
  <si>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</si>
  <si>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</si>
  <si>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</si>
  <si>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</si>
  <si>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</si>
  <si>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</si>
  <si>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</si>
  <si>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</si>
  <si>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</si>
  <si>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</si>
  <si>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</si>
  <si>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</si>
  <si>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</si>
  <si>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</si>
  <si>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</si>
  <si>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</si>
  <si>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</si>
  <si>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</si>
  <si>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</si>
  <si>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</si>
  <si>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</si>
  <si>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</si>
  <si>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</si>
  <si>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</si>
  <si>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</si>
  <si>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</si>
  <si>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</si>
  <si>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</si>
  <si>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</si>
  <si>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</si>
  <si>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</si>
  <si>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</si>
  <si>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</si>
  <si>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</si>
  <si>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</si>
  <si>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</si>
  <si>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</si>
  <si>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</si>
  <si>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</si>
  <si>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</si>
  <si>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</si>
  <si>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</si>
  <si>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</si>
  <si>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</si>
  <si>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</si>
  <si>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</si>
  <si>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</si>
  <si>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</si>
  <si>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</si>
  <si>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</si>
  <si>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</si>
  <si>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</si>
  <si>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</si>
  <si>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</si>
  <si>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</si>
  <si>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</si>
  <si>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</si>
  <si>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</si>
  <si>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</si>
  <si>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</si>
  <si>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</si>
  <si>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</si>
  <si>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</si>
  <si>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</si>
  <si>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</si>
  <si>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</si>
  <si>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</si>
  <si>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</si>
  <si>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</si>
  <si>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</si>
  <si>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</si>
  <si>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</si>
  <si>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</si>
  <si>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</si>
  <si>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</si>
  <si>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</si>
  <si>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</si>
  <si>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</si>
  <si>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</si>
  <si>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</si>
  <si>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</si>
  <si>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</si>
  <si>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</si>
  <si>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</si>
  <si>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</si>
  <si>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</si>
  <si>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</si>
  <si>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</si>
  <si>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</si>
  <si>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</si>
  <si>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</si>
  <si>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</si>
  <si>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</si>
  <si>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</si>
  <si>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</si>
  <si>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</si>
  <si>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</si>
  <si>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</si>
  <si>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</si>
  <si>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</si>
  <si>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</si>
  <si>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</si>
  <si>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</si>
  <si>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</si>
  <si>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</si>
  <si>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</si>
  <si>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</si>
  <si>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</si>
  <si>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</si>
  <si>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</si>
  <si>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</si>
  <si>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</si>
  <si>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</si>
  <si>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</si>
  <si>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</si>
  <si>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</si>
  <si>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</si>
  <si>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</si>
  <si>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</si>
  <si>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</si>
  <si>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</si>
  <si>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</si>
  <si>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</si>
  <si>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</si>
  <si>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</si>
  <si>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</si>
  <si>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</si>
  <si>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</si>
  <si>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</si>
  <si>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</si>
  <si>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</si>
  <si>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</si>
  <si>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</si>
  <si>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</si>
  <si>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</si>
  <si>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</si>
  <si>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</si>
  <si>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</si>
  <si>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</si>
  <si>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</si>
  <si>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</si>
  <si>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</si>
  <si>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</si>
  <si>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</si>
  <si>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</si>
  <si>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</si>
  <si>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</si>
  <si>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</si>
  <si>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</si>
  <si>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</si>
  <si>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</si>
  <si>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</si>
  <si>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</si>
  <si>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</si>
  <si>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</si>
  <si>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</si>
  <si>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</si>
  <si>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</si>
  <si>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</si>
  <si>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</si>
  <si>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</si>
  <si>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</si>
  <si>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</si>
  <si>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</si>
  <si>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</si>
  <si>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</si>
  <si>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</si>
  <si>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</si>
  <si>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</si>
  <si>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</si>
  <si>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</si>
  <si>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</si>
  <si>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</si>
  <si>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</si>
  <si>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</si>
  <si>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</si>
  <si>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</si>
  <si>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</si>
  <si>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</si>
  <si>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</si>
  <si>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</si>
  <si>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</si>
  <si>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</si>
  <si>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</si>
  <si>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</si>
  <si>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</si>
  <si>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</si>
  <si>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</si>
  <si>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</si>
  <si>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</si>
  <si>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</si>
  <si>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</si>
  <si>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</si>
  <si>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</si>
  <si>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</si>
  <si>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</si>
  <si>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</si>
  <si>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</si>
  <si>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</si>
  <si>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</si>
  <si>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</si>
  <si>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</si>
  <si>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</si>
  <si>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</si>
  <si>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</si>
  <si>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</si>
  <si>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</si>
  <si>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</si>
  <si>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</si>
  <si>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</si>
  <si>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</si>
  <si>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</si>
  <si>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</si>
  <si>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</si>
  <si>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</si>
  <si>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</si>
  <si>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</si>
  <si>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</si>
  <si>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</si>
  <si>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</si>
  <si>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</si>
  <si>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</si>
  <si>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</si>
  <si>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</si>
  <si>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</si>
  <si>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</si>
  <si>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</si>
  <si>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</si>
  <si>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</si>
  <si>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</si>
  <si>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</si>
  <si>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</si>
  <si>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</si>
  <si>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</si>
  <si>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</si>
  <si>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</si>
  <si>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</si>
  <si>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</si>
  <si>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</si>
  <si>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</si>
  <si>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</si>
  <si>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</si>
  <si>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</si>
  <si>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</si>
  <si>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</si>
  <si>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</si>
  <si>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</si>
  <si>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</si>
  <si>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</si>
  <si>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</si>
  <si>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</si>
  <si>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</si>
  <si>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</si>
  <si>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</si>
  <si>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</si>
  <si>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</si>
  <si>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</si>
  <si>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</si>
  <si>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</si>
  <si>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</si>
  <si>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</si>
  <si>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</si>
  <si>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</si>
  <si>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</si>
  <si>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</si>
  <si>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</si>
  <si>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</si>
  <si>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</si>
  <si>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</si>
  <si>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</si>
  <si>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</si>
  <si>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</si>
  <si>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</si>
  <si>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</si>
  <si>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</si>
  <si>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</si>
  <si>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</si>
  <si>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</si>
  <si>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</si>
  <si>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</si>
  <si>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</si>
  <si>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</si>
  <si>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</si>
  <si>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</si>
  <si>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</si>
  <si>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</si>
  <si>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</si>
  <si>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</si>
  <si>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</si>
  <si>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</si>
  <si>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</si>
  <si>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</si>
  <si>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</si>
  <si>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</si>
  <si>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</si>
  <si>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</si>
  <si>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</si>
  <si>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</si>
  <si>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</si>
  <si>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</si>
  <si>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</si>
  <si>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</si>
  <si>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</si>
  <si>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</si>
  <si>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</si>
  <si>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</si>
  <si>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</si>
  <si>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</si>
  <si>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</si>
  <si>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</si>
  <si>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</si>
  <si>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</si>
  <si>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</si>
  <si>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</si>
  <si>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</si>
  <si>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</si>
  <si>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</si>
  <si>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</si>
  <si>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</si>
  <si>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</si>
  <si>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</si>
  <si>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</si>
  <si>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</si>
  <si>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</si>
  <si>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</si>
  <si>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</si>
  <si>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</si>
  <si>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</si>
  <si>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</si>
  <si>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</si>
  <si>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</si>
  <si>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</si>
  <si>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</si>
  <si>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</si>
  <si>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</si>
  <si>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</si>
  <si>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</si>
  <si>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</si>
  <si>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</si>
  <si>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</si>
  <si>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</si>
  <si>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</si>
  <si>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</si>
  <si>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</si>
  <si>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</si>
  <si>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</si>
  <si>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</si>
  <si>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</si>
  <si>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</si>
  <si>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</si>
  <si>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</si>
  <si>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</si>
  <si>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</si>
  <si>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</si>
  <si>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</si>
  <si>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</si>
  <si>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</si>
  <si>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</si>
  <si>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</si>
  <si>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</si>
  <si>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</si>
  <si>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</si>
  <si>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</si>
  <si>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</si>
  <si>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</si>
  <si>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</si>
  <si>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</si>
  <si>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</si>
  <si>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</si>
  <si>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</si>
  <si>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</si>
  <si>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</si>
  <si>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</si>
  <si>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</si>
  <si>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</si>
  <si>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</si>
  <si>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</si>
  <si>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</si>
  <si>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</si>
  <si>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</si>
  <si>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</si>
  <si>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</si>
  <si>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</si>
  <si>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</si>
  <si>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</si>
  <si>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</si>
  <si>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</si>
  <si>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</si>
  <si>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</si>
  <si>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</si>
  <si>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</si>
  <si>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</si>
  <si>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</si>
  <si>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</si>
  <si>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</si>
  <si>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</si>
  <si>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</si>
  <si>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</si>
  <si>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</si>
  <si>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</si>
  <si>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</si>
  <si>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</si>
  <si>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</si>
  <si>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</si>
  <si>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</si>
  <si>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</si>
  <si>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</si>
  <si>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</si>
  <si>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</si>
  <si>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</si>
  <si>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</si>
  <si>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</si>
  <si>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</si>
  <si>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</si>
  <si>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</si>
  <si>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</si>
  <si>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</si>
  <si>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</si>
  <si>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</si>
  <si>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</si>
  <si>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</si>
  <si>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</si>
  <si>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</si>
  <si>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</si>
  <si>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</si>
  <si>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</si>
  <si>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</si>
  <si>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</si>
  <si>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</si>
  <si>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</si>
  <si>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</si>
  <si>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</si>
  <si>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</si>
  <si>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</si>
  <si>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</si>
  <si>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</si>
  <si>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</si>
  <si>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</si>
  <si>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</si>
  <si>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</si>
  <si>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</si>
  <si>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</si>
  <si>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</si>
  <si>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</si>
  <si>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</si>
  <si>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</si>
  <si>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</si>
  <si>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</si>
  <si>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</si>
  <si>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</si>
  <si>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</si>
  <si>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</si>
  <si>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</si>
  <si>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</si>
  <si>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</si>
  <si>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</si>
  <si>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</si>
  <si>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</si>
  <si>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</si>
  <si>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</si>
  <si>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</si>
  <si>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</si>
  <si>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</si>
  <si>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</si>
  <si>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</si>
  <si>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</si>
  <si>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</si>
  <si>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</si>
  <si>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</si>
  <si>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</si>
  <si>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</si>
  <si>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</si>
  <si>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</si>
  <si>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</si>
  <si>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</si>
  <si>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</si>
  <si>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</si>
  <si>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</si>
  <si>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</si>
  <si>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</si>
  <si>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</si>
  <si>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</si>
  <si>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</si>
  <si>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</si>
  <si>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</si>
  <si>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</si>
  <si>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</si>
  <si>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</si>
  <si>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</si>
  <si>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</si>
  <si>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</si>
  <si>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</si>
  <si>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</si>
  <si>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</si>
  <si>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</si>
  <si>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</si>
  <si>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</si>
  <si>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</si>
  <si>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</si>
  <si>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</si>
  <si>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</si>
  <si>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</si>
  <si>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</si>
  <si>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</si>
  <si>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</si>
  <si>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</si>
  <si>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</si>
  <si>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</si>
  <si>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</si>
  <si>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</si>
  <si>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</si>
  <si>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</si>
  <si>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</si>
  <si>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</si>
  <si>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</si>
  <si>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</si>
  <si>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</si>
  <si>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</si>
  <si>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</si>
  <si>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</si>
  <si>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</si>
  <si>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</si>
  <si>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</si>
  <si>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</si>
  <si>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</si>
  <si>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</si>
  <si>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</si>
  <si>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</si>
  <si>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</si>
  <si>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</si>
  <si>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</si>
  <si>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</si>
  <si>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</si>
  <si>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</si>
  <si>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</si>
  <si>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</si>
  <si>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</si>
  <si>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</si>
  <si>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</si>
  <si>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</si>
  <si>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</si>
  <si>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</si>
  <si>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</si>
  <si>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</si>
  <si>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</si>
  <si>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</si>
  <si>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</si>
  <si>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</si>
  <si>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</si>
  <si>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</si>
  <si>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</si>
  <si>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</si>
  <si>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</si>
  <si>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</si>
  <si>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</si>
  <si>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</si>
  <si>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</si>
  <si>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</si>
  <si>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</si>
  <si>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</si>
  <si>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</si>
  <si>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</si>
  <si>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</si>
  <si>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</si>
  <si>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</si>
  <si>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</si>
  <si>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</si>
  <si>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</si>
  <si>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</si>
  <si>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</si>
  <si>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</si>
  <si>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</si>
  <si>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</si>
  <si>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</si>
  <si>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</si>
  <si>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</si>
  <si>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</si>
  <si>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</si>
  <si>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</si>
  <si>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</si>
  <si>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</si>
  <si>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</si>
  <si>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</si>
  <si>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</si>
  <si>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</si>
  <si>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</si>
  <si>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</si>
  <si>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</si>
  <si>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</si>
  <si>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</si>
  <si>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</si>
  <si>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</si>
  <si>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</si>
  <si>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</si>
  <si>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</si>
  <si>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</si>
  <si>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</si>
  <si>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</si>
  <si>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</si>
  <si>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</si>
  <si>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</si>
  <si>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</si>
  <si>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</si>
  <si>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</si>
  <si>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</si>
  <si>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</si>
  <si>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</si>
  <si>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</si>
  <si>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</si>
  <si>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</si>
  <si>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</si>
  <si>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</si>
  <si>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</si>
  <si>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</si>
  <si>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</si>
  <si>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</si>
  <si>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</si>
  <si>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</si>
  <si>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</si>
  <si>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</si>
  <si>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</si>
  <si>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</si>
  <si>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</si>
  <si>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</si>
  <si>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</si>
  <si>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</si>
  <si>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</si>
  <si>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</si>
  <si>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</si>
  <si>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</si>
  <si>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</si>
  <si>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</si>
  <si>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</si>
  <si>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</si>
  <si>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</si>
  <si>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</si>
  <si>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</si>
  <si>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</si>
  <si>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</si>
  <si>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</si>
  <si>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</si>
  <si>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</si>
  <si>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</si>
  <si>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</si>
  <si>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</si>
  <si>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</si>
  <si>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</si>
  <si>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</si>
  <si>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</si>
  <si>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</si>
  <si>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</si>
  <si>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</si>
  <si>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</si>
  <si>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</si>
  <si>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</si>
  <si>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</si>
  <si>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</si>
  <si>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</si>
  <si>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</si>
  <si>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</si>
  <si>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</si>
  <si>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</si>
  <si>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</si>
  <si>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</si>
  <si>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</si>
  <si>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</si>
  <si>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</si>
  <si>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</si>
  <si>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</si>
  <si>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</si>
  <si>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</si>
  <si>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</si>
  <si>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</si>
  <si>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</si>
  <si>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</si>
  <si>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</si>
  <si>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</si>
  <si>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</si>
  <si>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</si>
  <si>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</si>
  <si>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</si>
  <si>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</si>
  <si>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</si>
  <si>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</si>
  <si>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</si>
  <si>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</si>
  <si>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</si>
  <si>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</si>
  <si>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</si>
  <si>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</si>
  <si>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</si>
  <si>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</si>
  <si>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</si>
  <si>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</si>
  <si>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</si>
  <si>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</si>
  <si>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</si>
  <si>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</si>
  <si>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</si>
  <si>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</si>
  <si>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</si>
  <si>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</si>
  <si>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</si>
  <si>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</si>
  <si>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</si>
  <si>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</si>
  <si>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</si>
  <si>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</si>
  <si>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</si>
  <si>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</si>
  <si>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</si>
  <si>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</si>
  <si>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</si>
  <si>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</si>
  <si>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</si>
  <si>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</si>
  <si>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</si>
  <si>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</si>
  <si>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</si>
  <si>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</si>
  <si>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</si>
  <si>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</si>
  <si>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</si>
  <si>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</si>
  <si>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</si>
  <si>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</si>
  <si>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</si>
  <si>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</si>
  <si>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</si>
  <si>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</si>
  <si>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</si>
  <si>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</si>
  <si>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</si>
  <si>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</si>
  <si>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</si>
  <si>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</si>
  <si>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</si>
  <si>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</si>
  <si>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</si>
  <si>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</si>
  <si>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</si>
  <si>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</si>
  <si>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</si>
  <si>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</si>
  <si>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</si>
  <si>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</si>
  <si>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</si>
  <si>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</si>
  <si>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</si>
  <si>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</si>
  <si>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</si>
  <si>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</si>
  <si>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</si>
  <si>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</si>
  <si>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</si>
  <si>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</si>
  <si>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</si>
  <si>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</si>
  <si>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</si>
  <si>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</si>
  <si>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</si>
  <si>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</si>
  <si>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</si>
  <si>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</si>
  <si>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</si>
  <si>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</si>
  <si>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</si>
  <si>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</si>
  <si>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</si>
  <si>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</si>
  <si>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</si>
  <si>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</si>
  <si>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</si>
  <si>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</si>
  <si>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</si>
  <si>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</si>
  <si>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</si>
  <si>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</si>
  <si>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</si>
  <si>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</si>
  <si>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</si>
  <si>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</si>
  <si>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</si>
  <si>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</si>
  <si>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</si>
  <si>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</si>
  <si>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</si>
  <si>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</si>
  <si>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</si>
  <si>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</si>
  <si>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</si>
  <si>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</si>
  <si>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</si>
  <si>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</si>
  <si>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</si>
  <si>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</si>
  <si>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</si>
  <si>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</si>
  <si>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</si>
  <si>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</si>
  <si>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</si>
  <si>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</si>
  <si>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</si>
  <si>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</si>
  <si>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</si>
  <si>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</si>
  <si>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</si>
  <si>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</si>
  <si>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</si>
  <si>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</si>
  <si>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</si>
  <si>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</si>
  <si>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</si>
  <si>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</si>
  <si>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</si>
  <si>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</si>
  <si>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</si>
  <si>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</si>
  <si>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</si>
  <si>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</si>
  <si>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</si>
  <si>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</si>
  <si>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</si>
  <si>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</si>
  <si>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</si>
  <si>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</si>
  <si>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</si>
  <si>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</si>
  <si>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</si>
  <si>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</si>
  <si>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</si>
  <si>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</si>
  <si>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</si>
  <si>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</si>
  <si>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</si>
  <si>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</si>
  <si>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</si>
  <si>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</si>
  <si>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</si>
  <si>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</si>
  <si>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</si>
  <si>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</si>
  <si>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</si>
  <si>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</si>
  <si>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</si>
  <si>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</si>
  <si>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</si>
  <si>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</si>
  <si>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</si>
  <si>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</si>
  <si>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</si>
  <si>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</si>
  <si>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</si>
  <si>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</si>
  <si>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</si>
  <si>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</si>
  <si>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</si>
  <si>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</si>
  <si>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</si>
  <si>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</si>
  <si>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</si>
  <si>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</si>
  <si>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</si>
  <si>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</si>
  <si>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</si>
  <si>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</si>
  <si>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</si>
  <si>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</si>
  <si>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</si>
  <si>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</si>
  <si>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</si>
  <si>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</si>
  <si>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</si>
  <si>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</si>
  <si>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</si>
  <si>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</si>
  <si>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</si>
  <si>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</si>
  <si>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</si>
  <si>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</si>
  <si>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</si>
  <si>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</si>
  <si>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</si>
  <si>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</si>
  <si>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</si>
  <si>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</si>
  <si>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</si>
  <si>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</si>
  <si>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</si>
  <si>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</si>
  <si>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</si>
  <si>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</si>
  <si>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</si>
  <si>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</si>
  <si>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</si>
  <si>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</si>
  <si>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</si>
  <si>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</si>
  <si>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</si>
  <si>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</si>
  <si>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</si>
  <si>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</si>
  <si>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</si>
  <si>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</si>
  <si>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</si>
  <si>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</si>
  <si>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</si>
  <si>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</si>
  <si>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</si>
  <si>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</si>
  <si>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</si>
  <si>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</si>
  <si>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</si>
  <si>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</si>
  <si>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</si>
  <si>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</si>
  <si>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</si>
  <si>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</si>
  <si>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</si>
  <si>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</si>
  <si>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</si>
  <si>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</si>
  <si>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</si>
  <si>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</si>
  <si>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</si>
  <si>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</si>
  <si>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</si>
  <si>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</si>
  <si>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</si>
  <si>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</si>
  <si>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</si>
  <si>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</si>
  <si>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</si>
  <si>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</si>
  <si>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</si>
  <si>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</si>
  <si>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</si>
  <si>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</si>
  <si>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</si>
  <si>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</si>
  <si>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</si>
  <si>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</si>
  <si>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</si>
  <si>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</si>
  <si>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</si>
  <si>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</si>
  <si>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</si>
  <si>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</si>
  <si>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</si>
  <si>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</si>
  <si>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</si>
  <si>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</si>
  <si>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</si>
  <si>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</si>
  <si>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</si>
  <si>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</si>
  <si>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</si>
  <si>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</si>
  <si>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</si>
  <si>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</si>
  <si>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</si>
  <si>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</si>
  <si>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</si>
  <si>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</si>
  <si>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</si>
  <si>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</si>
  <si>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</si>
  <si>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</si>
  <si>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</si>
  <si>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</si>
  <si>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</si>
  <si>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</si>
  <si>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</si>
  <si>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</si>
  <si>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</si>
  <si>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</si>
  <si>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</si>
  <si>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</si>
  <si>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</si>
  <si>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</si>
  <si>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</si>
  <si>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</si>
  <si>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</si>
  <si>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</si>
  <si>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</si>
  <si>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</si>
  <si>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</si>
  <si>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</si>
  <si>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</si>
  <si>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</si>
  <si>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</si>
  <si>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</si>
  <si>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</si>
  <si>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</si>
  <si>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</si>
  <si>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</si>
  <si>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</si>
  <si>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</si>
  <si>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</si>
  <si>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</si>
  <si>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</si>
  <si>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</si>
  <si>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</si>
  <si>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</si>
  <si>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</si>
  <si>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</si>
  <si>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</si>
  <si>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</si>
  <si>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</si>
  <si>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</si>
  <si>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</si>
  <si>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</si>
  <si>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</si>
  <si>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</si>
  <si>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</si>
  <si>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</si>
  <si>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</si>
  <si>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</si>
  <si>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</si>
  <si>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</si>
  <si>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</si>
  <si>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</si>
  <si>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</si>
  <si>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</si>
  <si>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</si>
  <si>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</si>
  <si>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</si>
  <si>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</si>
  <si>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</si>
  <si>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</si>
  <si>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</si>
  <si>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</si>
  <si>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</si>
  <si>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</si>
  <si>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</si>
  <si>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</si>
  <si>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</si>
  <si>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</si>
  <si>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</si>
  <si>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</si>
  <si>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</si>
  <si>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</si>
  <si>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</si>
  <si>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</si>
  <si>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</si>
  <si>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</si>
  <si>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</si>
  <si>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</si>
  <si>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</si>
  <si>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</si>
  <si>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</si>
  <si>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</si>
  <si>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</si>
  <si>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</si>
  <si>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</si>
  <si>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</si>
  <si>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</si>
  <si>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</si>
  <si>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</si>
  <si>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</si>
  <si>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</si>
  <si>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</si>
  <si>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</si>
  <si>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</si>
  <si>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</si>
  <si>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</si>
  <si>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</si>
  <si>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</si>
  <si>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</si>
  <si>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</si>
  <si>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</si>
  <si>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</si>
  <si>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</si>
  <si>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</si>
  <si>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</si>
  <si>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</si>
  <si>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</si>
  <si>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</si>
  <si>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</si>
  <si>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</si>
  <si>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</si>
  <si>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</si>
  <si>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</si>
  <si>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</si>
  <si>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</si>
  <si>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</si>
  <si>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</si>
  <si>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</si>
  <si>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</si>
  <si>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</si>
  <si>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</si>
  <si>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</si>
  <si>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</si>
  <si>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</si>
  <si>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</si>
  <si>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</si>
  <si>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</si>
  <si>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</si>
  <si>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</si>
  <si>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</si>
  <si>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</si>
  <si>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</si>
  <si>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</si>
  <si>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</si>
  <si>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</si>
  <si>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</si>
  <si>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</si>
  <si>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</si>
  <si>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</si>
  <si>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</si>
  <si>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</si>
  <si>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</si>
  <si>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</si>
  <si>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</si>
  <si>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</si>
  <si>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</si>
  <si>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</si>
  <si>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</si>
  <si>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</si>
  <si>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</si>
  <si>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</si>
  <si>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</si>
  <si>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</si>
  <si>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</si>
  <si>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</si>
  <si>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</si>
  <si>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</si>
  <si>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</si>
  <si>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</si>
  <si>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</si>
  <si>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</si>
  <si>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</si>
  <si>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</si>
  <si>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</si>
  <si>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</si>
  <si>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</si>
  <si>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</si>
  <si>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</si>
  <si>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</si>
  <si>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</si>
  <si>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</si>
  <si>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</si>
  <si>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</si>
  <si>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</si>
  <si>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</si>
  <si>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</si>
  <si>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</si>
  <si>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</si>
  <si>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</si>
  <si>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</si>
  <si>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</si>
  <si>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</si>
  <si>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</si>
  <si>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</si>
  <si>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</si>
  <si>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</si>
  <si>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</si>
  <si>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</si>
  <si>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</si>
  <si>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</si>
  <si>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</si>
  <si>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</si>
  <si>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</si>
  <si>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</si>
  <si>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</si>
  <si>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</si>
  <si>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</si>
  <si>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</si>
  <si>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</si>
  <si>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</si>
  <si>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</si>
  <si>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</si>
  <si>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</si>
  <si>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</si>
  <si>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</si>
  <si>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</si>
  <si>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</si>
  <si>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</si>
  <si>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</si>
  <si>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</si>
  <si>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</si>
  <si>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</si>
  <si>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</si>
  <si>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</si>
  <si>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</si>
  <si>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</si>
  <si>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</si>
  <si>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</si>
  <si>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</si>
  <si>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</si>
  <si>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</si>
  <si>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</si>
  <si>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</si>
  <si>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</si>
  <si>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</si>
  <si>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</si>
  <si>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</si>
  <si>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</si>
  <si>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</si>
  <si>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</si>
  <si>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</si>
  <si>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</si>
  <si>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</si>
  <si>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</si>
  <si>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</si>
  <si>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</si>
  <si>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</si>
  <si>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</si>
  <si>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</si>
  <si>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</si>
  <si>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</si>
  <si>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</si>
  <si>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</si>
  <si>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</si>
  <si>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</si>
  <si>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</si>
  <si>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</si>
  <si>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</si>
  <si>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</si>
  <si>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</si>
  <si>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</si>
  <si>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</si>
  <si>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</si>
  <si>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</si>
  <si>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</si>
  <si>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</si>
  <si>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</si>
  <si>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</si>
  <si>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</si>
  <si>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</si>
  <si>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</si>
  <si>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</si>
  <si>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</si>
  <si>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</si>
  <si>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</si>
  <si>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</si>
  <si>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</si>
  <si>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</si>
  <si>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</si>
  <si>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</si>
  <si>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</si>
  <si>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</si>
  <si>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</si>
  <si>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</si>
  <si>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</si>
  <si>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</si>
  <si>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</si>
  <si>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</si>
  <si>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</si>
  <si>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</si>
  <si>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</si>
  <si>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</si>
  <si>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</si>
  <si>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</si>
  <si>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</si>
  <si>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</si>
  <si>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</si>
  <si>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</si>
  <si>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</si>
  <si>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</si>
  <si>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</si>
  <si>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</si>
  <si>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</si>
  <si>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</si>
  <si>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</si>
  <si>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</si>
  <si>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</si>
  <si>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</si>
  <si>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</si>
  <si>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</si>
  <si>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</si>
  <si>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</si>
  <si>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</si>
  <si>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</si>
  <si>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</si>
  <si>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</si>
  <si>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</si>
  <si>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</si>
  <si>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</si>
  <si>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</si>
  <si>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</si>
  <si>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</si>
  <si>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</si>
  <si>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</si>
  <si>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</si>
  <si>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</si>
  <si>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</si>
  <si>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</si>
  <si>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</si>
  <si>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</si>
  <si>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</si>
  <si>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</si>
  <si>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</si>
  <si>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</si>
  <si>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</si>
  <si>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</si>
  <si>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</si>
  <si>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</si>
  <si>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</si>
  <si>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</si>
  <si>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</si>
  <si>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</si>
  <si>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</si>
  <si>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</si>
  <si>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</si>
  <si>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</si>
  <si>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</si>
  <si>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</si>
  <si>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</si>
  <si>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</si>
  <si>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</si>
  <si>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</si>
  <si>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</si>
  <si>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</si>
  <si>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</si>
  <si>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</si>
  <si>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</si>
  <si>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</si>
  <si>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</si>
  <si>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</si>
  <si>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</si>
  <si>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</si>
  <si>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</si>
  <si>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</si>
  <si>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</si>
  <si>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</si>
  <si>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</si>
  <si>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</si>
  <si>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</si>
  <si>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</si>
  <si>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</si>
  <si>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</si>
  <si>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</si>
  <si>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</si>
  <si>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</si>
  <si>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</si>
  <si>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</si>
  <si>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</si>
  <si>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</si>
  <si>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</si>
  <si>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</si>
  <si>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</si>
  <si>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</si>
  <si>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</si>
  <si>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</si>
  <si>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</si>
  <si>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</si>
  <si>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</si>
  <si>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</si>
  <si>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</si>
  <si>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</si>
  <si>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</si>
  <si>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</si>
  <si>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</si>
  <si>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</si>
  <si>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</si>
  <si>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</si>
  <si>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</si>
  <si>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</si>
  <si>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</si>
  <si>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</si>
  <si>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</si>
  <si>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</si>
  <si>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</si>
  <si>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</si>
  <si>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</si>
  <si>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</si>
  <si>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</si>
  <si>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</si>
  <si>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</si>
  <si>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</si>
  <si>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</si>
  <si>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</si>
  <si>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</si>
  <si>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</si>
  <si>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</si>
  <si>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</si>
  <si>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</si>
  <si>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</si>
  <si>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</si>
  <si>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</si>
  <si>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</si>
  <si>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</si>
  <si>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</si>
  <si>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</si>
  <si>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</si>
  <si>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</si>
  <si>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</si>
  <si>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</si>
  <si>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</si>
  <si>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</si>
  <si>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</si>
  <si>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</si>
  <si>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</si>
  <si>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</si>
  <si>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</si>
  <si>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</si>
  <si>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</si>
  <si>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</si>
  <si>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</si>
  <si>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</si>
  <si>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</si>
  <si>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</si>
  <si>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</si>
  <si>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</si>
  <si>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</si>
  <si>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</si>
  <si>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</si>
  <si>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</si>
  <si>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</si>
  <si>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</si>
  <si>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</si>
  <si>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</si>
  <si>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</si>
  <si>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</si>
  <si>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</si>
  <si>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</si>
  <si>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</si>
  <si>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</si>
  <si>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</si>
  <si>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</si>
  <si>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</si>
  <si>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</si>
  <si>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</si>
  <si>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</si>
  <si>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</si>
  <si>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</si>
  <si>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</si>
  <si>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</si>
  <si>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</si>
  <si>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</si>
  <si>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</si>
  <si>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</si>
  <si>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</si>
  <si>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</si>
  <si>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</si>
  <si>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</si>
  <si>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</si>
  <si>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</si>
  <si>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</si>
  <si>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</si>
  <si>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</si>
  <si>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</si>
  <si>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</si>
  <si>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</si>
  <si>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</si>
  <si>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</si>
  <si>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</si>
  <si>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</si>
  <si>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</si>
  <si>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</si>
  <si>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</si>
  <si>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</si>
  <si>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</si>
  <si>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</si>
  <si>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</si>
  <si>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</si>
  <si>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</si>
  <si>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</si>
  <si>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</si>
  <si>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</si>
  <si>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</si>
  <si>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</si>
  <si>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</si>
  <si>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</si>
  <si>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</si>
  <si>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</si>
  <si>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</si>
  <si>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</si>
  <si>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</si>
  <si>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2009</t>
    <phoneticPr fontId="6" type="noConversion"/>
  </si>
  <si>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</si>
  <si>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</si>
  <si>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</si>
  <si>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</si>
  <si>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</si>
  <si>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</si>
  <si>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</si>
  <si>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</si>
  <si>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</si>
  <si>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</si>
  <si>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库房</t>
    <phoneticPr fontId="7" type="noConversion"/>
  </si>
  <si>
    <t>底商</t>
  </si>
  <si>
    <t>商业铂郡</t>
    <phoneticPr fontId="7" type="noConversion"/>
  </si>
  <si>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</si>
  <si>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</si>
  <si>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</si>
  <si>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</si>
  <si>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</si>
  <si>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</si>
  <si>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</si>
  <si>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</si>
  <si>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</si>
  <si>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</si>
  <si>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</si>
  <si>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</si>
  <si>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</si>
  <si>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</si>
  <si>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</si>
  <si>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</si>
  <si>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</si>
  <si>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</si>
  <si>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</si>
  <si>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</si>
  <si>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</si>
  <si>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</si>
  <si>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</si>
  <si>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</si>
  <si>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</si>
  <si>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</si>
  <si>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</si>
  <si>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</si>
  <si>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</si>
  <si>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</si>
  <si>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</si>
  <si>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</si>
  <si>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</si>
  <si>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</si>
  <si>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</si>
  <si>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</si>
  <si>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</si>
  <si>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</si>
  <si>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</si>
  <si>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</si>
  <si>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</si>
  <si>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</si>
  <si>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</si>
  <si>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</si>
  <si>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</si>
  <si>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</si>
  <si>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</si>
  <si>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</si>
  <si>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</si>
  <si>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</si>
  <si>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</si>
  <si>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</si>
  <si>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</si>
  <si>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</si>
  <si>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</si>
  <si>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</si>
  <si>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</si>
  <si>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</si>
  <si>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</si>
  <si>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</si>
  <si>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</si>
  <si>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</si>
  <si>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</si>
  <si>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</si>
  <si>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</si>
  <si>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</si>
  <si>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</si>
  <si>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</si>
  <si>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</si>
  <si>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</si>
  <si>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</si>
  <si>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</si>
  <si>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</si>
  <si>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</si>
  <si>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</si>
  <si>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</si>
  <si>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</si>
  <si>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</si>
  <si>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</si>
  <si>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</si>
  <si>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</si>
  <si>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</si>
  <si>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</si>
  <si>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</si>
  <si>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</si>
  <si>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</si>
  <si>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</si>
  <si>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</si>
  <si>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</si>
  <si>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</si>
  <si>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</si>
  <si>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</si>
  <si>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</si>
  <si>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</si>
  <si>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</si>
  <si>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</si>
  <si>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</si>
  <si>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</si>
  <si>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</si>
  <si>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</si>
  <si>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</si>
  <si>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</si>
  <si>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</si>
  <si>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</si>
  <si>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</si>
  <si>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地址</t>
    <phoneticPr fontId="140" type="noConversion"/>
  </si>
  <si>
    <t>甲6号楼</t>
    <phoneticPr fontId="140" type="noConversion"/>
  </si>
  <si>
    <t>乙6号楼</t>
    <phoneticPr fontId="140" type="noConversion"/>
  </si>
  <si>
    <t>7号楼</t>
    <phoneticPr fontId="140" type="noConversion"/>
  </si>
  <si>
    <t>5号楼</t>
    <phoneticPr fontId="140" type="noConversion"/>
  </si>
  <si>
    <t>1</t>
    <phoneticPr fontId="140" type="noConversion"/>
  </si>
  <si>
    <t>直接临街</t>
    <phoneticPr fontId="140" type="noConversion"/>
  </si>
  <si>
    <t>间接临街</t>
    <phoneticPr fontId="140" type="noConversion"/>
  </si>
  <si>
    <t>不临街</t>
    <phoneticPr fontId="140" type="noConversion"/>
  </si>
  <si>
    <t>1层</t>
    <phoneticPr fontId="140" type="noConversion"/>
  </si>
  <si>
    <t>2层</t>
    <phoneticPr fontId="140" type="noConversion"/>
  </si>
  <si>
    <t>-1层</t>
    <phoneticPr fontId="140" type="noConversion"/>
  </si>
  <si>
    <r>
      <t>甲6、</t>
    </r>
    <r>
      <rPr>
        <sz val="11"/>
        <color theme="1"/>
        <rFont val="宋体"/>
        <family val="3"/>
        <charset val="134"/>
        <scheme val="minor"/>
      </rPr>
      <t>7</t>
    </r>
    <phoneticPr fontId="140" type="noConversion"/>
  </si>
  <si>
    <r>
      <t>5号楼</t>
    </r>
    <r>
      <rPr>
        <sz val="11"/>
        <color theme="1"/>
        <rFont val="宋体"/>
        <family val="3"/>
        <charset val="134"/>
        <scheme val="minor"/>
      </rPr>
      <t>114-118、204、205</t>
    </r>
    <phoneticPr fontId="140" type="noConversion"/>
  </si>
  <si>
    <t>乙6、5号楼110-113、119-123、206-210</t>
    <phoneticPr fontId="140" type="noConversion"/>
  </si>
  <si>
    <r>
      <t>2</t>
    </r>
    <r>
      <rPr>
        <sz val="11"/>
        <color theme="1"/>
        <rFont val="宋体"/>
        <family val="3"/>
        <charset val="134"/>
        <scheme val="minor"/>
      </rPr>
      <t>0（1层1,2层3）</t>
    </r>
    <phoneticPr fontId="140" type="noConversion"/>
  </si>
  <si>
    <t>17、19、22（1层1,2层2）</t>
    <phoneticPr fontId="140" type="noConversion"/>
  </si>
  <si>
    <r>
      <t>1</t>
    </r>
    <r>
      <rPr>
        <sz val="11"/>
        <color theme="1"/>
        <rFont val="宋体"/>
        <family val="3"/>
        <charset val="134"/>
        <scheme val="minor"/>
      </rPr>
      <t>6（1层1，-1层4）</t>
    </r>
    <phoneticPr fontId="140" type="noConversion"/>
  </si>
  <si>
    <t>21（1层2，-1层3）</t>
    <phoneticPr fontId="140"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</si>
  <si>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40" type="noConversion"/>
  </si>
  <si>
    <t>5号楼1-2层</t>
    <phoneticPr fontId="140" type="noConversion"/>
  </si>
  <si>
    <r>
      <t>7号楼0</t>
    </r>
    <r>
      <rPr>
        <sz val="11"/>
        <color theme="1"/>
        <rFont val="宋体"/>
        <family val="3"/>
        <charset val="134"/>
        <scheme val="minor"/>
      </rPr>
      <t>3、</t>
    </r>
    <r>
      <rPr>
        <sz val="11"/>
        <color theme="1"/>
        <rFont val="宋体"/>
        <family val="3"/>
        <charset val="134"/>
        <scheme val="minor"/>
      </rPr>
      <t>07</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40" type="noConversion"/>
  </si>
  <si>
    <t>租金单价</t>
    <phoneticPr fontId="140" type="noConversion"/>
  </si>
  <si>
    <t>地上1层</t>
    <phoneticPr fontId="140" type="noConversion"/>
  </si>
  <si>
    <t>地上1层至2层</t>
    <phoneticPr fontId="140" type="noConversion"/>
  </si>
  <si>
    <t>地下1层至地上1层</t>
    <phoneticPr fontId="140" type="noConversion"/>
  </si>
  <si>
    <t>地下1层</t>
    <phoneticPr fontId="140" type="noConversion"/>
  </si>
  <si>
    <t>合计</t>
    <phoneticPr fontId="140" type="noConversion"/>
  </si>
  <si>
    <t>普通装修</t>
    <phoneticPr fontId="32" type="noConversion"/>
  </si>
  <si>
    <t>普通</t>
  </si>
  <si>
    <t>普通</t>
    <phoneticPr fontId="32" type="noConversion"/>
  </si>
  <si>
    <t>有</t>
  </si>
  <si>
    <t>有</t>
    <phoneticPr fontId="32" type="noConversion"/>
  </si>
  <si>
    <t>地上2层</t>
    <phoneticPr fontId="140" type="noConversion"/>
  </si>
  <si>
    <t>X京房权证朝字第1379925号</t>
    <phoneticPr fontId="140" type="noConversion"/>
  </si>
  <si>
    <t>商业</t>
    <phoneticPr fontId="140" type="noConversion"/>
  </si>
  <si>
    <t>X京房权证朝字第1379920号</t>
    <phoneticPr fontId="140" type="noConversion"/>
  </si>
  <si>
    <t>X京房权证朝字第1379914号</t>
    <phoneticPr fontId="140" type="noConversion"/>
  </si>
  <si>
    <t>X京房权证朝字第1380335号</t>
    <phoneticPr fontId="140" type="noConversion"/>
  </si>
  <si>
    <t>X京房权证朝字第1380329号</t>
    <phoneticPr fontId="140" type="noConversion"/>
  </si>
  <si>
    <t>X京房权证朝字第1380331号</t>
    <phoneticPr fontId="140" type="noConversion"/>
  </si>
  <si>
    <t>X京房权证朝字第1380323号</t>
    <phoneticPr fontId="140" type="noConversion"/>
  </si>
  <si>
    <t>X京房权证朝字第1379884号</t>
    <phoneticPr fontId="140" type="noConversion"/>
  </si>
  <si>
    <t>X京房权证朝字第1379886号</t>
    <phoneticPr fontId="140" type="noConversion"/>
  </si>
  <si>
    <t>X京房权证朝字第1379890号</t>
    <phoneticPr fontId="140" type="noConversion"/>
  </si>
  <si>
    <t>X京房权证朝字第1379946号</t>
    <phoneticPr fontId="140" type="noConversion"/>
  </si>
  <si>
    <t>X京房权证朝字第1379897号</t>
    <phoneticPr fontId="140" type="noConversion"/>
  </si>
  <si>
    <t>X京房权证朝字第1379900号</t>
    <phoneticPr fontId="140" type="noConversion"/>
  </si>
  <si>
    <t>X京房权证朝字第1379902号</t>
    <phoneticPr fontId="140" type="noConversion"/>
  </si>
  <si>
    <t>X京房权证朝字第1379906号</t>
    <phoneticPr fontId="140" type="noConversion"/>
  </si>
  <si>
    <t>X京房权证朝字第1379908号</t>
    <phoneticPr fontId="140" type="noConversion"/>
  </si>
  <si>
    <t>X京房权证朝字第1379912号</t>
    <phoneticPr fontId="140" type="noConversion"/>
  </si>
  <si>
    <t>X京房权证朝字第1379926号</t>
    <phoneticPr fontId="140" type="noConversion"/>
  </si>
  <si>
    <t>X京房权证朝字第1379930号</t>
    <phoneticPr fontId="140" type="noConversion"/>
  </si>
  <si>
    <t>X京房权证朝字第1379931号</t>
    <phoneticPr fontId="140" type="noConversion"/>
  </si>
  <si>
    <t>X京房权证朝字第1379967号</t>
    <phoneticPr fontId="140" type="noConversion"/>
  </si>
  <si>
    <t>X京房权证朝字第1379970号</t>
    <phoneticPr fontId="140" type="noConversion"/>
  </si>
  <si>
    <t>X京房权证朝字第1379972号</t>
    <phoneticPr fontId="140" type="noConversion"/>
  </si>
  <si>
    <t>X京房权证朝字第1379979号</t>
    <phoneticPr fontId="140" type="noConversion"/>
  </si>
  <si>
    <t>X京房权证朝字第1380324号</t>
    <phoneticPr fontId="140" type="noConversion"/>
  </si>
  <si>
    <t>X京房权证朝字第1380334号</t>
    <phoneticPr fontId="140" type="noConversion"/>
  </si>
  <si>
    <t>X京房权证朝字第1380333号</t>
    <phoneticPr fontId="140" type="noConversion"/>
  </si>
  <si>
    <t>其他商业服务</t>
    <phoneticPr fontId="140" type="noConversion"/>
  </si>
  <si>
    <t>X京房权证朝字第1380298号</t>
    <phoneticPr fontId="140" type="noConversion"/>
  </si>
  <si>
    <t>X京房权证朝字第1380296号</t>
    <phoneticPr fontId="140" type="noConversion"/>
  </si>
  <si>
    <t>X京房权证朝字第1380285号</t>
    <phoneticPr fontId="140" type="noConversion"/>
  </si>
  <si>
    <t>朝阳区广渠路36号院5号楼、甲5号楼地下车库-1层-109</t>
    <phoneticPr fontId="140" type="noConversion"/>
  </si>
  <si>
    <t>X京房权证朝字第1380283号</t>
    <phoneticPr fontId="140" type="noConversion"/>
  </si>
  <si>
    <t>朝阳区广渠路36号院5号楼、甲5号楼地下车库-1层-110</t>
  </si>
  <si>
    <t>朝阳区广渠路36号院5号楼、甲5号楼地下车库-1层-111</t>
  </si>
  <si>
    <t>朝阳区广渠路36号院5号楼、甲5号楼地下车库-1层-112</t>
  </si>
  <si>
    <t>朝阳区广渠路36号院5号楼、甲5号楼地下车库-1层-113</t>
  </si>
  <si>
    <t>朝阳区广渠路36号院5号楼、甲5号楼地下车库-1层-114</t>
  </si>
  <si>
    <t>朝阳区广渠路36号院5号楼、甲5号楼地下车库-1层-115</t>
  </si>
  <si>
    <t>朝阳区广渠路36号院5号楼、甲5号楼地下车库-1层-116</t>
  </si>
  <si>
    <t>朝阳区广渠路36号院5号楼、甲5号楼地下车库-1层-117</t>
  </si>
  <si>
    <t>朝阳区广渠路36号院5号楼、甲5号楼地下车库-1层-118</t>
  </si>
  <si>
    <t>朝阳区广渠路36号院5号楼、甲5号楼地下车库-1层-119</t>
  </si>
  <si>
    <t>朝阳区广渠路36号院5号楼、甲5号楼地下车库-1层-121</t>
  </si>
  <si>
    <t>朝阳区广渠路36号院5号楼、甲5号楼地下车库-1层-122</t>
  </si>
  <si>
    <t>朝阳区广渠路36号院5号楼、甲5号楼地下车库-1层-123</t>
  </si>
  <si>
    <t>X京房权证朝字第1380281号</t>
    <phoneticPr fontId="140" type="noConversion"/>
  </si>
  <si>
    <t>X京房权证朝字第1380280号</t>
    <phoneticPr fontId="140" type="noConversion"/>
  </si>
  <si>
    <t>X京房权证朝字第1380277号</t>
    <phoneticPr fontId="140" type="noConversion"/>
  </si>
  <si>
    <t>X京房权证朝字第1379882号</t>
    <phoneticPr fontId="140" type="noConversion"/>
  </si>
  <si>
    <t>X京房权证朝字第1379939号</t>
    <phoneticPr fontId="140" type="noConversion"/>
  </si>
  <si>
    <t>X京房权证朝字第1379880号</t>
    <phoneticPr fontId="140" type="noConversion"/>
  </si>
  <si>
    <t>序号</t>
    <phoneticPr fontId="140" type="noConversion"/>
  </si>
  <si>
    <t>2006-11-29</t>
    <phoneticPr fontId="6" type="noConversion"/>
  </si>
  <si>
    <t>0.2%-0.3%</t>
    <phoneticPr fontId="3" type="noConversion"/>
  </si>
  <si>
    <t>家乐福</t>
    <phoneticPr fontId="140" type="noConversion"/>
  </si>
  <si>
    <t>百环家园</t>
    <phoneticPr fontId="140" type="noConversion"/>
  </si>
  <si>
    <t>乐成国际</t>
    <phoneticPr fontId="140" type="noConversion"/>
  </si>
  <si>
    <t>家乐福</t>
    <phoneticPr fontId="3" type="noConversion"/>
  </si>
  <si>
    <t>乐成国际</t>
    <phoneticPr fontId="3" type="noConversion"/>
  </si>
  <si>
    <t>城市主干道</t>
  </si>
  <si>
    <t>大</t>
  </si>
  <si>
    <t>大</t>
    <phoneticPr fontId="31" type="noConversion"/>
  </si>
  <si>
    <t>一般</t>
    <phoneticPr fontId="31" type="noConversion"/>
  </si>
  <si>
    <t>和谐雅园</t>
    <phoneticPr fontId="140" type="noConversion"/>
  </si>
  <si>
    <t>一般</t>
    <phoneticPr fontId="140" type="noConversion"/>
  </si>
  <si>
    <t>较好</t>
    <phoneticPr fontId="31" type="noConversion"/>
  </si>
  <si>
    <t>天力街</t>
    <phoneticPr fontId="140" type="noConversion"/>
  </si>
  <si>
    <t>大</t>
    <phoneticPr fontId="140" type="noConversion"/>
  </si>
  <si>
    <t>单面临街</t>
    <phoneticPr fontId="140" type="noConversion"/>
  </si>
  <si>
    <t>双面临街</t>
    <phoneticPr fontId="140" type="noConversion"/>
  </si>
  <si>
    <t>不临58条商业街</t>
  </si>
  <si>
    <t>库房</t>
  </si>
  <si>
    <t>库房</t>
    <phoneticPr fontId="32" type="noConversion"/>
  </si>
  <si>
    <t>九龙花园</t>
    <phoneticPr fontId="3" type="noConversion"/>
  </si>
  <si>
    <t>苹果社区</t>
    <phoneticPr fontId="3" type="noConversion"/>
  </si>
  <si>
    <t>挂牌</t>
  </si>
  <si>
    <t>挂牌</t>
    <phoneticPr fontId="32" type="noConversion"/>
  </si>
  <si>
    <t>北京首城置业有限公司</t>
    <phoneticPr fontId="140" type="noConversion"/>
  </si>
  <si>
    <t>X京房权证朝字第1311896号</t>
    <phoneticPr fontId="140" type="noConversion"/>
  </si>
  <si>
    <t>朝阳区广渠路36号院5号楼、甲5号楼地下车库-1层-120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</si>
</sst>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1" xfId="0" applyFont="1" applyBorder="1" applyAlignment="1">
      <alignment horizontal="center"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49" fontId="275" fillId="24" borderId="1" xfId="0" applyNumberFormat="1" applyFont="1" applyFill="1" applyBorder="1" applyAlignment="1">
      <alignment vertical="center"/>
    </xf>
    <xf numFmtId="49" fontId="275" fillId="23" borderId="1" xfId="0" applyNumberFormat="1" applyFont="1" applyFill="1" applyBorder="1" applyAlignment="1">
      <alignment vertical="center"/>
    </xf>
    <xf numFmtId="49" fontId="98"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49" fontId="98" fillId="0" borderId="1" xfId="0" applyNumberFormat="1" applyFont="1" applyFill="1" applyBorder="1" applyAlignment="1">
      <alignment horizontal="center" vertical="center"/>
    </xf>
    <xf numFmtId="49" fontId="275" fillId="0" borderId="1" xfId="0" applyNumberFormat="1" applyFont="1" applyFill="1" applyBorder="1" applyAlignment="1">
      <alignment vertical="center"/>
    </xf>
    <xf numFmtId="0" fontId="98" fillId="0" borderId="0" xfId="0" applyFont="1" applyFill="1" applyBorder="1" applyAlignment="1">
      <alignment horizontal="center" vertical="center"/>
    </xf>
    <xf numFmtId="0" fontId="98" fillId="0" borderId="0" xfId="0" applyFont="1" applyAlignment="1">
      <alignment horizontal="left" vertical="center" wrapText="1"/>
    </xf>
    <xf numFmtId="0" fontId="0" fillId="0" borderId="0" xfId="0" applyAlignment="1">
      <alignment horizontal="left" vertical="center"/>
    </xf>
    <xf numFmtId="178" fontId="0" fillId="0" borderId="0" xfId="0" applyNumberFormat="1" applyAlignment="1">
      <alignment horizontal="left" vertical="center"/>
    </xf>
    <xf numFmtId="0" fontId="277" fillId="5" borderId="15" xfId="0" applyFont="1" applyFill="1" applyBorder="1">
      <alignment vertical="center"/>
    </xf>
    <xf numFmtId="0" fontId="275" fillId="25" borderId="1" xfId="0" applyFont="1" applyFill="1" applyBorder="1" applyAlignment="1">
      <alignment horizontal="center" vertical="center"/>
    </xf>
    <xf numFmtId="49" fontId="275" fillId="25" borderId="1" xfId="0" applyNumberFormat="1" applyFont="1" applyFill="1" applyBorder="1" applyAlignment="1">
      <alignment vertical="center"/>
    </xf>
    <xf numFmtId="0" fontId="275" fillId="25" borderId="1" xfId="0" applyFont="1" applyFill="1" applyBorder="1">
      <alignment vertical="center"/>
    </xf>
    <xf numFmtId="0" fontId="277" fillId="5" borderId="0" xfId="0" applyFont="1" applyFill="1" applyAlignment="1">
      <alignment horizontal="left" vertical="center"/>
    </xf>
    <xf numFmtId="0" fontId="98" fillId="0" borderId="1" xfId="0" applyFont="1" applyBorder="1" applyAlignment="1">
      <alignment horizontal="center" vertical="center"/>
    </xf>
    <xf numFmtId="0" fontId="98" fillId="0" borderId="1" xfId="0" applyFont="1" applyFill="1" applyBorder="1" applyAlignment="1">
      <alignment horizontal="center" vertical="center"/>
    </xf>
    <xf numFmtId="0" fontId="277" fillId="5" borderId="1" xfId="0" applyFont="1" applyFill="1" applyBorder="1" applyAlignment="1">
      <alignment horizontal="center" vertical="center"/>
    </xf>
    <xf numFmtId="178" fontId="275" fillId="0" borderId="1" xfId="0" applyNumberFormat="1" applyFont="1" applyFill="1" applyBorder="1">
      <alignment vertical="center"/>
    </xf>
    <xf numFmtId="0" fontId="275" fillId="0" borderId="1" xfId="0" applyFont="1" applyBorder="1" applyAlignment="1">
      <alignment horizontal="center" vertical="center"/>
    </xf>
    <xf numFmtId="0" fontId="277" fillId="24" borderId="1" xfId="0" applyFont="1" applyFill="1" applyBorder="1" applyAlignment="1">
      <alignment horizontal="center" vertical="center"/>
    </xf>
    <xf numFmtId="0" fontId="98" fillId="0" borderId="1" xfId="0" applyFont="1" applyBorder="1" applyAlignment="1">
      <alignment horizontal="left" vertical="center"/>
    </xf>
    <xf numFmtId="0" fontId="275" fillId="0" borderId="1" xfId="0" applyFont="1" applyBorder="1" applyAlignment="1">
      <alignment horizontal="left" vertical="center" wrapText="1"/>
    </xf>
    <xf numFmtId="0" fontId="0" fillId="0" borderId="1" xfId="0" applyBorder="1" applyAlignment="1">
      <alignment horizontal="left" vertical="center"/>
    </xf>
    <xf numFmtId="0" fontId="275" fillId="22" borderId="1" xfId="0" applyFont="1" applyFill="1" applyBorder="1" applyAlignment="1">
      <alignment horizontal="left" vertical="center" wrapText="1"/>
    </xf>
    <xf numFmtId="0" fontId="98" fillId="25" borderId="1" xfId="0" applyFont="1" applyFill="1" applyBorder="1" applyAlignment="1">
      <alignment horizontal="left" vertical="center"/>
    </xf>
    <xf numFmtId="0" fontId="275" fillId="25" borderId="1" xfId="0" applyFont="1" applyFill="1" applyBorder="1" applyAlignment="1">
      <alignment horizontal="left" vertical="center" wrapText="1"/>
    </xf>
    <xf numFmtId="0" fontId="275" fillId="23" borderId="1" xfId="0" applyFont="1" applyFill="1" applyBorder="1" applyAlignment="1">
      <alignment horizontal="left" vertical="center" wrapText="1"/>
    </xf>
    <xf numFmtId="0" fontId="275" fillId="24" borderId="1" xfId="0" applyFont="1" applyFill="1" applyBorder="1" applyAlignment="1">
      <alignment horizontal="left" vertical="center" wrapText="1"/>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6" borderId="5" xfId="1" applyNumberFormat="1" applyFont="1" applyFill="1" applyBorder="1" applyAlignment="1" applyProtection="1">
      <alignment horizontal="center"/>
    </xf>
    <xf numFmtId="10" fontId="56" fillId="26"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10" fontId="56" fillId="24" borderId="5" xfId="1" applyNumberFormat="1" applyFont="1" applyFill="1" applyBorder="1" applyAlignment="1" applyProtection="1">
      <alignment horizontal="center"/>
    </xf>
    <xf numFmtId="10" fontId="56" fillId="24" borderId="1" xfId="1"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114" fillId="0" borderId="5" xfId="0" applyNumberFormat="1" applyFont="1" applyFill="1" applyBorder="1" applyAlignment="1">
      <alignment horizontal="right" vertical="center" wrapText="1" shrinkToFit="1"/>
    </xf>
    <xf numFmtId="187" fontId="114" fillId="0" borderId="54" xfId="0" applyNumberFormat="1" applyFont="1" applyFill="1" applyBorder="1" applyAlignment="1">
      <alignment horizontal="right"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9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47625</xdr:colOff>
      <xdr:row>19</xdr:row>
      <xdr:rowOff>66675</xdr:rowOff>
    </xdr:from>
    <xdr:to>
      <xdr:col>20</xdr:col>
      <xdr:colOff>276111</xdr:colOff>
      <xdr:row>32</xdr:row>
      <xdr:rowOff>85444</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8497550" y="4010025"/>
          <a:ext cx="914286" cy="2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333375</xdr:colOff>
      <xdr:row>20</xdr:row>
      <xdr:rowOff>39848</xdr:rowOff>
    </xdr:to>
    <xdr:pic>
      <xdr:nvPicPr>
        <xdr:cNvPr id="2" name="图片 1">
          <a:extLst>
            <a:ext uri="{FF2B5EF4-FFF2-40B4-BE49-F238E27FC236}">
              <a16:creationId xmlns:a16="http://schemas.microsoft.com/office/drawing/2014/main" id="{92E3AB84-7AC2-4200-B99A-298B0107737C}"/>
            </a:ext>
          </a:extLst>
        </xdr:cNvPr>
        <xdr:cNvPicPr>
          <a:picLocks noChangeAspect="1"/>
        </xdr:cNvPicPr>
      </xdr:nvPicPr>
      <xdr:blipFill>
        <a:blip xmlns:r="http://schemas.openxmlformats.org/officeDocument/2006/relationships" r:embed="rId1"/>
        <a:stretch>
          <a:fillRect/>
        </a:stretch>
      </xdr:blipFill>
      <xdr:spPr>
        <a:xfrm>
          <a:off x="0" y="0"/>
          <a:ext cx="7877175" cy="3468848"/>
        </a:xfrm>
        <a:prstGeom prst="rect">
          <a:avLst/>
        </a:prstGeom>
      </xdr:spPr>
    </xdr:pic>
    <xdr:clientData/>
  </xdr:twoCellAnchor>
  <xdr:twoCellAnchor editAs="oneCell">
    <xdr:from>
      <xdr:col>16</xdr:col>
      <xdr:colOff>466725</xdr:colOff>
      <xdr:row>0</xdr:row>
      <xdr:rowOff>0</xdr:rowOff>
    </xdr:from>
    <xdr:to>
      <xdr:col>32</xdr:col>
      <xdr:colOff>503449</xdr:colOff>
      <xdr:row>28</xdr:row>
      <xdr:rowOff>66067</xdr:rowOff>
    </xdr:to>
    <xdr:pic>
      <xdr:nvPicPr>
        <xdr:cNvPr id="3" name="图片 2">
          <a:extLst>
            <a:ext uri="{FF2B5EF4-FFF2-40B4-BE49-F238E27FC236}">
              <a16:creationId xmlns:a16="http://schemas.microsoft.com/office/drawing/2014/main" id="{FEE48F3D-4E45-48FD-B4A2-459AF6CF1AA6}"/>
            </a:ext>
          </a:extLst>
        </xdr:cNvPr>
        <xdr:cNvPicPr>
          <a:picLocks noChangeAspect="1"/>
        </xdr:cNvPicPr>
      </xdr:nvPicPr>
      <xdr:blipFill>
        <a:blip xmlns:r="http://schemas.openxmlformats.org/officeDocument/2006/relationships" r:embed="rId2"/>
        <a:stretch>
          <a:fillRect/>
        </a:stretch>
      </xdr:blipFill>
      <xdr:spPr>
        <a:xfrm>
          <a:off x="11439525" y="0"/>
          <a:ext cx="11009524" cy="4866667"/>
        </a:xfrm>
        <a:prstGeom prst="rect">
          <a:avLst/>
        </a:prstGeom>
      </xdr:spPr>
    </xdr:pic>
    <xdr:clientData/>
  </xdr:twoCellAnchor>
  <xdr:twoCellAnchor editAs="oneCell">
    <xdr:from>
      <xdr:col>16</xdr:col>
      <xdr:colOff>666751</xdr:colOff>
      <xdr:row>28</xdr:row>
      <xdr:rowOff>28574</xdr:rowOff>
    </xdr:from>
    <xdr:to>
      <xdr:col>28</xdr:col>
      <xdr:colOff>340675</xdr:colOff>
      <xdr:row>57</xdr:row>
      <xdr:rowOff>123099</xdr:rowOff>
    </xdr:to>
    <xdr:pic>
      <xdr:nvPicPr>
        <xdr:cNvPr id="4" name="图片 3">
          <a:extLst>
            <a:ext uri="{FF2B5EF4-FFF2-40B4-BE49-F238E27FC236}">
              <a16:creationId xmlns:a16="http://schemas.microsoft.com/office/drawing/2014/main" id="{054DC4EE-9622-4213-9F08-EB9461B24026}"/>
            </a:ext>
          </a:extLst>
        </xdr:cNvPr>
        <xdr:cNvPicPr>
          <a:picLocks noChangeAspect="1"/>
        </xdr:cNvPicPr>
      </xdr:nvPicPr>
      <xdr:blipFill>
        <a:blip xmlns:r="http://schemas.openxmlformats.org/officeDocument/2006/relationships" r:embed="rId3"/>
        <a:stretch>
          <a:fillRect/>
        </a:stretch>
      </xdr:blipFill>
      <xdr:spPr>
        <a:xfrm>
          <a:off x="11639551" y="4829174"/>
          <a:ext cx="7903524" cy="5066575"/>
        </a:xfrm>
        <a:prstGeom prst="rect">
          <a:avLst/>
        </a:prstGeom>
      </xdr:spPr>
    </xdr:pic>
    <xdr:clientData/>
  </xdr:twoCellAnchor>
  <xdr:twoCellAnchor editAs="oneCell">
    <xdr:from>
      <xdr:col>0</xdr:col>
      <xdr:colOff>0</xdr:colOff>
      <xdr:row>49</xdr:row>
      <xdr:rowOff>130764</xdr:rowOff>
    </xdr:from>
    <xdr:to>
      <xdr:col>11</xdr:col>
      <xdr:colOff>161925</xdr:colOff>
      <xdr:row>71</xdr:row>
      <xdr:rowOff>66113</xdr:rowOff>
    </xdr:to>
    <xdr:pic>
      <xdr:nvPicPr>
        <xdr:cNvPr id="5" name="图片 4">
          <a:extLst>
            <a:ext uri="{FF2B5EF4-FFF2-40B4-BE49-F238E27FC236}">
              <a16:creationId xmlns:a16="http://schemas.microsoft.com/office/drawing/2014/main" id="{83C3580C-7A1C-4397-85D2-887745EB0768}"/>
            </a:ext>
          </a:extLst>
        </xdr:cNvPr>
        <xdr:cNvPicPr>
          <a:picLocks noChangeAspect="1"/>
        </xdr:cNvPicPr>
      </xdr:nvPicPr>
      <xdr:blipFill>
        <a:blip xmlns:r="http://schemas.openxmlformats.org/officeDocument/2006/relationships" r:embed="rId4"/>
        <a:stretch>
          <a:fillRect/>
        </a:stretch>
      </xdr:blipFill>
      <xdr:spPr>
        <a:xfrm>
          <a:off x="0" y="8531814"/>
          <a:ext cx="7705725" cy="3707249"/>
        </a:xfrm>
        <a:prstGeom prst="rect">
          <a:avLst/>
        </a:prstGeom>
      </xdr:spPr>
    </xdr:pic>
    <xdr:clientData/>
  </xdr:twoCellAnchor>
  <xdr:twoCellAnchor editAs="oneCell">
    <xdr:from>
      <xdr:col>16</xdr:col>
      <xdr:colOff>581025</xdr:colOff>
      <xdr:row>56</xdr:row>
      <xdr:rowOff>104775</xdr:rowOff>
    </xdr:from>
    <xdr:to>
      <xdr:col>28</xdr:col>
      <xdr:colOff>579996</xdr:colOff>
      <xdr:row>85</xdr:row>
      <xdr:rowOff>27963</xdr:rowOff>
    </xdr:to>
    <xdr:pic>
      <xdr:nvPicPr>
        <xdr:cNvPr id="6" name="图片 5">
          <a:extLst>
            <a:ext uri="{FF2B5EF4-FFF2-40B4-BE49-F238E27FC236}">
              <a16:creationId xmlns:a16="http://schemas.microsoft.com/office/drawing/2014/main" id="{13B692E8-B8B7-4BE3-A3A4-ED6DE9ABE10D}"/>
            </a:ext>
          </a:extLst>
        </xdr:cNvPr>
        <xdr:cNvPicPr>
          <a:picLocks noChangeAspect="1"/>
        </xdr:cNvPicPr>
      </xdr:nvPicPr>
      <xdr:blipFill>
        <a:blip xmlns:r="http://schemas.openxmlformats.org/officeDocument/2006/relationships" r:embed="rId5"/>
        <a:stretch>
          <a:fillRect/>
        </a:stretch>
      </xdr:blipFill>
      <xdr:spPr>
        <a:xfrm>
          <a:off x="11553825" y="9705975"/>
          <a:ext cx="8228571" cy="4895238"/>
        </a:xfrm>
        <a:prstGeom prst="rect">
          <a:avLst/>
        </a:prstGeom>
      </xdr:spPr>
    </xdr:pic>
    <xdr:clientData/>
  </xdr:twoCellAnchor>
  <xdr:twoCellAnchor editAs="oneCell">
    <xdr:from>
      <xdr:col>0</xdr:col>
      <xdr:colOff>0</xdr:colOff>
      <xdr:row>20</xdr:row>
      <xdr:rowOff>151062</xdr:rowOff>
    </xdr:from>
    <xdr:to>
      <xdr:col>11</xdr:col>
      <xdr:colOff>523875</xdr:colOff>
      <xdr:row>44</xdr:row>
      <xdr:rowOff>123230</xdr:rowOff>
    </xdr:to>
    <xdr:pic>
      <xdr:nvPicPr>
        <xdr:cNvPr id="7" name="图片 6">
          <a:extLst>
            <a:ext uri="{FF2B5EF4-FFF2-40B4-BE49-F238E27FC236}">
              <a16:creationId xmlns:a16="http://schemas.microsoft.com/office/drawing/2014/main" id="{6C96FDE7-387D-4E37-BCC9-50CE67E3E4CA}"/>
            </a:ext>
          </a:extLst>
        </xdr:cNvPr>
        <xdr:cNvPicPr>
          <a:picLocks noChangeAspect="1"/>
        </xdr:cNvPicPr>
      </xdr:nvPicPr>
      <xdr:blipFill>
        <a:blip xmlns:r="http://schemas.openxmlformats.org/officeDocument/2006/relationships" r:embed="rId6"/>
        <a:stretch>
          <a:fillRect/>
        </a:stretch>
      </xdr:blipFill>
      <xdr:spPr>
        <a:xfrm>
          <a:off x="0" y="3580062"/>
          <a:ext cx="8067675" cy="4086968"/>
        </a:xfrm>
        <a:prstGeom prst="rect">
          <a:avLst/>
        </a:prstGeom>
      </xdr:spPr>
    </xdr:pic>
    <xdr:clientData/>
  </xdr:twoCellAnchor>
  <xdr:twoCellAnchor editAs="oneCell">
    <xdr:from>
      <xdr:col>0</xdr:col>
      <xdr:colOff>1</xdr:colOff>
      <xdr:row>77</xdr:row>
      <xdr:rowOff>0</xdr:rowOff>
    </xdr:from>
    <xdr:to>
      <xdr:col>9</xdr:col>
      <xdr:colOff>514351</xdr:colOff>
      <xdr:row>103</xdr:row>
      <xdr:rowOff>11477</xdr:rowOff>
    </xdr:to>
    <xdr:pic>
      <xdr:nvPicPr>
        <xdr:cNvPr id="8" name="图片 7">
          <a:extLst>
            <a:ext uri="{FF2B5EF4-FFF2-40B4-BE49-F238E27FC236}">
              <a16:creationId xmlns:a16="http://schemas.microsoft.com/office/drawing/2014/main" id="{738F1868-E24A-4AA4-AF2A-1F0C4101278F}"/>
            </a:ext>
          </a:extLst>
        </xdr:cNvPr>
        <xdr:cNvPicPr>
          <a:picLocks noChangeAspect="1"/>
        </xdr:cNvPicPr>
      </xdr:nvPicPr>
      <xdr:blipFill>
        <a:blip xmlns:r="http://schemas.openxmlformats.org/officeDocument/2006/relationships" r:embed="rId7"/>
        <a:stretch>
          <a:fillRect/>
        </a:stretch>
      </xdr:blipFill>
      <xdr:spPr>
        <a:xfrm>
          <a:off x="1" y="13201650"/>
          <a:ext cx="6686550" cy="4469177"/>
        </a:xfrm>
        <a:prstGeom prst="rect">
          <a:avLst/>
        </a:prstGeom>
      </xdr:spPr>
    </xdr:pic>
    <xdr:clientData/>
  </xdr:twoCellAnchor>
  <xdr:twoCellAnchor editAs="oneCell">
    <xdr:from>
      <xdr:col>0</xdr:col>
      <xdr:colOff>0</xdr:colOff>
      <xdr:row>102</xdr:row>
      <xdr:rowOff>167422</xdr:rowOff>
    </xdr:from>
    <xdr:to>
      <xdr:col>9</xdr:col>
      <xdr:colOff>476250</xdr:colOff>
      <xdr:row>128</xdr:row>
      <xdr:rowOff>84964</xdr:rowOff>
    </xdr:to>
    <xdr:pic>
      <xdr:nvPicPr>
        <xdr:cNvPr id="9" name="图片 8">
          <a:extLst>
            <a:ext uri="{FF2B5EF4-FFF2-40B4-BE49-F238E27FC236}">
              <a16:creationId xmlns:a16="http://schemas.microsoft.com/office/drawing/2014/main" id="{508F8907-02D7-482B-8769-993D40950EC5}"/>
            </a:ext>
          </a:extLst>
        </xdr:cNvPr>
        <xdr:cNvPicPr>
          <a:picLocks noChangeAspect="1"/>
        </xdr:cNvPicPr>
      </xdr:nvPicPr>
      <xdr:blipFill>
        <a:blip xmlns:r="http://schemas.openxmlformats.org/officeDocument/2006/relationships" r:embed="rId8"/>
        <a:stretch>
          <a:fillRect/>
        </a:stretch>
      </xdr:blipFill>
      <xdr:spPr>
        <a:xfrm>
          <a:off x="0" y="17655322"/>
          <a:ext cx="6648450" cy="4375242"/>
        </a:xfrm>
        <a:prstGeom prst="rect">
          <a:avLst/>
        </a:prstGeom>
      </xdr:spPr>
    </xdr:pic>
    <xdr:clientData/>
  </xdr:twoCellAnchor>
  <xdr:twoCellAnchor editAs="oneCell">
    <xdr:from>
      <xdr:col>0</xdr:col>
      <xdr:colOff>619125</xdr:colOff>
      <xdr:row>70</xdr:row>
      <xdr:rowOff>76200</xdr:rowOff>
    </xdr:from>
    <xdr:to>
      <xdr:col>14</xdr:col>
      <xdr:colOff>532211</xdr:colOff>
      <xdr:row>98</xdr:row>
      <xdr:rowOff>85124</xdr:rowOff>
    </xdr:to>
    <xdr:pic>
      <xdr:nvPicPr>
        <xdr:cNvPr id="10" name="图片 9">
          <a:extLst>
            <a:ext uri="{FF2B5EF4-FFF2-40B4-BE49-F238E27FC236}">
              <a16:creationId xmlns:a16="http://schemas.microsoft.com/office/drawing/2014/main" id="{9C4D3A06-E4C4-4948-9C2C-BFC9323D9257}"/>
            </a:ext>
          </a:extLst>
        </xdr:cNvPr>
        <xdr:cNvPicPr>
          <a:picLocks noChangeAspect="1"/>
        </xdr:cNvPicPr>
      </xdr:nvPicPr>
      <xdr:blipFill>
        <a:blip xmlns:r="http://schemas.openxmlformats.org/officeDocument/2006/relationships" r:embed="rId9"/>
        <a:stretch>
          <a:fillRect/>
        </a:stretch>
      </xdr:blipFill>
      <xdr:spPr>
        <a:xfrm>
          <a:off x="619125" y="12077700"/>
          <a:ext cx="9514286" cy="4809524"/>
        </a:xfrm>
        <a:prstGeom prst="rect">
          <a:avLst/>
        </a:prstGeom>
      </xdr:spPr>
    </xdr:pic>
    <xdr:clientData/>
  </xdr:twoCellAnchor>
  <xdr:twoCellAnchor editAs="oneCell">
    <xdr:from>
      <xdr:col>9</xdr:col>
      <xdr:colOff>552450</xdr:colOff>
      <xdr:row>97</xdr:row>
      <xdr:rowOff>152400</xdr:rowOff>
    </xdr:from>
    <xdr:to>
      <xdr:col>23</xdr:col>
      <xdr:colOff>332202</xdr:colOff>
      <xdr:row>116</xdr:row>
      <xdr:rowOff>142469</xdr:rowOff>
    </xdr:to>
    <xdr:pic>
      <xdr:nvPicPr>
        <xdr:cNvPr id="11" name="图片 10">
          <a:extLst>
            <a:ext uri="{FF2B5EF4-FFF2-40B4-BE49-F238E27FC236}">
              <a16:creationId xmlns:a16="http://schemas.microsoft.com/office/drawing/2014/main" id="{76F2EBD4-7AC1-478E-BA98-2B071CBEE2BF}"/>
            </a:ext>
          </a:extLst>
        </xdr:cNvPr>
        <xdr:cNvPicPr>
          <a:picLocks noChangeAspect="1"/>
        </xdr:cNvPicPr>
      </xdr:nvPicPr>
      <xdr:blipFill>
        <a:blip xmlns:r="http://schemas.openxmlformats.org/officeDocument/2006/relationships" r:embed="rId10"/>
        <a:stretch>
          <a:fillRect/>
        </a:stretch>
      </xdr:blipFill>
      <xdr:spPr>
        <a:xfrm>
          <a:off x="6724650" y="16783050"/>
          <a:ext cx="9380952" cy="32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29</xdr:row>
      <xdr:rowOff>133349</xdr:rowOff>
    </xdr:from>
    <xdr:to>
      <xdr:col>8</xdr:col>
      <xdr:colOff>171450</xdr:colOff>
      <xdr:row>58</xdr:row>
      <xdr:rowOff>136898</xdr:rowOff>
    </xdr:to>
    <xdr:pic>
      <xdr:nvPicPr>
        <xdr:cNvPr id="3" name="图片 2">
          <a:extLst>
            <a:ext uri="{FF2B5EF4-FFF2-40B4-BE49-F238E27FC236}">
              <a16:creationId xmlns:a16="http://schemas.microsoft.com/office/drawing/2014/main" id="{77F25600-6AF2-4400-BD2A-C648B4BAD8AA}"/>
            </a:ext>
          </a:extLst>
        </xdr:cNvPr>
        <xdr:cNvPicPr>
          <a:picLocks noChangeAspect="1"/>
        </xdr:cNvPicPr>
      </xdr:nvPicPr>
      <xdr:blipFill>
        <a:blip xmlns:r="http://schemas.openxmlformats.org/officeDocument/2006/relationships" r:embed="rId1"/>
        <a:stretch>
          <a:fillRect/>
        </a:stretch>
      </xdr:blipFill>
      <xdr:spPr>
        <a:xfrm>
          <a:off x="0" y="5105399"/>
          <a:ext cx="5657850" cy="4975599"/>
        </a:xfrm>
        <a:prstGeom prst="rect">
          <a:avLst/>
        </a:prstGeom>
      </xdr:spPr>
    </xdr:pic>
    <xdr:clientData/>
  </xdr:twoCellAnchor>
  <xdr:twoCellAnchor editAs="oneCell">
    <xdr:from>
      <xdr:col>0</xdr:col>
      <xdr:colOff>0</xdr:colOff>
      <xdr:row>58</xdr:row>
      <xdr:rowOff>9525</xdr:rowOff>
    </xdr:from>
    <xdr:to>
      <xdr:col>8</xdr:col>
      <xdr:colOff>481680</xdr:colOff>
      <xdr:row>84</xdr:row>
      <xdr:rowOff>27885</xdr:rowOff>
    </xdr:to>
    <xdr:pic>
      <xdr:nvPicPr>
        <xdr:cNvPr id="4" name="图片 3">
          <a:extLst>
            <a:ext uri="{FF2B5EF4-FFF2-40B4-BE49-F238E27FC236}">
              <a16:creationId xmlns:a16="http://schemas.microsoft.com/office/drawing/2014/main" id="{6C2B51E0-F9BE-4179-BD31-FDCCF2A91DB0}"/>
            </a:ext>
          </a:extLst>
        </xdr:cNvPr>
        <xdr:cNvPicPr>
          <a:picLocks noChangeAspect="1"/>
        </xdr:cNvPicPr>
      </xdr:nvPicPr>
      <xdr:blipFill>
        <a:blip xmlns:r="http://schemas.openxmlformats.org/officeDocument/2006/relationships" r:embed="rId2"/>
        <a:stretch>
          <a:fillRect/>
        </a:stretch>
      </xdr:blipFill>
      <xdr:spPr>
        <a:xfrm>
          <a:off x="0" y="9953625"/>
          <a:ext cx="5968080" cy="4476060"/>
        </a:xfrm>
        <a:prstGeom prst="rect">
          <a:avLst/>
        </a:prstGeom>
      </xdr:spPr>
    </xdr:pic>
    <xdr:clientData/>
  </xdr:twoCellAnchor>
  <xdr:twoCellAnchor editAs="oneCell">
    <xdr:from>
      <xdr:col>14</xdr:col>
      <xdr:colOff>638175</xdr:colOff>
      <xdr:row>31</xdr:row>
      <xdr:rowOff>161925</xdr:rowOff>
    </xdr:from>
    <xdr:to>
      <xdr:col>23</xdr:col>
      <xdr:colOff>351689</xdr:colOff>
      <xdr:row>60</xdr:row>
      <xdr:rowOff>18446</xdr:rowOff>
    </xdr:to>
    <xdr:pic>
      <xdr:nvPicPr>
        <xdr:cNvPr id="5" name="图片 4">
          <a:extLst>
            <a:ext uri="{FF2B5EF4-FFF2-40B4-BE49-F238E27FC236}">
              <a16:creationId xmlns:a16="http://schemas.microsoft.com/office/drawing/2014/main" id="{FF97B1E6-0FE9-4C37-B7AD-CBFB8D113983}"/>
            </a:ext>
          </a:extLst>
        </xdr:cNvPr>
        <xdr:cNvPicPr>
          <a:picLocks noChangeAspect="1"/>
        </xdr:cNvPicPr>
      </xdr:nvPicPr>
      <xdr:blipFill>
        <a:blip xmlns:r="http://schemas.openxmlformats.org/officeDocument/2006/relationships" r:embed="rId3"/>
        <a:stretch>
          <a:fillRect/>
        </a:stretch>
      </xdr:blipFill>
      <xdr:spPr>
        <a:xfrm>
          <a:off x="10239375" y="5476875"/>
          <a:ext cx="5885714" cy="4828571"/>
        </a:xfrm>
        <a:prstGeom prst="rect">
          <a:avLst/>
        </a:prstGeom>
      </xdr:spPr>
    </xdr:pic>
    <xdr:clientData/>
  </xdr:twoCellAnchor>
  <xdr:twoCellAnchor editAs="oneCell">
    <xdr:from>
      <xdr:col>14</xdr:col>
      <xdr:colOff>590550</xdr:colOff>
      <xdr:row>61</xdr:row>
      <xdr:rowOff>66675</xdr:rowOff>
    </xdr:from>
    <xdr:to>
      <xdr:col>23</xdr:col>
      <xdr:colOff>256445</xdr:colOff>
      <xdr:row>88</xdr:row>
      <xdr:rowOff>94668</xdr:rowOff>
    </xdr:to>
    <xdr:pic>
      <xdr:nvPicPr>
        <xdr:cNvPr id="6" name="图片 5">
          <a:extLst>
            <a:ext uri="{FF2B5EF4-FFF2-40B4-BE49-F238E27FC236}">
              <a16:creationId xmlns:a16="http://schemas.microsoft.com/office/drawing/2014/main" id="{76FB49B1-2EDD-48CC-A178-AB32B86B1D35}"/>
            </a:ext>
          </a:extLst>
        </xdr:cNvPr>
        <xdr:cNvPicPr>
          <a:picLocks noChangeAspect="1"/>
        </xdr:cNvPicPr>
      </xdr:nvPicPr>
      <xdr:blipFill>
        <a:blip xmlns:r="http://schemas.openxmlformats.org/officeDocument/2006/relationships" r:embed="rId4"/>
        <a:stretch>
          <a:fillRect/>
        </a:stretch>
      </xdr:blipFill>
      <xdr:spPr>
        <a:xfrm>
          <a:off x="10191750" y="10525125"/>
          <a:ext cx="5838095" cy="4657143"/>
        </a:xfrm>
        <a:prstGeom prst="rect">
          <a:avLst/>
        </a:prstGeom>
      </xdr:spPr>
    </xdr:pic>
    <xdr:clientData/>
  </xdr:twoCellAnchor>
  <xdr:twoCellAnchor editAs="oneCell">
    <xdr:from>
      <xdr:col>14</xdr:col>
      <xdr:colOff>57150</xdr:colOff>
      <xdr:row>0</xdr:row>
      <xdr:rowOff>0</xdr:rowOff>
    </xdr:from>
    <xdr:to>
      <xdr:col>22</xdr:col>
      <xdr:colOff>551702</xdr:colOff>
      <xdr:row>27</xdr:row>
      <xdr:rowOff>56564</xdr:rowOff>
    </xdr:to>
    <xdr:pic>
      <xdr:nvPicPr>
        <xdr:cNvPr id="8" name="图片 7">
          <a:extLst>
            <a:ext uri="{FF2B5EF4-FFF2-40B4-BE49-F238E27FC236}">
              <a16:creationId xmlns:a16="http://schemas.microsoft.com/office/drawing/2014/main" id="{D86A7BFE-291C-47F6-8AD6-B6C21924CEDF}"/>
            </a:ext>
          </a:extLst>
        </xdr:cNvPr>
        <xdr:cNvPicPr>
          <a:picLocks noChangeAspect="1"/>
        </xdr:cNvPicPr>
      </xdr:nvPicPr>
      <xdr:blipFill>
        <a:blip xmlns:r="http://schemas.openxmlformats.org/officeDocument/2006/relationships" r:embed="rId5"/>
        <a:stretch>
          <a:fillRect/>
        </a:stretch>
      </xdr:blipFill>
      <xdr:spPr>
        <a:xfrm>
          <a:off x="9658350" y="0"/>
          <a:ext cx="5980952" cy="4685714"/>
        </a:xfrm>
        <a:prstGeom prst="rect">
          <a:avLst/>
        </a:prstGeom>
      </xdr:spPr>
    </xdr:pic>
    <xdr:clientData/>
  </xdr:twoCellAnchor>
  <xdr:twoCellAnchor editAs="oneCell">
    <xdr:from>
      <xdr:col>0</xdr:col>
      <xdr:colOff>0</xdr:colOff>
      <xdr:row>0</xdr:row>
      <xdr:rowOff>0</xdr:rowOff>
    </xdr:from>
    <xdr:to>
      <xdr:col>9</xdr:col>
      <xdr:colOff>361949</xdr:colOff>
      <xdr:row>26</xdr:row>
      <xdr:rowOff>28018</xdr:rowOff>
    </xdr:to>
    <xdr:pic>
      <xdr:nvPicPr>
        <xdr:cNvPr id="9" name="图片 8">
          <a:extLst>
            <a:ext uri="{FF2B5EF4-FFF2-40B4-BE49-F238E27FC236}">
              <a16:creationId xmlns:a16="http://schemas.microsoft.com/office/drawing/2014/main" id="{10DDA469-D88C-4641-A1EB-A7C8BF8665EC}"/>
            </a:ext>
          </a:extLst>
        </xdr:cNvPr>
        <xdr:cNvPicPr>
          <a:picLocks noChangeAspect="1"/>
        </xdr:cNvPicPr>
      </xdr:nvPicPr>
      <xdr:blipFill>
        <a:blip xmlns:r="http://schemas.openxmlformats.org/officeDocument/2006/relationships" r:embed="rId6"/>
        <a:stretch>
          <a:fillRect/>
        </a:stretch>
      </xdr:blipFill>
      <xdr:spPr>
        <a:xfrm>
          <a:off x="0" y="0"/>
          <a:ext cx="6534149" cy="4485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估价对象为北京市房地产，为所有。根据《国有土地使用证》[]，估价对象（分摊）出让国有建设用地使用权面积为0平方米，建筑面积为373.76平方米。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估价对象为北京市房地产,属开发建设的，该项目尚在开发建设中。根据《国有土地使用证》[]，估价对象（分摊）出让国有建设用地使用权面积为0平方米，规划建筑面积为373.76平方米。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2022年8月2日（评估专业人员实地查勘之日）</v>
      </c>
    </row>
    <row r="13" spans="1:2" s="1365" customFormat="1">
      <c r="A13" s="1363" t="s">
        <v>1194</v>
      </c>
      <c r="B13" s="1364"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373.76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3034</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30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739" t="s">
        <v>832</v>
      </c>
      <c r="C54" s="1736" t="s">
        <v>1248</v>
      </c>
    </row>
    <row r="55" spans="1:4">
      <c r="A55" s="3304"/>
      <c r="B55" s="1739" t="s">
        <v>833</v>
      </c>
      <c r="C55" s="1736" t="s">
        <v>1249</v>
      </c>
    </row>
    <row r="56" spans="1:4">
      <c r="A56" s="3304"/>
      <c r="B56" s="1739" t="s">
        <v>834</v>
      </c>
      <c r="C56" s="1736" t="s">
        <v>1253</v>
      </c>
    </row>
    <row r="57" spans="1:4">
      <c r="A57" s="330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H14" sqref="H1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2912</v>
      </c>
      <c r="B1" s="3305" t="str">
        <f>IF(B10="北京市","北京市",C10)&amp;F10&amp;IF(结果表!G1="在建","出让国有建设用地使用权及在建建筑物",IF(结果表!G1="土地","出让国有建设用地使用权",))&amp;B9&amp;"预评估"</f>
        <v>北京市房地产市场价值预评估</v>
      </c>
      <c r="C1" s="3306"/>
      <c r="D1" s="3306"/>
      <c r="E1" s="3306"/>
      <c r="F1" s="3306"/>
      <c r="G1" s="3306"/>
      <c r="H1" s="3306"/>
      <c r="I1" s="3307"/>
      <c r="J1" s="2686"/>
      <c r="K1" s="2582"/>
      <c r="L1" s="2583"/>
      <c r="M1" s="2583"/>
      <c r="N1" s="2584"/>
      <c r="O1" s="1761"/>
      <c r="P1" s="2584"/>
      <c r="Q1" s="2584"/>
      <c r="R1" s="2584"/>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1" t="s">
        <v>2913</v>
      </c>
      <c r="B2" s="2585"/>
      <c r="C2" s="2586"/>
      <c r="D2" s="2887"/>
      <c r="E2" s="2877"/>
      <c r="F2" s="2877"/>
      <c r="G2" s="2878"/>
      <c r="H2" s="2878"/>
      <c r="I2" s="2878"/>
      <c r="J2" s="2686"/>
      <c r="K2" s="2582"/>
      <c r="L2" s="2583"/>
      <c r="M2" s="2583"/>
      <c r="N2" s="2584"/>
      <c r="O2" s="1761"/>
      <c r="P2" s="2584"/>
      <c r="Q2" s="2584"/>
      <c r="R2" s="2584"/>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2914</v>
      </c>
      <c r="B3" s="2587">
        <v>44775</v>
      </c>
      <c r="C3" s="2588" t="s">
        <v>2915</v>
      </c>
      <c r="D3" s="2587">
        <f>B3</f>
        <v>44775</v>
      </c>
      <c r="E3" s="2878"/>
      <c r="F3" s="2878"/>
      <c r="G3" s="2878"/>
      <c r="H3" s="2878"/>
      <c r="I3" s="2878"/>
      <c r="J3" s="2686"/>
      <c r="K3" s="2582"/>
      <c r="L3" s="2583"/>
      <c r="M3" s="2583"/>
      <c r="N3" s="2584"/>
      <c r="O3" s="1761"/>
      <c r="P3" s="2584"/>
      <c r="Q3" s="2584"/>
      <c r="R3" s="2584"/>
      <c r="S3" s="1867"/>
      <c r="T3" s="1930"/>
      <c r="U3" s="1930"/>
      <c r="V3" s="1930"/>
      <c r="W3" s="1930"/>
      <c r="X3" s="1930"/>
      <c r="Y3" s="1930"/>
      <c r="Z3" s="1930"/>
      <c r="AA3" s="1930"/>
      <c r="AB3" s="1930"/>
    </row>
    <row r="4" spans="1:28" ht="13.5" thickBot="1">
      <c r="A4" s="1250" t="s">
        <v>2916</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61"/>
      <c r="P4" s="2584"/>
      <c r="Q4" s="2584"/>
      <c r="R4" s="2584"/>
      <c r="S4" s="1867"/>
      <c r="T4" s="1930"/>
      <c r="U4" s="1930"/>
      <c r="V4" s="1930"/>
      <c r="W4" s="1930"/>
      <c r="X4" s="1930"/>
      <c r="Y4" s="1930"/>
      <c r="Z4" s="1930"/>
      <c r="AA4" s="1930"/>
      <c r="AB4" s="1930"/>
    </row>
    <row r="5" spans="1:28" ht="13.5" thickTop="1">
      <c r="A5" s="2593" t="s">
        <v>2917</v>
      </c>
      <c r="B5" s="2594"/>
      <c r="C5" s="2595"/>
      <c r="D5" s="2596"/>
      <c r="E5" s="2879"/>
      <c r="F5" s="2879"/>
      <c r="G5" s="2879"/>
      <c r="H5" s="2879"/>
      <c r="I5" s="2879"/>
      <c r="J5" s="2655"/>
      <c r="K5" s="2592" t="str">
        <f>IF(F4="——","",IF(H4="——",F4&amp;"（注册号："&amp;G4&amp;")",CONCATENATE(F4,"（注册号：",G4,")、",H4,"（注册号：",I4,")")))</f>
        <v>（注册号：0)、（注册号：0)</v>
      </c>
      <c r="L5" s="2583"/>
      <c r="M5" s="2583"/>
      <c r="N5" s="2584"/>
      <c r="O5" s="1761"/>
      <c r="P5" s="2584"/>
      <c r="Q5" s="2584"/>
      <c r="R5" s="2584"/>
      <c r="S5" s="1930"/>
      <c r="T5" s="1930"/>
      <c r="U5" s="1930"/>
      <c r="V5" s="1930"/>
      <c r="W5" s="1930"/>
      <c r="X5" s="1930"/>
      <c r="Y5" s="1930"/>
      <c r="Z5" s="1930"/>
      <c r="AA5" s="1930"/>
      <c r="AB5" s="1930"/>
    </row>
    <row r="6" spans="1:28">
      <c r="A6" s="2597" t="s">
        <v>2918</v>
      </c>
      <c r="B6" s="2598"/>
      <c r="C6" s="2599"/>
      <c r="D6" s="2600"/>
      <c r="E6" s="2877"/>
      <c r="F6" s="2879"/>
      <c r="G6" s="2879"/>
      <c r="H6" s="2879"/>
      <c r="I6" s="2879"/>
      <c r="J6" s="2655"/>
      <c r="K6" s="2829" t="str">
        <f>IF(COUNTIF(B6,"*上海银行*"),"上海银行","")</f>
        <v/>
      </c>
      <c r="L6" s="2827"/>
      <c r="M6" s="2827"/>
      <c r="N6" s="2655"/>
      <c r="O6" s="2666"/>
      <c r="P6" s="2655"/>
      <c r="Q6" s="2655"/>
      <c r="R6" s="2655"/>
    </row>
    <row r="7" spans="1:28">
      <c r="A7" s="2597" t="s">
        <v>2919</v>
      </c>
      <c r="B7" s="2601"/>
      <c r="C7" s="2599"/>
      <c r="D7" s="2600"/>
      <c r="E7" s="2877"/>
      <c r="F7" s="2879"/>
      <c r="G7" s="2879"/>
      <c r="H7" s="2879"/>
      <c r="I7" s="2879"/>
      <c r="J7" s="2655"/>
      <c r="K7" s="2830"/>
      <c r="L7" s="2827"/>
      <c r="M7" s="2827"/>
      <c r="N7" s="2655"/>
      <c r="O7" s="2666"/>
      <c r="P7" s="2655"/>
      <c r="Q7" s="2655"/>
      <c r="R7" s="2655"/>
    </row>
    <row r="8" spans="1:28">
      <c r="A8" s="2602" t="s">
        <v>2920</v>
      </c>
      <c r="B8" s="2603" t="s">
        <v>3196</v>
      </c>
      <c r="C8" s="2604"/>
      <c r="D8" s="3308" t="s">
        <v>2921</v>
      </c>
      <c r="E8" s="2605"/>
      <c r="F8" s="2606"/>
      <c r="G8" s="2878"/>
      <c r="H8" s="2878"/>
      <c r="I8" s="2878"/>
      <c r="J8" s="2655"/>
      <c r="K8" s="2828"/>
      <c r="L8" s="2827"/>
      <c r="M8" s="2827"/>
      <c r="N8" s="2655"/>
      <c r="O8" s="2666"/>
      <c r="P8" s="2655"/>
      <c r="Q8" s="2655"/>
      <c r="R8" s="2655"/>
    </row>
    <row r="9" spans="1:28" ht="13.5" thickBot="1">
      <c r="A9" s="2607" t="s">
        <v>2922</v>
      </c>
      <c r="B9" s="2608" t="s">
        <v>3197</v>
      </c>
      <c r="C9" s="2609"/>
      <c r="D9" s="3309"/>
      <c r="E9" s="2608" t="s">
        <v>70</v>
      </c>
      <c r="F9" s="2610"/>
      <c r="G9" s="2880"/>
      <c r="H9" s="2880"/>
      <c r="I9" s="2880"/>
      <c r="J9" s="2655"/>
      <c r="K9" s="2830"/>
      <c r="L9" s="2827"/>
      <c r="M9" s="2827"/>
      <c r="N9" s="2655"/>
      <c r="O9" s="2666"/>
      <c r="P9" s="2655"/>
      <c r="Q9" s="2655"/>
      <c r="R9" s="2655"/>
    </row>
    <row r="10" spans="1:28" ht="13.5" thickTop="1">
      <c r="A10" s="2611" t="s">
        <v>2923</v>
      </c>
      <c r="B10" s="2612" t="s">
        <v>3198</v>
      </c>
      <c r="C10" s="2613"/>
      <c r="D10" s="2596"/>
      <c r="E10" s="2614" t="s">
        <v>2924</v>
      </c>
      <c r="F10" s="2881"/>
      <c r="G10" s="2882"/>
      <c r="H10" s="2883"/>
      <c r="I10" s="2884"/>
      <c r="J10" s="2655"/>
      <c r="K10" s="2830"/>
      <c r="L10" s="2827"/>
      <c r="M10" s="2827"/>
      <c r="N10" s="2655"/>
      <c r="O10" s="2666"/>
      <c r="P10" s="2655"/>
      <c r="Q10" s="2655"/>
      <c r="R10" s="2655"/>
    </row>
    <row r="11" spans="1:28">
      <c r="A11" s="2615" t="s">
        <v>2925</v>
      </c>
      <c r="B11" s="2616" t="s">
        <v>3205</v>
      </c>
      <c r="C11" s="2617"/>
      <c r="D11" s="2618"/>
      <c r="E11" s="2584"/>
      <c r="F11" s="2584"/>
      <c r="G11" s="2584"/>
      <c r="H11" s="2584"/>
      <c r="I11" s="2584"/>
      <c r="J11" s="2655"/>
      <c r="K11" s="2830"/>
      <c r="L11" s="2827"/>
      <c r="M11" s="2827"/>
      <c r="N11" s="2655"/>
      <c r="O11" s="2666"/>
      <c r="P11" s="2655"/>
      <c r="Q11" s="2655"/>
      <c r="R11" s="2655"/>
    </row>
    <row r="12" spans="1:28">
      <c r="A12" s="2619" t="s">
        <v>2926</v>
      </c>
      <c r="B12" s="2616" t="s">
        <v>3309</v>
      </c>
      <c r="C12" s="329" t="s">
        <v>2927</v>
      </c>
      <c r="D12" s="2620" t="s">
        <v>2928</v>
      </c>
      <c r="E12" s="2620" t="s">
        <v>2929</v>
      </c>
      <c r="F12" s="2620" t="s">
        <v>2930</v>
      </c>
      <c r="G12" s="2620" t="s">
        <v>2931</v>
      </c>
      <c r="H12" s="2620" t="s">
        <v>2932</v>
      </c>
      <c r="I12" s="2620" t="s">
        <v>2933</v>
      </c>
      <c r="J12" s="2655"/>
      <c r="K12" s="2830" t="s">
        <v>3517</v>
      </c>
      <c r="L12" s="2667"/>
      <c r="M12" s="2827"/>
      <c r="N12" s="2655"/>
      <c r="O12" s="2666"/>
      <c r="P12" s="2655"/>
      <c r="Q12" s="2655"/>
      <c r="R12" s="2655"/>
    </row>
    <row r="13" spans="1:28">
      <c r="A13" s="1241"/>
      <c r="B13" s="2621"/>
      <c r="C13" s="2622" t="s">
        <v>2934</v>
      </c>
      <c r="D13" s="965">
        <v>64617</v>
      </c>
      <c r="E13" s="965">
        <v>53659</v>
      </c>
      <c r="F13" s="965"/>
      <c r="G13" s="965"/>
      <c r="H13" s="965">
        <v>57312</v>
      </c>
      <c r="I13" s="965"/>
      <c r="J13" s="2655"/>
      <c r="K13" s="2830"/>
      <c r="L13" s="2667" t="s">
        <v>3310</v>
      </c>
      <c r="M13" s="2827"/>
      <c r="N13" s="2655"/>
      <c r="O13" s="2666"/>
      <c r="P13" s="2655"/>
      <c r="Q13" s="2655"/>
      <c r="R13" s="2655"/>
    </row>
    <row r="14" spans="1:28">
      <c r="A14" s="1241"/>
      <c r="B14" s="2621"/>
      <c r="C14" s="2622" t="s">
        <v>2935</v>
      </c>
      <c r="D14" s="2623">
        <v>70</v>
      </c>
      <c r="E14" s="2623">
        <v>40</v>
      </c>
      <c r="F14" s="2623"/>
      <c r="G14" s="2623"/>
      <c r="H14" s="2623">
        <v>50</v>
      </c>
      <c r="I14" s="2623"/>
      <c r="J14" s="2655"/>
      <c r="K14" s="2831"/>
      <c r="L14" s="2667">
        <f>2022-2009-2</f>
        <v>11</v>
      </c>
      <c r="M14" s="2827"/>
      <c r="N14" s="2655"/>
      <c r="O14" s="2666"/>
      <c r="P14" s="2655"/>
      <c r="Q14" s="2655"/>
      <c r="R14" s="2655"/>
    </row>
    <row r="15" spans="1:28">
      <c r="A15" s="326"/>
      <c r="B15" s="2624"/>
      <c r="C15" s="2625" t="s">
        <v>2936</v>
      </c>
      <c r="D15" s="2626">
        <f>IF(B12="出让",IF(D13="","",ROUNDDOWN(MIN((D13-$D$3)/365,D14),2)),D14)</f>
        <v>54.36</v>
      </c>
      <c r="E15" s="2626">
        <f>IF(B12="出让",IF(E13="","",ROUNDDOWN(MIN((E13-$D$3)/365,E14),2)),E14)</f>
        <v>24.33</v>
      </c>
      <c r="F15" s="2626" t="str">
        <f>IF(B12="出让",IF(F13="","",ROUNDDOWN(MIN((F13-$D$3)/365,F14),2)),F14)</f>
        <v/>
      </c>
      <c r="G15" s="2626" t="str">
        <f>IF(B12="出让",IF(G13="","",ROUNDDOWN(MIN((G13-$D$3)/365,G14),2)),G14)</f>
        <v/>
      </c>
      <c r="H15" s="2626">
        <f>IF(B12="出让",IF(H13="","",ROUNDDOWN(MIN((H13-$D$3)/365,H14),2)),H14)</f>
        <v>34.340000000000003</v>
      </c>
      <c r="I15" s="2626" t="str">
        <f>IF(B12="出让",IF(I13="","",ROUNDDOWN(MIN((I13-$D$3)/365,I14),2)),I14)</f>
        <v/>
      </c>
      <c r="J15" s="2655"/>
      <c r="K15" s="2832"/>
      <c r="L15" s="2667">
        <f>L14-40</f>
        <v>-29</v>
      </c>
      <c r="M15" s="2667"/>
      <c r="N15" s="2723"/>
      <c r="O15" s="2667"/>
      <c r="P15" s="2723"/>
      <c r="Q15" s="2655"/>
      <c r="R15" s="2655"/>
    </row>
    <row r="16" spans="1:28">
      <c r="A16" s="2614" t="s">
        <v>2937</v>
      </c>
      <c r="B16" s="3315"/>
      <c r="C16" s="3316"/>
      <c r="D16" s="3317"/>
      <c r="E16" s="2629" t="s">
        <v>2938</v>
      </c>
      <c r="F16" s="3318"/>
      <c r="G16" s="3319"/>
      <c r="H16" s="3319"/>
      <c r="I16" s="3320"/>
      <c r="J16" s="2655"/>
      <c r="K16" s="2832"/>
      <c r="L16" s="2667"/>
      <c r="M16" s="2667"/>
      <c r="N16" s="2723"/>
      <c r="O16" s="2667"/>
      <c r="P16" s="2723"/>
      <c r="Q16" s="2655"/>
      <c r="R16" s="2655"/>
    </row>
    <row r="17" spans="1:28">
      <c r="A17" s="319" t="s">
        <v>2939</v>
      </c>
      <c r="B17" s="308" t="s">
        <v>2940</v>
      </c>
      <c r="C17" s="11">
        <f>'数据-汇总表'!E3</f>
        <v>373.76</v>
      </c>
      <c r="D17" s="2535" t="s">
        <v>2941</v>
      </c>
      <c r="E17" s="3321" t="s">
        <v>2942</v>
      </c>
      <c r="F17" s="3322"/>
      <c r="G17" s="3322"/>
      <c r="H17" s="3322"/>
      <c r="I17" s="3323"/>
      <c r="J17" s="2655"/>
      <c r="K17" s="2833"/>
      <c r="L17" s="2667"/>
      <c r="M17" s="2667"/>
      <c r="N17" s="2723"/>
      <c r="O17" s="2667"/>
      <c r="P17" s="2723"/>
      <c r="Q17" s="2655"/>
      <c r="R17" s="2655"/>
      <c r="S17" s="2655"/>
      <c r="T17" s="2655"/>
      <c r="U17" s="2655"/>
      <c r="V17" s="2655"/>
    </row>
    <row r="18" spans="1:28" ht="24.75" thickBot="1">
      <c r="A18" s="2630" t="s">
        <v>2943</v>
      </c>
      <c r="B18" s="1250" t="s">
        <v>2944</v>
      </c>
      <c r="C18" s="2631">
        <f>'数据-汇总表'!D3</f>
        <v>0</v>
      </c>
      <c r="D18" s="1252" t="s">
        <v>2945</v>
      </c>
      <c r="E18" s="3324" t="s">
        <v>2946</v>
      </c>
      <c r="F18" s="3325"/>
      <c r="G18" s="3325"/>
      <c r="H18" s="3325"/>
      <c r="I18" s="3326"/>
      <c r="J18" s="2655"/>
      <c r="K18" s="2833"/>
      <c r="L18" s="2667"/>
      <c r="M18" s="2667"/>
      <c r="N18" s="2723"/>
      <c r="O18" s="2667"/>
      <c r="P18" s="2723"/>
      <c r="Q18" s="2655"/>
      <c r="R18" s="2655"/>
      <c r="S18" s="2655"/>
      <c r="T18" s="2655"/>
      <c r="U18" s="2655"/>
      <c r="V18" s="2655"/>
    </row>
    <row r="19" spans="1:28" ht="37.5" thickTop="1" thickBot="1">
      <c r="A19" s="333" t="s">
        <v>1740</v>
      </c>
      <c r="B19" s="313" t="s">
        <v>2947</v>
      </c>
      <c r="C19" s="1748"/>
      <c r="D19" s="1749" t="s">
        <v>2948</v>
      </c>
      <c r="E19" s="1750"/>
      <c r="F19" s="1751" t="str">
        <f>IF(AND(C19="是",E19="否"),"是否提供他项权证或相关说明","")</f>
        <v/>
      </c>
      <c r="G19" s="1752"/>
      <c r="H19" s="2879"/>
      <c r="I19" s="2879"/>
      <c r="J19" s="2655"/>
      <c r="K19" s="2830"/>
      <c r="L19" s="2827"/>
      <c r="M19" s="2827"/>
      <c r="N19" s="2723"/>
      <c r="O19" s="2667"/>
      <c r="P19" s="2723"/>
      <c r="Q19" s="2655"/>
      <c r="R19" s="2655"/>
      <c r="S19" s="2655"/>
      <c r="T19" s="2655"/>
      <c r="U19" s="2655"/>
      <c r="V19" s="2655"/>
    </row>
    <row r="20" spans="1:28">
      <c r="A20" s="2847" t="s">
        <v>2949</v>
      </c>
      <c r="B20" s="3311" t="s">
        <v>2950</v>
      </c>
      <c r="C20" s="3312"/>
      <c r="D20" s="3313" t="s">
        <v>2951</v>
      </c>
      <c r="E20" s="3314"/>
      <c r="F20" s="2862" t="s">
        <v>1741</v>
      </c>
      <c r="G20" s="2879"/>
      <c r="H20" s="2879"/>
      <c r="I20" s="2879"/>
      <c r="J20" s="2655"/>
      <c r="K20" s="3310"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30"/>
      <c r="X20" s="1930"/>
      <c r="Y20" s="1930"/>
      <c r="Z20" s="1930"/>
      <c r="AA20" s="1930"/>
      <c r="AB20" s="1930"/>
    </row>
    <row r="21" spans="1:28" ht="24.75" thickBot="1">
      <c r="A21" s="2847"/>
      <c r="B21" s="2848" t="s">
        <v>2953</v>
      </c>
      <c r="C21" s="2849" t="s">
        <v>1742</v>
      </c>
      <c r="D21" s="1753" t="s">
        <v>2954</v>
      </c>
      <c r="E21" s="2850" t="s">
        <v>1742</v>
      </c>
      <c r="F21" s="2863"/>
      <c r="G21" s="2879"/>
      <c r="H21" s="2879"/>
      <c r="I21" s="2879"/>
      <c r="J21" s="2655"/>
      <c r="K21" s="331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30"/>
      <c r="X21" s="1930"/>
      <c r="Y21" s="1930"/>
      <c r="Z21" s="1930"/>
      <c r="AA21" s="1930"/>
      <c r="AB21" s="1930"/>
    </row>
    <row r="22" spans="1:28" ht="24.75" thickBot="1">
      <c r="A22" s="2847"/>
      <c r="B22" s="2851" t="s">
        <v>2955</v>
      </c>
      <c r="C22" s="2849" t="s">
        <v>1743</v>
      </c>
      <c r="D22" s="2878"/>
      <c r="E22" s="2878"/>
      <c r="F22" s="2878"/>
      <c r="G22" s="2879"/>
      <c r="H22" s="2879"/>
      <c r="I22" s="2879"/>
      <c r="J22" s="2655"/>
      <c r="K22" s="331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30"/>
      <c r="X22" s="1930"/>
      <c r="Y22" s="1930"/>
      <c r="Z22" s="1930"/>
      <c r="AA22" s="1930"/>
      <c r="AB22" s="1930"/>
    </row>
    <row r="23" spans="1:28">
      <c r="A23" s="2852" t="s">
        <v>2956</v>
      </c>
      <c r="B23" s="2716" t="s">
        <v>2957</v>
      </c>
      <c r="C23" s="2853"/>
      <c r="D23" s="2854" t="s">
        <v>2957</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328" t="s">
        <v>2958</v>
      </c>
      <c r="B27" s="326" t="s">
        <v>2959</v>
      </c>
      <c r="C27" s="2632"/>
      <c r="D27" s="2633"/>
      <c r="E27" s="2879"/>
      <c r="F27" s="2879"/>
      <c r="G27" s="2879"/>
      <c r="H27" s="2879"/>
      <c r="I27" s="2879"/>
      <c r="J27" s="2655"/>
      <c r="K27" s="2832"/>
      <c r="L27" s="2667"/>
      <c r="M27" s="2667"/>
      <c r="N27" s="2723"/>
      <c r="O27" s="2667"/>
      <c r="P27" s="2723"/>
      <c r="Q27" s="2655"/>
      <c r="R27" s="2655"/>
      <c r="S27" s="2655"/>
      <c r="T27" s="2655"/>
      <c r="U27" s="2655"/>
      <c r="V27" s="2655"/>
    </row>
    <row r="28" spans="1:28">
      <c r="A28" s="3328"/>
      <c r="B28" s="308" t="s">
        <v>2960</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328"/>
      <c r="B29" s="308" t="s">
        <v>2961</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329"/>
      <c r="B30" s="308" t="s">
        <v>2962</v>
      </c>
      <c r="C30" s="3330"/>
      <c r="D30" s="3331"/>
      <c r="E30" s="2879"/>
      <c r="F30" s="2879"/>
      <c r="G30" s="2879"/>
      <c r="H30" s="2879"/>
      <c r="I30" s="2879"/>
      <c r="J30" s="2655"/>
      <c r="K30" s="2830"/>
      <c r="L30" s="2827"/>
      <c r="M30" s="2827"/>
      <c r="N30" s="2655"/>
      <c r="O30" s="2666"/>
      <c r="P30" s="2655"/>
      <c r="Q30" s="2655"/>
      <c r="R30" s="2655"/>
      <c r="S30" s="2655"/>
      <c r="T30" s="2655"/>
      <c r="U30" s="2655"/>
      <c r="V30" s="2655"/>
    </row>
    <row r="31" spans="1:28">
      <c r="A31" s="3332" t="s">
        <v>2963</v>
      </c>
      <c r="B31" s="2638"/>
      <c r="C31" s="2536" t="str">
        <f>IF(B31="现房","成新及维护状况正常否",IF(B31="在建","工程状态是否正常",IF(B31="土地","是否闲置","-")))</f>
        <v>-</v>
      </c>
      <c r="D31" s="1557"/>
      <c r="E31" s="2639"/>
      <c r="F31" s="2879"/>
      <c r="G31" s="2879"/>
      <c r="H31" s="2879"/>
      <c r="I31" s="2879"/>
      <c r="J31" s="2655"/>
      <c r="K31" s="2829"/>
      <c r="L31" s="2827"/>
      <c r="M31" s="2827"/>
      <c r="N31" s="2655"/>
      <c r="O31" s="2666"/>
      <c r="P31" s="2655"/>
      <c r="Q31" s="2655"/>
      <c r="R31" s="2655"/>
      <c r="S31" s="2655"/>
      <c r="T31" s="2655"/>
      <c r="U31" s="2655"/>
      <c r="V31" s="2655"/>
    </row>
    <row r="32" spans="1:28">
      <c r="A32" s="3333"/>
      <c r="B32" s="2638"/>
      <c r="C32" s="2536" t="str">
        <f>IF(B32="现房","成新及维护状况是否正常",IF(B32="在建","工程状态是否正常",IF(B32="土地","是否闲置","-")))</f>
        <v>-</v>
      </c>
      <c r="D32" s="1557"/>
      <c r="E32" s="2639"/>
      <c r="F32" s="2879"/>
      <c r="G32" s="2879"/>
      <c r="H32" s="2879"/>
      <c r="I32" s="2879"/>
      <c r="J32" s="2655"/>
      <c r="K32" s="2830"/>
      <c r="L32" s="2827"/>
      <c r="M32" s="2827"/>
      <c r="N32" s="2655"/>
      <c r="O32" s="2666"/>
      <c r="P32" s="2655"/>
      <c r="Q32" s="2655"/>
      <c r="R32" s="2655"/>
      <c r="S32" s="2655"/>
      <c r="T32" s="2655"/>
      <c r="U32" s="2655"/>
      <c r="V32" s="2655"/>
    </row>
    <row r="33" spans="1:30">
      <c r="A33" s="3333"/>
      <c r="B33" s="2641"/>
      <c r="C33" s="1775" t="str">
        <f>IF(B33="现房","成新及维护状况是否正常",IF(B33="在建","工程状态是否正常",IF(B33="土地","是否闲置","-")))</f>
        <v>-</v>
      </c>
      <c r="D33" s="1549"/>
      <c r="E33" s="2642"/>
      <c r="F33" s="2879"/>
      <c r="G33" s="2879"/>
      <c r="H33" s="2879"/>
      <c r="I33" s="2879"/>
      <c r="J33" s="2655"/>
      <c r="K33" s="2830"/>
      <c r="L33" s="2827"/>
      <c r="M33" s="2827"/>
      <c r="N33" s="2655"/>
      <c r="O33" s="2666"/>
      <c r="P33" s="2655"/>
      <c r="Q33" s="2655"/>
      <c r="R33" s="2655"/>
      <c r="S33" s="2655"/>
      <c r="T33" s="2655"/>
      <c r="U33" s="2655"/>
      <c r="V33" s="2655"/>
    </row>
    <row r="34" spans="1:30">
      <c r="A34" s="308" t="s">
        <v>2964</v>
      </c>
      <c r="B34" s="2213"/>
      <c r="C34" s="2213"/>
      <c r="D34" s="2213"/>
      <c r="E34" s="2213"/>
      <c r="F34" s="2213"/>
      <c r="G34" s="2213"/>
      <c r="H34" s="2213"/>
      <c r="I34" s="2879"/>
      <c r="J34" s="2655"/>
      <c r="K34" s="2643">
        <f>COUNTIF(B34:H34,"——")</f>
        <v>0</v>
      </c>
      <c r="L34" s="329" t="s">
        <v>2965</v>
      </c>
      <c r="M34" s="329" t="s">
        <v>2966</v>
      </c>
      <c r="N34" s="329" t="s">
        <v>2967</v>
      </c>
      <c r="O34" s="329" t="s">
        <v>2968</v>
      </c>
      <c r="P34" s="329" t="s">
        <v>2969</v>
      </c>
      <c r="Q34" s="329" t="s">
        <v>2970</v>
      </c>
      <c r="R34" s="329" t="s">
        <v>2971</v>
      </c>
      <c r="S34" s="3327" t="s">
        <v>2972</v>
      </c>
      <c r="T34" s="2644" t="str">
        <f>NUMBERSTRING(7-K34,1)&amp;"通"</f>
        <v>七通</v>
      </c>
      <c r="U34" s="2655"/>
      <c r="V34" s="2655"/>
    </row>
    <row r="35" spans="1:30">
      <c r="A35" s="2645"/>
      <c r="B35" s="3334" t="s">
        <v>2973</v>
      </c>
      <c r="C35" s="3334"/>
      <c r="D35" s="3334"/>
      <c r="E35" s="3334"/>
      <c r="F35" s="673">
        <f>C10</f>
        <v>0</v>
      </c>
      <c r="G35" s="2879"/>
      <c r="H35" s="2879"/>
      <c r="I35" s="2879"/>
      <c r="J35" s="265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7"/>
      <c r="T35" s="335" t="str">
        <f>IF(T34="一通",L35,IF(T34="二通",M35,IF(T34="三通",N35,IF(T34="四通",O35,IF(T34="五通",P35,IF(T34="六通",Q35,R35))))))</f>
        <v>、、、、、、</v>
      </c>
      <c r="U35" s="2655"/>
      <c r="V35" s="2655"/>
    </row>
    <row r="36" spans="1:30">
      <c r="A36" s="2646"/>
      <c r="B36" s="673" t="s">
        <v>2929</v>
      </c>
      <c r="C36" s="673" t="s">
        <v>2930</v>
      </c>
      <c r="D36" s="673" t="s">
        <v>2928</v>
      </c>
      <c r="E36" s="673" t="s">
        <v>2933</v>
      </c>
      <c r="F36" s="2885"/>
      <c r="G36" s="2879"/>
      <c r="H36" s="2879"/>
      <c r="I36" s="2879"/>
      <c r="J36" s="2655"/>
      <c r="K36" s="2830"/>
      <c r="L36" s="2827"/>
      <c r="M36" s="2827"/>
      <c r="N36" s="2655"/>
      <c r="O36" s="2666"/>
      <c r="P36" s="2655"/>
      <c r="Q36" s="2655"/>
      <c r="R36" s="2655"/>
      <c r="S36" s="2655"/>
      <c r="T36" s="2655"/>
      <c r="U36" s="2655"/>
      <c r="V36" s="2655"/>
    </row>
    <row r="37" spans="1:30">
      <c r="A37" s="2845" t="s">
        <v>2974</v>
      </c>
      <c r="B37" s="2647" t="s">
        <v>442</v>
      </c>
      <c r="C37" s="2647" t="s">
        <v>442</v>
      </c>
      <c r="D37" s="2647" t="s">
        <v>442</v>
      </c>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2975</v>
      </c>
      <c r="B38" s="2648" t="s">
        <v>334</v>
      </c>
      <c r="C38" s="2648" t="s">
        <v>312</v>
      </c>
      <c r="D38" s="2648" t="s">
        <v>312</v>
      </c>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2976</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3"/>
      <c r="J40" s="2723"/>
      <c r="K40" s="2829"/>
      <c r="L40" s="2667"/>
      <c r="M40" s="2667"/>
      <c r="N40" s="2723"/>
      <c r="O40" s="2667"/>
      <c r="P40" s="2655"/>
      <c r="Q40" s="2655"/>
      <c r="R40" s="2655"/>
      <c r="S40" s="2655"/>
      <c r="T40" s="2655"/>
      <c r="U40" s="2655"/>
      <c r="V40" s="2655"/>
    </row>
    <row r="41" spans="1:30">
      <c r="A41" s="2652" t="s">
        <v>2977</v>
      </c>
      <c r="B41" s="1942"/>
      <c r="C41" s="1557"/>
      <c r="D41" s="2584"/>
      <c r="E41" s="2584"/>
      <c r="F41" s="2584"/>
      <c r="G41" s="2584"/>
      <c r="H41" s="2584"/>
      <c r="I41" s="1761"/>
      <c r="J41" s="2655"/>
      <c r="K41" s="2830"/>
      <c r="L41" s="2827"/>
      <c r="M41" s="2827"/>
      <c r="N41" s="2655"/>
      <c r="O41" s="2666"/>
      <c r="P41" s="2655"/>
      <c r="Q41" s="2655"/>
      <c r="R41" s="2655"/>
      <c r="S41" s="2655"/>
      <c r="T41" s="2655"/>
      <c r="U41" s="2655"/>
      <c r="V41" s="2655"/>
    </row>
    <row r="42" spans="1:30" ht="25.5">
      <c r="A42" s="329" t="s">
        <v>2978</v>
      </c>
      <c r="B42" s="11" t="s">
        <v>2979</v>
      </c>
      <c r="C42" s="11" t="s">
        <v>2980</v>
      </c>
      <c r="D42" s="11" t="s">
        <v>2981</v>
      </c>
      <c r="E42" s="11" t="s">
        <v>2982</v>
      </c>
      <c r="F42" s="11" t="s">
        <v>2983</v>
      </c>
      <c r="G42" s="11" t="s">
        <v>2984</v>
      </c>
      <c r="H42" s="11" t="s">
        <v>2985</v>
      </c>
      <c r="I42" s="11" t="s">
        <v>2986</v>
      </c>
      <c r="J42" s="2841" t="s">
        <v>2987</v>
      </c>
      <c r="K42" s="2842" t="s">
        <v>2988</v>
      </c>
      <c r="L42" s="2842" t="s">
        <v>2989</v>
      </c>
      <c r="M42" s="2842" t="s">
        <v>2990</v>
      </c>
      <c r="N42" s="2835" t="s">
        <v>2991</v>
      </c>
      <c r="O42" s="2835" t="s">
        <v>2992</v>
      </c>
      <c r="P42" s="2835" t="s">
        <v>2993</v>
      </c>
      <c r="Q42" s="2836" t="s">
        <v>2994</v>
      </c>
      <c r="R42" s="2836" t="s">
        <v>2995</v>
      </c>
      <c r="S42" s="2655"/>
      <c r="T42" s="2655"/>
      <c r="U42" s="2655"/>
      <c r="V42" s="2655"/>
    </row>
    <row r="43" spans="1:30" s="1928" customFormat="1">
      <c r="A43" s="1755"/>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28" customFormat="1">
      <c r="A44" s="1755"/>
      <c r="B44" s="1755"/>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28" customFormat="1">
      <c r="A45" s="1755"/>
      <c r="B45" s="1755"/>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28" customFormat="1">
      <c r="A46" s="1755"/>
      <c r="B46" s="1755"/>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28" customFormat="1">
      <c r="A47" s="1755"/>
      <c r="B47" s="1755"/>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28" customFormat="1">
      <c r="A48" s="1755"/>
      <c r="B48" s="1755"/>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28" customFormat="1">
      <c r="A49" s="1755"/>
      <c r="B49" s="1755"/>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28" customFormat="1">
      <c r="A50" s="1755"/>
      <c r="B50" s="1755"/>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28" customFormat="1">
      <c r="A51" s="1755"/>
      <c r="B51" s="1755"/>
      <c r="C51" s="1182"/>
      <c r="D51" s="1182"/>
      <c r="E51" s="1182"/>
      <c r="F51" s="1182"/>
      <c r="G51" s="1182"/>
      <c r="H51" s="1182"/>
      <c r="I51" s="1182"/>
      <c r="J51" s="2653"/>
      <c r="K51" s="2654"/>
      <c r="L51" s="2654"/>
      <c r="M51" s="1182"/>
      <c r="N51" s="1182"/>
      <c r="O51" s="1182"/>
      <c r="P51" s="1182"/>
      <c r="Q51" s="1182"/>
      <c r="R51" s="1182"/>
    </row>
    <row r="52" spans="1:22" s="1928" customFormat="1">
      <c r="A52" s="1755"/>
      <c r="B52" s="1755"/>
      <c r="C52" s="1755"/>
      <c r="D52" s="1755"/>
      <c r="E52" s="1755"/>
      <c r="F52" s="1182"/>
      <c r="G52" s="1755"/>
      <c r="H52" s="1755"/>
      <c r="I52" s="1755"/>
      <c r="J52" s="2656"/>
      <c r="K52" s="2654"/>
      <c r="L52" s="2654"/>
      <c r="M52" s="2654"/>
      <c r="N52" s="1755"/>
      <c r="O52" s="1755"/>
      <c r="P52" s="1755"/>
      <c r="Q52" s="1755"/>
      <c r="R52" s="1755"/>
    </row>
    <row r="53" spans="1:22" s="1928" customFormat="1">
      <c r="A53" s="1755"/>
      <c r="B53" s="1755"/>
      <c r="C53" s="1755"/>
      <c r="D53" s="1755"/>
      <c r="E53" s="1755"/>
      <c r="F53" s="1182"/>
      <c r="G53" s="1755"/>
      <c r="H53" s="1755"/>
      <c r="I53" s="1755"/>
      <c r="J53" s="2656"/>
      <c r="K53" s="2654"/>
      <c r="L53" s="2654"/>
      <c r="M53" s="2654"/>
      <c r="N53" s="1755"/>
      <c r="O53" s="1755"/>
      <c r="P53" s="1755"/>
      <c r="Q53" s="1755"/>
      <c r="R53" s="1755"/>
    </row>
    <row r="54" spans="1:22" s="1928" customFormat="1">
      <c r="A54" s="1755"/>
      <c r="B54" s="1755"/>
      <c r="C54" s="1755"/>
      <c r="D54" s="1755"/>
      <c r="E54" s="1755"/>
      <c r="F54" s="1182"/>
      <c r="G54" s="1755"/>
      <c r="H54" s="1755"/>
      <c r="I54" s="1755"/>
      <c r="J54" s="2656"/>
      <c r="K54" s="2654"/>
      <c r="L54" s="2654"/>
      <c r="M54" s="2654"/>
      <c r="N54" s="1755"/>
      <c r="O54" s="1755"/>
      <c r="P54" s="1755"/>
      <c r="Q54" s="1755"/>
      <c r="R54" s="1755"/>
    </row>
    <row r="55" spans="1:22" s="1928" customFormat="1">
      <c r="A55" s="1755"/>
      <c r="B55" s="1755"/>
      <c r="C55" s="1755"/>
      <c r="D55" s="1755"/>
      <c r="E55" s="1755"/>
      <c r="F55" s="1182"/>
      <c r="G55" s="1755"/>
      <c r="H55" s="1755"/>
      <c r="I55" s="1755"/>
      <c r="J55" s="2656"/>
      <c r="K55" s="2654"/>
      <c r="L55" s="2654"/>
      <c r="M55" s="2654"/>
      <c r="N55" s="1755"/>
      <c r="O55" s="1755"/>
      <c r="P55" s="1755"/>
      <c r="Q55" s="1755"/>
      <c r="R55" s="1755"/>
    </row>
    <row r="56" spans="1:22" s="1928" customFormat="1">
      <c r="A56" s="1755"/>
      <c r="B56" s="1755"/>
      <c r="C56" s="1755"/>
      <c r="D56" s="1755"/>
      <c r="E56" s="1755"/>
      <c r="F56" s="1182"/>
      <c r="G56" s="1755"/>
      <c r="H56" s="1755"/>
      <c r="I56" s="1755"/>
      <c r="J56" s="2656"/>
      <c r="K56" s="2654"/>
      <c r="L56" s="2654"/>
      <c r="M56" s="265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373.76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373.76</v>
      </c>
      <c r="H5" s="16">
        <f t="shared" ref="H5:AT5" si="0">SUM(H13:H656)</f>
        <v>373.76</v>
      </c>
      <c r="I5" s="16">
        <f t="shared" si="0"/>
        <v>146.99</v>
      </c>
      <c r="J5" s="16">
        <f t="shared" si="0"/>
        <v>0</v>
      </c>
      <c r="K5" s="16">
        <f t="shared" si="0"/>
        <v>131.88</v>
      </c>
      <c r="L5" s="16">
        <f t="shared" si="0"/>
        <v>0</v>
      </c>
      <c r="M5" s="16">
        <f t="shared" si="0"/>
        <v>94.89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373.76</v>
      </c>
      <c r="BA5" s="18">
        <f t="shared" si="1"/>
        <v>373.76</v>
      </c>
      <c r="BB5" s="18">
        <f t="shared" si="1"/>
        <v>146.99</v>
      </c>
      <c r="BC5" s="18">
        <f t="shared" si="1"/>
        <v>131.88</v>
      </c>
      <c r="BD5" s="18">
        <f t="shared" si="1"/>
        <v>94.89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3199</v>
      </c>
      <c r="J9" s="918"/>
      <c r="K9" s="1788" t="s">
        <v>3318</v>
      </c>
      <c r="L9" s="918"/>
      <c r="M9" s="1788" t="s">
        <v>3199</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t="s">
        <v>3319</v>
      </c>
      <c r="L10" s="918"/>
      <c r="M10" s="1794" t="s">
        <v>1342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3322</v>
      </c>
      <c r="J11" s="1800"/>
      <c r="K11" s="1799" t="s">
        <v>3320</v>
      </c>
      <c r="L11" s="1800"/>
      <c r="M11" s="1799" t="s">
        <v>3322</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仓储</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底商</v>
      </c>
      <c r="BC12" s="1809" t="str">
        <f>K11</f>
        <v>戊类库房</v>
      </c>
      <c r="BD12" s="1809" t="str">
        <f>M11</f>
        <v>底商</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3200</v>
      </c>
      <c r="E13" s="16">
        <f>IF($C$3="是",ROUND($A$3*G13/$B$3,2),ROUND($A$3*(G13-AT13)/$B$3,2))</f>
        <v>0</v>
      </c>
      <c r="F13" s="32"/>
      <c r="G13" s="33">
        <f>H13+AC13+AT13</f>
        <v>373.76</v>
      </c>
      <c r="H13" s="20">
        <f>SUMIF(I$12:AB$12,"总值",I13:AB13)</f>
        <v>373.76</v>
      </c>
      <c r="I13" s="1811">
        <f>面积表!G2</f>
        <v>146.99</v>
      </c>
      <c r="J13" s="1811"/>
      <c r="K13" s="1811">
        <f>面积表!G39</f>
        <v>131.88</v>
      </c>
      <c r="L13" s="1811"/>
      <c r="M13" s="1811">
        <f>面积表!V2</f>
        <v>94.89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373.76</v>
      </c>
      <c r="BA13" s="16">
        <f>SUM(BB13:BK13)</f>
        <v>373.76</v>
      </c>
      <c r="BB13" s="16">
        <f>IF($D13="是",I13-J13,0)</f>
        <v>146.99</v>
      </c>
      <c r="BC13" s="16">
        <f>IF($D13="是",K13-L13,0)</f>
        <v>131.88</v>
      </c>
      <c r="BD13" s="16">
        <f>IF($D13="是",M13-N13,0)</f>
        <v>94.89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28.5">
      <c r="A3" s="3335"/>
      <c r="B3" s="3335"/>
      <c r="C3" s="3335"/>
      <c r="D3" s="3336"/>
      <c r="E3" s="33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zoomScaleSheetLayoutView="90" workbookViewId="0">
      <selection activeCell="F22" sqref="F2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46" t="s">
        <v>1816</v>
      </c>
      <c r="B2" s="3346"/>
      <c r="C2" s="3346"/>
      <c r="D2" s="904" t="s">
        <v>1792</v>
      </c>
      <c r="E2" s="1824" t="s">
        <v>1793</v>
      </c>
      <c r="F2" s="2874"/>
      <c r="G2" s="2865"/>
      <c r="H2" s="2866"/>
      <c r="I2" s="2538" t="s">
        <v>1817</v>
      </c>
      <c r="J2" s="2874"/>
      <c r="K2" s="2874"/>
      <c r="L2" s="2874"/>
      <c r="M2" s="2874"/>
      <c r="N2" s="2876"/>
      <c r="O2" s="2874"/>
      <c r="P2" s="2874"/>
    </row>
    <row r="3" spans="1:16" ht="15.75" thickBot="1">
      <c r="A3" s="3347" t="s">
        <v>1790</v>
      </c>
      <c r="B3" s="3347"/>
      <c r="C3" s="3347"/>
      <c r="D3" s="46">
        <f>'数据-基础表'!AY6</f>
        <v>0</v>
      </c>
      <c r="E3" s="46">
        <f>'数据-基础表'!AZ5</f>
        <v>373.76</v>
      </c>
      <c r="F3" s="2874"/>
      <c r="G3" s="1307"/>
      <c r="H3" s="1157" t="s">
        <v>1791</v>
      </c>
      <c r="I3" s="964" t="e">
        <f>ROUND('数据-基础表'!B3/'数据-基础表'!A3,2)</f>
        <v>#DIV/0!</v>
      </c>
      <c r="J3" s="2874"/>
      <c r="K3" s="2874"/>
      <c r="L3" s="2874"/>
      <c r="M3" s="2874"/>
      <c r="N3" s="2876"/>
      <c r="O3" s="2874"/>
      <c r="P3" s="2874"/>
    </row>
    <row r="4" spans="1:16" ht="15">
      <c r="A4" s="3348"/>
      <c r="B4" s="3349"/>
      <c r="C4" s="3350"/>
      <c r="D4" s="1826" t="s">
        <v>1792</v>
      </c>
      <c r="E4" s="1827"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351" t="s">
        <v>1795</v>
      </c>
      <c r="C5" s="3351"/>
      <c r="D5" s="48">
        <f>ROUND($D$3*E5/$E$3,2)</f>
        <v>0</v>
      </c>
      <c r="E5" s="49">
        <f>SUMIF('数据-基础表'!$11:$11,"住宅",'数据-基础表'!$5:$5)</f>
        <v>0</v>
      </c>
      <c r="F5" s="2874"/>
      <c r="G5" s="1307"/>
      <c r="H5" s="1157" t="s">
        <v>1791</v>
      </c>
      <c r="I5" s="964" t="e">
        <f>ROUND(E31/D31,2)</f>
        <v>#DIV/0!</v>
      </c>
      <c r="J5" s="2874"/>
      <c r="K5" s="2874"/>
      <c r="L5" s="2874"/>
      <c r="M5" s="2874"/>
      <c r="N5" s="2874"/>
      <c r="O5" s="2874"/>
      <c r="P5" s="2874"/>
    </row>
    <row r="6" spans="1:16" ht="15" thickBot="1">
      <c r="A6" s="1829"/>
      <c r="B6" s="3351" t="s">
        <v>1796</v>
      </c>
      <c r="C6" s="3351"/>
      <c r="D6" s="48">
        <f>ROUND($D$3*E6/$E$3,2)</f>
        <v>0</v>
      </c>
      <c r="E6" s="49">
        <f>E3-E5</f>
        <v>373.76</v>
      </c>
      <c r="F6" s="2874"/>
      <c r="G6" s="2868" t="s">
        <v>1797</v>
      </c>
      <c r="H6" s="1308" t="s">
        <v>1798</v>
      </c>
      <c r="I6" s="2869" t="e">
        <f>ROUND(F31/D31,2)</f>
        <v>#DIV/0!</v>
      </c>
      <c r="J6" s="2874"/>
      <c r="K6" s="2874"/>
      <c r="L6" s="2874"/>
      <c r="M6" s="2874"/>
      <c r="N6" s="2874"/>
      <c r="O6" s="2874"/>
      <c r="P6" s="2874"/>
    </row>
    <row r="7" spans="1:16" ht="15.75" thickBot="1">
      <c r="A7" s="3343"/>
      <c r="B7" s="3344"/>
      <c r="C7" s="3345"/>
      <c r="D7" s="1826" t="s">
        <v>1792</v>
      </c>
      <c r="E7" s="1830" t="s">
        <v>1799</v>
      </c>
      <c r="F7" s="2874"/>
      <c r="G7" s="2870" t="s">
        <v>1800</v>
      </c>
      <c r="H7" s="2871"/>
      <c r="I7" s="2872">
        <v>2.5</v>
      </c>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241.88</v>
      </c>
      <c r="F8" s="2874"/>
      <c r="G8" s="2875"/>
      <c r="H8" s="2875"/>
      <c r="I8" s="2874"/>
      <c r="J8" s="2874"/>
      <c r="K8" s="2874"/>
      <c r="L8" s="2874"/>
      <c r="M8" s="2874"/>
      <c r="N8" s="2874"/>
      <c r="O8" s="2874"/>
      <c r="P8" s="2874"/>
    </row>
    <row r="9" spans="1:16">
      <c r="A9" s="1831"/>
      <c r="B9" s="1832"/>
      <c r="C9" s="48" t="s">
        <v>1804</v>
      </c>
      <c r="D9" s="48">
        <f t="shared" si="0"/>
        <v>0</v>
      </c>
      <c r="E9" s="52">
        <v>0</v>
      </c>
      <c r="F9" s="2874"/>
      <c r="G9" s="2875"/>
      <c r="H9" s="2875"/>
      <c r="I9" s="2874"/>
      <c r="J9" s="2874"/>
      <c r="K9" s="2874"/>
      <c r="L9" s="2874"/>
      <c r="M9" s="2874"/>
      <c r="N9" s="2874"/>
      <c r="O9" s="2874"/>
      <c r="P9" s="2874"/>
    </row>
    <row r="10" spans="1:16">
      <c r="A10" s="1831"/>
      <c r="B10" s="183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1806</v>
      </c>
      <c r="D12" s="48">
        <f t="shared" si="0"/>
        <v>0</v>
      </c>
      <c r="E12" s="51">
        <f>SUMPRODUCT(('数据-基础表'!BB10:BK10="地下")*('数据-基础表'!BB11:BK11="仓储")*('数据-基础表'!BB5:BK5))</f>
        <v>131.88</v>
      </c>
      <c r="F12" s="2874"/>
      <c r="G12" s="2875"/>
      <c r="H12" s="2875"/>
      <c r="I12" s="2874"/>
      <c r="J12" s="2874"/>
      <c r="K12" s="2874"/>
      <c r="L12" s="2874"/>
      <c r="M12" s="2874"/>
      <c r="N12" s="2874"/>
      <c r="O12" s="2874"/>
      <c r="P12" s="2874"/>
    </row>
    <row r="13" spans="1:16">
      <c r="A13" s="1831"/>
      <c r="B13" s="183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1808</v>
      </c>
      <c r="D16" s="50">
        <f>SUM(D8:D15)</f>
        <v>0</v>
      </c>
      <c r="E16" s="53">
        <f>SUM(E8:E15)</f>
        <v>373.76</v>
      </c>
      <c r="F16" s="2874"/>
      <c r="G16" s="2875"/>
      <c r="H16" s="1833" t="s">
        <v>1820</v>
      </c>
      <c r="I16" s="1834"/>
      <c r="J16" s="1301"/>
      <c r="K16" s="3340" t="s">
        <v>1820</v>
      </c>
      <c r="L16" s="3341"/>
      <c r="M16" s="3341"/>
      <c r="N16" s="3341"/>
      <c r="O16" s="3341"/>
      <c r="P16" s="3342"/>
    </row>
    <row r="17" spans="1:19" ht="15">
      <c r="A17" s="1835" t="s">
        <v>1821</v>
      </c>
      <c r="B17" s="1836" t="s">
        <v>1822</v>
      </c>
      <c r="C17" s="1837" t="s">
        <v>1823</v>
      </c>
      <c r="D17" s="1838" t="s">
        <v>1811</v>
      </c>
      <c r="E17" s="1839" t="s">
        <v>1812</v>
      </c>
      <c r="F17" s="1840"/>
      <c r="G17" s="1841"/>
      <c r="H17" s="1842" t="s">
        <v>1824</v>
      </c>
      <c r="I17" s="1843" t="s">
        <v>1809</v>
      </c>
      <c r="J17" s="1301"/>
      <c r="K17" s="3337" t="s">
        <v>1825</v>
      </c>
      <c r="L17" s="3338"/>
      <c r="M17" s="3339"/>
      <c r="N17" s="3337" t="s">
        <v>1826</v>
      </c>
      <c r="O17" s="3338"/>
      <c r="P17" s="333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24" t="s">
        <v>3201</v>
      </c>
      <c r="D19" s="48">
        <f>ROUND($D$3*E19/$E$3,2)</f>
        <v>0</v>
      </c>
      <c r="E19" s="56">
        <f t="shared" ref="E19:E26" si="1">SUM(F19:G19)</f>
        <v>146.99</v>
      </c>
      <c r="F19" s="3014">
        <f>'数据-基础表'!I13</f>
        <v>146.99</v>
      </c>
      <c r="G19" s="301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146.99</v>
      </c>
    </row>
    <row r="20" spans="1:19">
      <c r="A20" s="1855"/>
      <c r="B20" s="50" t="s">
        <v>1838</v>
      </c>
      <c r="C20" s="3124" t="s">
        <v>3321</v>
      </c>
      <c r="D20" s="48">
        <f t="shared" ref="D20:D26" si="6">ROUND($D$3*E20/$E$3,2)</f>
        <v>0</v>
      </c>
      <c r="E20" s="56">
        <f t="shared" si="1"/>
        <v>131.88</v>
      </c>
      <c r="F20" s="3014"/>
      <c r="G20" s="3015">
        <f>'数据-基础表'!K13</f>
        <v>131.88</v>
      </c>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131.88</v>
      </c>
    </row>
    <row r="21" spans="1:19">
      <c r="A21" s="1855"/>
      <c r="B21" s="50" t="s">
        <v>1838</v>
      </c>
      <c r="C21" s="3124" t="s">
        <v>3323</v>
      </c>
      <c r="D21" s="48">
        <f t="shared" si="6"/>
        <v>0</v>
      </c>
      <c r="E21" s="56">
        <f t="shared" si="1"/>
        <v>94.89</v>
      </c>
      <c r="F21" s="3014">
        <f>'数据-基础表'!M13</f>
        <v>94.89</v>
      </c>
      <c r="G21" s="301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94.89</v>
      </c>
    </row>
    <row r="22" spans="1:19">
      <c r="A22" s="1855"/>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373.76</v>
      </c>
      <c r="F27" s="1302">
        <f>IF(SUM(F19:F26)=E8,SUM(F19:F26),"地上面积有误")</f>
        <v>241.88</v>
      </c>
      <c r="G27" s="1304">
        <f>SUM(G19:G26)</f>
        <v>131.88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373.76</v>
      </c>
    </row>
    <row r="28" spans="1:19">
      <c r="A28" s="1855"/>
      <c r="B28" s="50" t="s">
        <v>1840</v>
      </c>
      <c r="C28" s="1169"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2">
        <f>SUM(D28:D29)</f>
        <v>0</v>
      </c>
      <c r="E30" s="1302">
        <f>SUM(E28:E29)</f>
        <v>0</v>
      </c>
      <c r="F30" s="1302">
        <f>SUM(F28:F29)</f>
        <v>0</v>
      </c>
      <c r="G30" s="1304">
        <f>SUM(G28:G29)</f>
        <v>0</v>
      </c>
      <c r="H30" s="2874"/>
      <c r="I30" s="2874"/>
      <c r="J30" s="2874"/>
      <c r="K30" s="2874"/>
      <c r="L30" s="2874"/>
      <c r="M30" s="2874"/>
      <c r="N30" s="2874"/>
      <c r="O30" s="2874"/>
      <c r="P30" s="2874"/>
    </row>
    <row r="31" spans="1:19" ht="15.75" thickBot="1">
      <c r="A31" s="1861"/>
      <c r="B31" s="1862"/>
      <c r="C31" s="944" t="s">
        <v>1843</v>
      </c>
      <c r="D31" s="685">
        <f>D27+D30</f>
        <v>0</v>
      </c>
      <c r="E31" s="685">
        <f>E27+E30</f>
        <v>373.76</v>
      </c>
      <c r="F31" s="686">
        <f>F27+F30</f>
        <v>241.88</v>
      </c>
      <c r="G31" s="687">
        <f>G27+G30</f>
        <v>131.88</v>
      </c>
      <c r="H31" s="2874"/>
      <c r="I31" s="2874"/>
      <c r="J31" s="2874"/>
      <c r="K31" s="2874"/>
      <c r="L31" s="2874"/>
      <c r="M31" s="2874"/>
      <c r="N31" s="2874"/>
      <c r="O31" s="2874"/>
      <c r="P31" s="2874"/>
    </row>
    <row r="32" spans="1:19">
      <c r="A32" s="1828"/>
      <c r="B32" s="1828" t="s">
        <v>1844</v>
      </c>
      <c r="C32" s="1828"/>
      <c r="D32" s="1828"/>
      <c r="E32" s="1184">
        <f>SUMIF(C19:C26,"*住宅*",E19:E26)</f>
        <v>0</v>
      </c>
      <c r="F32" s="1828"/>
      <c r="G32" s="1828"/>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8" t="s">
        <v>1846</v>
      </c>
      <c r="B2" s="1176">
        <f>项目基本情况!D3</f>
        <v>44775</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0"/>
      <c r="AO2" s="2890"/>
      <c r="AP2" s="2890"/>
      <c r="AQ2" s="2890"/>
      <c r="AR2" s="289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0"/>
      <c r="AO3" s="2890"/>
      <c r="AP3" s="2890"/>
      <c r="AQ3" s="2890"/>
      <c r="AR3" s="289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90"/>
      <c r="AO4" s="2890"/>
      <c r="AP4" s="2890"/>
      <c r="AQ4" s="2890"/>
      <c r="AR4" s="289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3206</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商业</v>
      </c>
      <c r="B6" s="1898" t="str">
        <f>IF(A6=0,"","经营性")</f>
        <v>经营性</v>
      </c>
      <c r="C6" s="1899" t="s">
        <v>1342</v>
      </c>
      <c r="D6" s="967">
        <f>SUMIF(项目基本情况!D$12:I$12,C6,项目基本情况!D$14:I$14)</f>
        <v>40</v>
      </c>
      <c r="E6" s="966">
        <f>IF(B6="","",SUMIF(项目基本情况!D$12:I$12,C6,项目基本情况!D$13:I$13))</f>
        <v>53659</v>
      </c>
      <c r="F6" s="68">
        <f>SUMIF(项目基本情况!D$12:I$12,C6,项目基本情况!D$15:I$15)</f>
        <v>24.33</v>
      </c>
      <c r="G6" s="69">
        <f>IF(ISERROR(ROUND(POWER(1+H6,D6-F6)*(POWER(1+H6,F6)-1)/(POWER(1+H6,D6)-1),3)),0,ROUND(POWER(1+H6,D6-F6)*(POWER(1+H6,F6)-1)/(POWER(1+H6,D6)-1),3))</f>
        <v>0.81</v>
      </c>
      <c r="H6" s="741">
        <v>0.05</v>
      </c>
      <c r="I6" s="741">
        <v>5.5E-2</v>
      </c>
      <c r="J6" s="70">
        <v>0.06</v>
      </c>
      <c r="K6" s="1161">
        <f>SUMIF('数据-汇总表'!C$19:C$33,A6,'数据-汇总表'!E$19:E$33)</f>
        <v>146.99</v>
      </c>
      <c r="L6" s="742">
        <v>3500</v>
      </c>
      <c r="M6" s="71">
        <f t="shared" ref="M6:M14" si="0">ROUND(K6*L6/10000,0)</f>
        <v>51</v>
      </c>
      <c r="N6" s="740">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0.1</v>
      </c>
      <c r="X6" s="1171"/>
      <c r="Y6" s="76">
        <f>N6</f>
        <v>0.8</v>
      </c>
      <c r="Z6" s="77"/>
      <c r="AA6" s="70"/>
      <c r="AB6" s="70"/>
      <c r="AC6" s="1171"/>
      <c r="AD6" s="78"/>
      <c r="AE6" s="1172">
        <f ca="1">IF(AN6="",0,SUMIF(INDIRECT("'"&amp;AN6&amp;"'"&amp;"!E:E"),$AE$5,INDIRECT("'"&amp;AN6&amp;"'"&amp;"!F:F")))</f>
        <v>24.33</v>
      </c>
      <c r="AF6" s="1532"/>
      <c r="AG6" s="143">
        <f>IF(AF6="",0,AE6-AF6)</f>
        <v>0</v>
      </c>
      <c r="AH6" s="79"/>
      <c r="AI6" s="81">
        <v>365</v>
      </c>
      <c r="AJ6" s="82"/>
      <c r="AK6" s="83">
        <v>0.01</v>
      </c>
      <c r="AL6" s="84">
        <v>1E-3</v>
      </c>
      <c r="AM6" s="85">
        <v>0.01</v>
      </c>
      <c r="AN6" s="1900" t="s">
        <v>3186</v>
      </c>
      <c r="AO6" s="55">
        <f ca="1">SUMIF(INDIRECT("'"&amp;AN6&amp;"'"&amp;"!A:A"),"总价",INDIRECT("'"&amp;AN6&amp;"'"&amp;"!B:B"))</f>
        <v>-18</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库房</v>
      </c>
      <c r="B7" s="1898" t="str">
        <f t="shared" ref="B7:B13" si="1">IF(A7=0,"","经营性")</f>
        <v>经营性</v>
      </c>
      <c r="C7" s="1899" t="s">
        <v>3319</v>
      </c>
      <c r="D7" s="967">
        <f>SUMIF(项目基本情况!D$12:I$12,C7,项目基本情况!D$14:I$14)</f>
        <v>50</v>
      </c>
      <c r="E7" s="966">
        <f>IF(B7="","",SUMIF(项目基本情况!D$12:I$12,C7,项目基本情况!D$13:I$13))</f>
        <v>57312</v>
      </c>
      <c r="F7" s="68">
        <f>SUMIF(项目基本情况!D$12:I$12,C7,项目基本情况!D$15:I$15)</f>
        <v>34.340000000000003</v>
      </c>
      <c r="G7" s="69">
        <f t="shared" ref="G7:G11" si="2">IF(ISERROR(ROUND(POWER(1+H7,D7-F7)*(POWER(1+H7,F7)-1)/(POWER(1+H7,D7)-1),3)),0,ROUND(POWER(1+H7,D7-F7)*(POWER(1+H7,F7)-1)/(POWER(1+H7,D7)-1),3))</f>
        <v>0.86099999999999999</v>
      </c>
      <c r="H7" s="741">
        <v>0.04</v>
      </c>
      <c r="I7" s="741">
        <v>4.4999999999999998E-2</v>
      </c>
      <c r="J7" s="70">
        <v>0.05</v>
      </c>
      <c r="K7" s="1161">
        <f>SUMIF('数据-汇总表'!C$19:C$33,A7,'数据-汇总表'!E$19:E$33)</f>
        <v>131.88</v>
      </c>
      <c r="L7" s="742">
        <v>3500</v>
      </c>
      <c r="M7" s="71">
        <f t="shared" si="0"/>
        <v>46</v>
      </c>
      <c r="N7" s="740">
        <f>N6</f>
        <v>0.8</v>
      </c>
      <c r="O7" s="71" t="str">
        <f t="shared" ref="O7:O14" si="3">IF($N$5="成新度","——",ROUND(M7*N7,0))</f>
        <v>——</v>
      </c>
      <c r="P7" s="72" t="str">
        <f t="shared" ref="P7:P14" si="4">IF($N$5="成新度","——",M7-O7)</f>
        <v>——</v>
      </c>
      <c r="Q7" s="743">
        <v>0.1</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v>1.4999999999999999E-2</v>
      </c>
      <c r="W7" s="75">
        <v>0.15</v>
      </c>
      <c r="X7" s="1171"/>
      <c r="Y7" s="76">
        <f>Y6</f>
        <v>0.8</v>
      </c>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v>5.0000000000000001E-3</v>
      </c>
      <c r="AL7" s="84">
        <v>5.0000000000000001E-4</v>
      </c>
      <c r="AM7" s="85">
        <v>5.0000000000000001E-3</v>
      </c>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商业铂郡</v>
      </c>
      <c r="B8" s="1898" t="str">
        <f t="shared" si="1"/>
        <v>经营性</v>
      </c>
      <c r="C8" s="1899" t="s">
        <v>1342</v>
      </c>
      <c r="D8" s="967">
        <f>SUMIF(项目基本情况!D$12:I$12,C8,项目基本情况!D$14:I$14)</f>
        <v>40</v>
      </c>
      <c r="E8" s="966">
        <f>IF(B8="","",SUMIF(项目基本情况!D$12:I$12,C8,项目基本情况!D$13:I$13))</f>
        <v>53659</v>
      </c>
      <c r="F8" s="3196">
        <v>30</v>
      </c>
      <c r="G8" s="69">
        <f t="shared" si="2"/>
        <v>0.89600000000000002</v>
      </c>
      <c r="H8" s="741">
        <f>H6</f>
        <v>0.05</v>
      </c>
      <c r="I8" s="741">
        <f>I6</f>
        <v>5.5E-2</v>
      </c>
      <c r="J8" s="70">
        <f>J6</f>
        <v>0.06</v>
      </c>
      <c r="K8" s="1161">
        <f>SUMIF('数据-汇总表'!C$19:C$33,A8,'数据-汇总表'!E$19:E$33)</f>
        <v>94.89</v>
      </c>
      <c r="L8" s="742">
        <v>4000</v>
      </c>
      <c r="M8" s="71">
        <f>ROUND(K8*L8/10000,0)</f>
        <v>38</v>
      </c>
      <c r="N8" s="740">
        <v>0.85</v>
      </c>
      <c r="O8" s="71" t="str">
        <f t="shared" si="3"/>
        <v>——</v>
      </c>
      <c r="P8" s="72" t="str">
        <f t="shared" si="4"/>
        <v>——</v>
      </c>
      <c r="Q8" s="743">
        <v>0.2</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v>0.03</v>
      </c>
      <c r="W8" s="745">
        <v>0.1</v>
      </c>
      <c r="X8" s="1171"/>
      <c r="Y8" s="746">
        <f>N8</f>
        <v>0.85</v>
      </c>
      <c r="Z8" s="77"/>
      <c r="AA8" s="70"/>
      <c r="AB8" s="70"/>
      <c r="AC8" s="1171"/>
      <c r="AD8" s="78"/>
      <c r="AE8" s="1172">
        <f t="shared" ca="1" si="6"/>
        <v>0</v>
      </c>
      <c r="AF8" s="1532"/>
      <c r="AG8" s="143">
        <f t="shared" si="7"/>
        <v>0</v>
      </c>
      <c r="AH8" s="747"/>
      <c r="AI8" s="81">
        <v>365</v>
      </c>
      <c r="AJ8" s="82"/>
      <c r="AK8" s="748">
        <v>0.01</v>
      </c>
      <c r="AL8" s="749">
        <v>1E-3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0.85</v>
      </c>
      <c r="H16" s="95">
        <f>ROUND(SUMPRODUCT(H6:H13,K6:K13)/SUMPRODUCT((H6:H13&gt;0)*(K6:K13)),3)</f>
        <v>4.5999999999999999E-2</v>
      </c>
      <c r="I16" s="96"/>
      <c r="J16" s="96"/>
      <c r="K16" s="97">
        <f>SUM(K6:K15)</f>
        <v>373.76</v>
      </c>
      <c r="L16" s="98">
        <f>ROUND(M16*10000/SUM(K6:K14),0)</f>
        <v>3612</v>
      </c>
      <c r="M16" s="98">
        <f>SUM(M6:M14)</f>
        <v>135</v>
      </c>
      <c r="N16" s="99">
        <f>ROUND(SUMPRODUCT(M6:M14,N6:N14)/M16,3)</f>
        <v>0.81399999999999995</v>
      </c>
      <c r="O16" s="98">
        <f>SUM(O6:O14)</f>
        <v>0</v>
      </c>
      <c r="P16" s="98">
        <f>SUM(P6:P14)</f>
        <v>0</v>
      </c>
      <c r="Q16" s="100">
        <f>ROUND(SUMPRODUCT(Q6:Q13,K6:K13)/SUMPRODUCT((Q6:Q13&gt;0)*(K6:K13)),2)</f>
        <v>0.16</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f>ROUND(1-(2022-2011)/60,2)</f>
        <v>0.82</v>
      </c>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7" t="s">
        <v>1896</v>
      </c>
      <c r="B19" s="108">
        <v>0</v>
      </c>
      <c r="C19" s="3018" t="s">
        <v>3046</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8" t="s">
        <v>1897</v>
      </c>
      <c r="B20" s="109">
        <v>2</v>
      </c>
      <c r="C20" s="3019" t="s">
        <v>3044</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9" t="s">
        <v>1898</v>
      </c>
      <c r="B21" s="109">
        <v>2</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8" t="s">
        <v>1899</v>
      </c>
      <c r="B22" s="110">
        <f>B19+B20</f>
        <v>2</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9" t="s">
        <v>1900</v>
      </c>
      <c r="B23" s="110">
        <f>B19+B21</f>
        <v>2</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0"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2"/>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8" t="s">
        <v>1902</v>
      </c>
      <c r="B26" s="1911"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3" customFormat="1" ht="27.75">
      <c r="A27" s="1912" t="s">
        <v>1905</v>
      </c>
      <c r="B27" s="112">
        <v>160</v>
      </c>
      <c r="C27" s="3020" t="s">
        <v>3048</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21" t="s">
        <v>3035</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22" t="s">
        <v>3036</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2" t="s">
        <v>3037</v>
      </c>
      <c r="D34" s="2901" t="s">
        <v>3045</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2" t="s">
        <v>3038</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2" t="s">
        <v>3039</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6" t="s">
        <v>1915</v>
      </c>
      <c r="B37" s="120">
        <v>0.02</v>
      </c>
      <c r="C37" s="3022" t="s">
        <v>3040</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4" t="s">
        <v>1916</v>
      </c>
      <c r="B38" s="118">
        <v>0.02</v>
      </c>
      <c r="C38" s="3022" t="s">
        <v>3040</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7"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3" t="s">
        <v>3207</v>
      </c>
      <c r="B40" s="1210">
        <f ca="1">IF(A40="利息：取LPR",存贷款利率!G1,存贷款利率!G1+C40)</f>
        <v>4.7500000000000001E-2</v>
      </c>
      <c r="C40" s="3032">
        <v>8.9999999999999993E-3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2"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8"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8"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9" t="s">
        <v>1921</v>
      </c>
      <c r="B44" s="124">
        <v>7.0000000000000007E-2</v>
      </c>
      <c r="C44" s="3022" t="s">
        <v>3049</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9" t="s">
        <v>1922</v>
      </c>
      <c r="B45" s="122">
        <v>0.03</v>
      </c>
      <c r="C45" s="3021" t="s">
        <v>3041</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9" t="s">
        <v>1923</v>
      </c>
      <c r="B46" s="122">
        <v>0.02</v>
      </c>
      <c r="C46" s="3021" t="s">
        <v>3042</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0" t="s">
        <v>1924</v>
      </c>
      <c r="B47" s="125"/>
      <c r="C47" s="3024" t="s">
        <v>3050</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1" t="s">
        <v>1925</v>
      </c>
      <c r="B48" s="126">
        <v>0.03</v>
      </c>
      <c r="C48" s="3021" t="s">
        <v>3041</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7" t="s">
        <v>1926</v>
      </c>
      <c r="B49" s="122">
        <v>5.0000000000000001E-4</v>
      </c>
      <c r="C49" s="3021" t="s">
        <v>3043</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2"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5"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2" t="s">
        <v>1929</v>
      </c>
      <c r="B52" s="129">
        <f>SUMIF(A54:A63,B53,B54:B63)</f>
        <v>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4" t="s">
        <v>1930</v>
      </c>
      <c r="B53" s="1923"/>
      <c r="C53" s="2876" t="s">
        <v>1931</v>
      </c>
      <c r="D53" s="3023" t="s">
        <v>3047</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4" t="s">
        <v>1932</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4"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4"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4"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4"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4"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4"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4"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4"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5"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1"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3" customFormat="1" ht="18.75" thickBot="1">
      <c r="A1" s="3352" t="s">
        <v>3027</v>
      </c>
      <c r="B1" s="3353"/>
      <c r="C1" s="3353"/>
      <c r="D1" s="3353"/>
      <c r="E1" s="3353"/>
      <c r="F1" s="3353"/>
      <c r="G1" s="3353"/>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3023</v>
      </c>
      <c r="D2" s="2677"/>
      <c r="E2" s="2674"/>
      <c r="F2" s="2678"/>
      <c r="G2" s="2676" t="s">
        <v>3024</v>
      </c>
      <c r="H2" s="907"/>
      <c r="I2" s="907"/>
      <c r="J2" s="907"/>
      <c r="K2" s="907"/>
      <c r="L2" s="907"/>
      <c r="M2" s="907"/>
      <c r="N2" s="907"/>
      <c r="O2" s="907"/>
      <c r="P2" s="907"/>
      <c r="Q2" s="907"/>
      <c r="R2" s="907"/>
    </row>
    <row r="3" spans="1:29" ht="39" hidden="1" thickBot="1">
      <c r="A3" s="2657" t="s">
        <v>3025</v>
      </c>
      <c r="B3" s="2679" t="s">
        <v>2996</v>
      </c>
      <c r="C3" s="3131" t="s">
        <v>3262</v>
      </c>
      <c r="D3" s="2680"/>
      <c r="E3" s="2658" t="s">
        <v>3025</v>
      </c>
      <c r="F3" s="2681" t="s">
        <v>2997</v>
      </c>
      <c r="G3" s="2682" t="s">
        <v>3026</v>
      </c>
      <c r="H3" s="907"/>
      <c r="I3" s="907"/>
      <c r="J3" s="907"/>
      <c r="K3" s="907"/>
      <c r="L3" s="907"/>
      <c r="M3" s="907"/>
      <c r="N3" s="907"/>
      <c r="O3" s="907"/>
      <c r="P3" s="907"/>
      <c r="Q3" s="907"/>
      <c r="R3" s="907"/>
    </row>
    <row r="4" spans="1:29" ht="39" thickBot="1">
      <c r="A4" s="2658"/>
      <c r="B4" s="329" t="s">
        <v>2998</v>
      </c>
      <c r="C4" s="3131" t="s">
        <v>3262</v>
      </c>
      <c r="D4" s="2680"/>
      <c r="E4" s="2684"/>
      <c r="F4" s="1557" t="s">
        <v>2999</v>
      </c>
      <c r="G4" s="2685" t="s">
        <v>3000</v>
      </c>
      <c r="H4" s="907"/>
      <c r="I4" s="907"/>
      <c r="J4" s="907"/>
      <c r="K4" s="907"/>
      <c r="L4" s="907"/>
      <c r="M4" s="907"/>
      <c r="N4" s="907"/>
      <c r="O4" s="907"/>
      <c r="P4" s="907"/>
      <c r="Q4" s="907"/>
      <c r="R4" s="907"/>
    </row>
    <row r="5" spans="1:29" ht="36.75" hidden="1">
      <c r="A5" s="2658"/>
      <c r="B5" s="329" t="s">
        <v>3001</v>
      </c>
      <c r="C5" s="2683" t="s">
        <v>3002</v>
      </c>
      <c r="D5" s="2680"/>
      <c r="E5" s="2684"/>
      <c r="F5" s="329" t="s">
        <v>3003</v>
      </c>
      <c r="G5" s="2685" t="s">
        <v>3004</v>
      </c>
      <c r="H5" s="907"/>
      <c r="I5" s="907"/>
      <c r="J5" s="907"/>
      <c r="K5" s="907"/>
      <c r="L5" s="907"/>
      <c r="M5" s="907"/>
      <c r="N5" s="907"/>
      <c r="O5" s="907"/>
      <c r="P5" s="907"/>
      <c r="Q5" s="907"/>
      <c r="R5" s="907"/>
    </row>
    <row r="6" spans="1:29" ht="63.75">
      <c r="A6" s="2658"/>
      <c r="B6" s="329" t="s">
        <v>3005</v>
      </c>
      <c r="C6" s="3132" t="s">
        <v>3264</v>
      </c>
      <c r="D6" s="2680"/>
      <c r="E6" s="2684"/>
      <c r="F6" s="329" t="s">
        <v>3006</v>
      </c>
      <c r="G6" s="2685" t="s">
        <v>3007</v>
      </c>
      <c r="H6" s="907"/>
      <c r="I6" s="907"/>
      <c r="J6" s="907"/>
      <c r="K6" s="907"/>
      <c r="L6" s="907"/>
      <c r="M6" s="907"/>
      <c r="N6" s="907"/>
      <c r="O6" s="907"/>
      <c r="P6" s="907"/>
      <c r="Q6" s="907"/>
      <c r="R6" s="907"/>
    </row>
    <row r="7" spans="1:29" ht="171.75" thickBot="1">
      <c r="A7" s="2658"/>
      <c r="B7" s="329" t="s">
        <v>3003</v>
      </c>
      <c r="C7" s="3134" t="s">
        <v>3266</v>
      </c>
      <c r="D7" s="2686"/>
      <c r="E7" s="2687"/>
      <c r="F7" s="2688" t="s">
        <v>3008</v>
      </c>
      <c r="G7" s="2689" t="s">
        <v>3009</v>
      </c>
      <c r="H7" s="907"/>
      <c r="I7" s="907"/>
      <c r="J7" s="907"/>
      <c r="K7" s="907"/>
      <c r="L7" s="907"/>
      <c r="M7" s="907"/>
      <c r="N7" s="907"/>
      <c r="O7" s="907"/>
      <c r="P7" s="907"/>
      <c r="Q7" s="907"/>
      <c r="R7" s="907"/>
    </row>
    <row r="8" spans="1:29" ht="24.75">
      <c r="A8" s="2658"/>
      <c r="B8" s="329" t="s">
        <v>3006</v>
      </c>
      <c r="C8" s="3134" t="s">
        <v>3263</v>
      </c>
      <c r="D8" s="2686"/>
      <c r="E8" s="2686"/>
      <c r="F8" s="2690"/>
      <c r="G8" s="2690"/>
      <c r="H8" s="907"/>
      <c r="I8" s="907"/>
      <c r="J8" s="907"/>
      <c r="K8" s="907"/>
      <c r="L8" s="907"/>
      <c r="M8" s="907"/>
      <c r="N8" s="907"/>
      <c r="O8" s="907"/>
      <c r="P8" s="907"/>
      <c r="Q8" s="907"/>
      <c r="R8" s="907"/>
    </row>
    <row r="9" spans="1:29" ht="82.5">
      <c r="A9" s="2658"/>
      <c r="B9" s="329" t="s">
        <v>3010</v>
      </c>
      <c r="C9" s="3133" t="s">
        <v>3267</v>
      </c>
      <c r="D9" s="2680"/>
      <c r="E9" s="2686"/>
      <c r="F9" s="2690"/>
      <c r="G9" s="2690"/>
      <c r="H9" s="907"/>
      <c r="I9" s="907"/>
      <c r="J9" s="907"/>
      <c r="K9" s="907"/>
      <c r="L9" s="907"/>
      <c r="M9" s="907"/>
      <c r="N9" s="907"/>
      <c r="O9" s="907"/>
      <c r="P9" s="907"/>
      <c r="Q9" s="907"/>
      <c r="R9" s="907"/>
    </row>
    <row r="10" spans="1:29" s="2695" customFormat="1" ht="24.75" thickBot="1">
      <c r="A10" s="2659"/>
      <c r="B10" s="2691" t="s">
        <v>3011</v>
      </c>
      <c r="C10" s="3135" t="s">
        <v>3265</v>
      </c>
      <c r="D10" s="2680"/>
      <c r="E10" s="2680"/>
      <c r="F10" s="2690"/>
      <c r="G10" s="2690"/>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6"/>
      <c r="C11" s="2680"/>
      <c r="D11" s="2680"/>
      <c r="E11" s="2680"/>
      <c r="F11" s="2686"/>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6"/>
      <c r="C12" s="2680"/>
      <c r="D12" s="2698"/>
      <c r="E12" s="2680"/>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3028</v>
      </c>
      <c r="B13" s="2698"/>
      <c r="C13" s="2698"/>
      <c r="D13" s="2696"/>
      <c r="E13" s="2698"/>
      <c r="F13" s="2698"/>
      <c r="G13" s="2698"/>
    </row>
    <row r="14" spans="1:29" ht="15" thickBot="1">
      <c r="A14" s="2708"/>
      <c r="B14" s="2708"/>
      <c r="C14" s="2709" t="s">
        <v>3012</v>
      </c>
      <c r="D14" s="2680"/>
      <c r="E14" s="2710"/>
      <c r="F14" s="2710"/>
      <c r="G14" s="2676" t="s">
        <v>3013</v>
      </c>
    </row>
    <row r="15" spans="1:29" ht="51">
      <c r="A15" s="2660" t="s">
        <v>3014</v>
      </c>
      <c r="B15" s="2711" t="s">
        <v>2996</v>
      </c>
      <c r="C15" s="2712" t="str">
        <f>C3</f>
        <v>估价对象周边有光耀东方广场、西单商场（万方店）、北京长安商场等项目，商业繁华程度较好。</v>
      </c>
      <c r="D15" s="2680"/>
      <c r="E15" s="2661" t="s">
        <v>3015</v>
      </c>
      <c r="F15" s="2711" t="s">
        <v>3016</v>
      </c>
      <c r="G15" s="2713" t="str">
        <f>G3</f>
        <v>估价对象位于XX开发区，园区建设成熟度XX，产业集聚程度XX</v>
      </c>
    </row>
    <row r="16" spans="1:29" ht="51">
      <c r="A16" s="2662"/>
      <c r="B16" s="2714" t="s">
        <v>2998</v>
      </c>
      <c r="C16" s="2715" t="str">
        <f>C4</f>
        <v>估价对象周边有光耀东方广场、西单商场（万方店）、北京长安商场等项目，商业繁华程度较好。</v>
      </c>
      <c r="D16" s="2680"/>
      <c r="E16" s="2663"/>
      <c r="F16" s="2716" t="s">
        <v>2999</v>
      </c>
      <c r="G16" s="2717" t="str">
        <f>G4</f>
        <v>估价对象周边道路状况、公共交通通达情况、停车便捷程度，综合评价交通便捷度较好</v>
      </c>
    </row>
    <row r="17" spans="1:18" ht="38.25">
      <c r="A17" s="2662"/>
      <c r="B17" s="2714" t="s">
        <v>3001</v>
      </c>
      <c r="C17" s="2715" t="str">
        <f>C5</f>
        <v>估价对象位于XX商圈，周边办公楼项目较多，入驻率高，办公集聚程度较好</v>
      </c>
      <c r="D17" s="2686"/>
      <c r="E17" s="2663"/>
      <c r="F17" s="2716" t="s">
        <v>3017</v>
      </c>
      <c r="G17" s="2718"/>
    </row>
    <row r="18" spans="1:18" ht="63.75">
      <c r="A18" s="2662"/>
      <c r="B18" s="2716" t="s">
        <v>3005</v>
      </c>
      <c r="C18" s="2717" t="str">
        <f>C6</f>
        <v>距地铁1、9号线军事博物馆站约400米，距地铁1号线木樨地约900米；周边有1路、21路、65路、85路、78路等多条公交线路经过，交通便捷度好。</v>
      </c>
      <c r="D18" s="2686"/>
      <c r="E18" s="2663"/>
      <c r="F18" s="2716" t="s">
        <v>3008</v>
      </c>
      <c r="G18" s="2717" t="str">
        <f>G7</f>
        <v>该园区内是否有污染型企业，绿化情况，卫生条件，整体环境状况判断</v>
      </c>
    </row>
    <row r="19" spans="1:18" ht="25.5">
      <c r="A19" s="2662"/>
      <c r="B19" s="2716" t="s">
        <v>3018</v>
      </c>
      <c r="C19" s="2718"/>
      <c r="D19" s="2680"/>
      <c r="E19" s="2663"/>
      <c r="F19" s="329" t="s">
        <v>3003</v>
      </c>
      <c r="G19" s="2717" t="str">
        <f>G5</f>
        <v>估价对象所在区域公共配套设施齐备情况</v>
      </c>
    </row>
    <row r="20" spans="1:18" ht="63.75">
      <c r="A20" s="2662"/>
      <c r="B20" s="2716" t="s">
        <v>3019</v>
      </c>
      <c r="C20" s="2715" t="str">
        <f>C9</f>
        <v>自然环境：紫竹院公园、玉渊潭公园、玲珑公园等自然景观；
人文环境：中国人民军事博物馆等人文场所；
综合评价环境状况好。</v>
      </c>
      <c r="D20" s="2686"/>
      <c r="E20" s="2663"/>
      <c r="F20" s="329" t="s">
        <v>3006</v>
      </c>
      <c r="G20" s="2717" t="str">
        <f>G6</f>
        <v>估价对象所在区域基础设施水平</v>
      </c>
    </row>
    <row r="21" spans="1:18" ht="178.5">
      <c r="A21" s="2662"/>
      <c r="B21" s="329" t="s">
        <v>3003</v>
      </c>
      <c r="C21" s="271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80"/>
      <c r="E21" s="2663"/>
      <c r="F21" s="2716" t="s">
        <v>3020</v>
      </c>
      <c r="G21" s="2719"/>
    </row>
    <row r="22" spans="1:18" ht="13.5" customHeight="1">
      <c r="A22" s="2662"/>
      <c r="B22" s="329" t="s">
        <v>3006</v>
      </c>
      <c r="C22" s="2717" t="str">
        <f>C8</f>
        <v>估价对象所在区域基础设施水平-七通</v>
      </c>
      <c r="D22" s="2680"/>
      <c r="E22" s="2663"/>
      <c r="F22" s="2716" t="s">
        <v>3011</v>
      </c>
      <c r="G22" s="2718"/>
    </row>
    <row r="23" spans="1:18" s="907" customFormat="1" ht="15" thickBot="1">
      <c r="A23" s="2662"/>
      <c r="B23" s="2716" t="s">
        <v>3020</v>
      </c>
      <c r="C23" s="2719"/>
      <c r="D23" s="1926"/>
      <c r="E23" s="2664"/>
      <c r="F23" s="2720" t="s">
        <v>3021</v>
      </c>
      <c r="G23" s="2721"/>
      <c r="H23" s="2705"/>
      <c r="I23" s="2706"/>
      <c r="J23" s="2705"/>
      <c r="K23" s="2705"/>
      <c r="L23" s="2706"/>
      <c r="M23" s="2705"/>
      <c r="N23" s="2705"/>
      <c r="O23" s="2706"/>
      <c r="P23" s="2705"/>
      <c r="Q23" s="2705"/>
      <c r="R23" s="2707"/>
    </row>
    <row r="24" spans="1:18" s="907" customFormat="1" ht="26.25" thickBot="1">
      <c r="A24" s="2665"/>
      <c r="B24" s="2720" t="s">
        <v>3022</v>
      </c>
      <c r="C24" s="2722" t="str">
        <f>C10</f>
        <v>估价对象临近城市次干道——北蜂窝路</v>
      </c>
      <c r="D24" s="1926"/>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topLeftCell="A6" zoomScale="80" zoomScaleNormal="80" zoomScaleSheetLayoutView="80" workbookViewId="0">
      <selection activeCell="F32" sqref="F32"/>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278.87</v>
      </c>
      <c r="C1" s="2903"/>
      <c r="D1" s="2903"/>
      <c r="E1" s="2903"/>
      <c r="F1" s="2903"/>
      <c r="G1" s="2904"/>
      <c r="H1" s="2905"/>
      <c r="I1" s="2905"/>
      <c r="J1" s="2905"/>
      <c r="K1" s="2905"/>
    </row>
    <row r="2" spans="1:11" ht="16.5">
      <c r="A2" s="2726" t="s">
        <v>1318</v>
      </c>
      <c r="B2" s="2726">
        <f>SUM(C14:C23)</f>
        <v>0</v>
      </c>
      <c r="C2" s="2903"/>
      <c r="D2" s="2903"/>
      <c r="E2" s="2903"/>
      <c r="F2" s="2903"/>
      <c r="G2" s="2904"/>
      <c r="H2" s="2905"/>
      <c r="I2" s="2905"/>
      <c r="J2" s="2905"/>
      <c r="K2" s="2905"/>
    </row>
    <row r="3" spans="1:11" ht="16.5">
      <c r="A3" s="2726" t="s">
        <v>1327</v>
      </c>
      <c r="B3" s="2728">
        <f>项目基本情况!D3</f>
        <v>44775</v>
      </c>
      <c r="C3" s="2903"/>
      <c r="D3" s="2903"/>
      <c r="E3" s="2903"/>
      <c r="F3" s="2903"/>
      <c r="G3" s="2904"/>
      <c r="H3" s="2905"/>
      <c r="I3" s="2905"/>
      <c r="J3" s="2905"/>
      <c r="K3" s="2905"/>
    </row>
    <row r="4" spans="1:11" ht="33">
      <c r="A4" s="2726" t="s">
        <v>1326</v>
      </c>
      <c r="B4" s="2726" t="s">
        <v>1325</v>
      </c>
      <c r="C4" s="2726" t="s">
        <v>1324</v>
      </c>
      <c r="D4" s="2726" t="s">
        <v>1323</v>
      </c>
      <c r="E4" s="2903"/>
      <c r="F4" s="2904"/>
      <c r="G4" s="2904"/>
      <c r="H4" s="2905"/>
      <c r="I4" s="2905"/>
      <c r="J4" s="2905"/>
      <c r="K4" s="2905"/>
    </row>
    <row r="5" spans="1:11" ht="16.5">
      <c r="A5" s="2726" t="s">
        <v>1322</v>
      </c>
      <c r="B5" s="2726">
        <f ca="1">SUM(D14:D23)</f>
        <v>789</v>
      </c>
      <c r="C5" s="2726">
        <f ca="1">ROUND(B5*10000/$B$1,0)</f>
        <v>28293</v>
      </c>
      <c r="D5" s="2726" t="e">
        <f ca="1">ROUND(B5*10000/$B$2,0)</f>
        <v>#DIV/0!</v>
      </c>
      <c r="E5" s="2903"/>
      <c r="F5" s="2904"/>
      <c r="G5" s="2904"/>
      <c r="H5" s="2905"/>
      <c r="I5" s="2905"/>
      <c r="J5" s="2905"/>
      <c r="K5" s="2905"/>
    </row>
    <row r="6" spans="1:11" ht="16.5">
      <c r="A6" s="2726" t="s">
        <v>1321</v>
      </c>
      <c r="B6" s="2726">
        <f ca="1">SUM(G14:G23)</f>
        <v>789</v>
      </c>
      <c r="C6" s="2726">
        <f ca="1">ROUND(B6*10000/$B$1,0)</f>
        <v>28293</v>
      </c>
      <c r="D6" s="2726" t="e">
        <f ca="1">ROUND(B6*10000/$B$2,0)</f>
        <v>#DIV/0!</v>
      </c>
      <c r="E6" s="2903"/>
      <c r="F6" s="2904"/>
      <c r="G6" s="2904"/>
      <c r="H6" s="2905"/>
      <c r="I6" s="2905"/>
      <c r="J6" s="2905"/>
      <c r="K6" s="2905"/>
    </row>
    <row r="7" spans="1:11" ht="16.5">
      <c r="A7" s="2726" t="s">
        <v>1329</v>
      </c>
      <c r="B7" s="2726">
        <f>SUM(H14:H23)</f>
        <v>0</v>
      </c>
      <c r="C7" s="2726">
        <f>ROUND(B7*10000/$B$1,0)</f>
        <v>0</v>
      </c>
      <c r="D7" s="2726" t="e">
        <f>ROUND(B7*10000/$B$2,0)</f>
        <v>#DIV/0!</v>
      </c>
      <c r="E7" s="2903"/>
      <c r="F7" s="2904"/>
      <c r="G7" s="2904"/>
      <c r="H7" s="2905"/>
      <c r="I7" s="2905"/>
      <c r="J7" s="2905"/>
      <c r="K7" s="2905"/>
    </row>
    <row r="8" spans="1:11" ht="16.5">
      <c r="A8" s="2726" t="s">
        <v>1252</v>
      </c>
      <c r="B8" s="2726">
        <f>SUM(I14:I23)</f>
        <v>0</v>
      </c>
      <c r="C8" s="2726">
        <f>ROUND(B8*10000/$B$1,0)</f>
        <v>0</v>
      </c>
      <c r="D8" s="2726" t="e">
        <f>ROUND(B8*10000/$B$2,0)</f>
        <v>#DIV/0!</v>
      </c>
      <c r="E8" s="2903"/>
      <c r="F8" s="2904"/>
      <c r="G8" s="2904"/>
      <c r="H8" s="2905"/>
      <c r="I8" s="2905"/>
      <c r="J8" s="2905"/>
      <c r="K8" s="2905"/>
    </row>
    <row r="9" spans="1:11" ht="16.5">
      <c r="A9" s="2726" t="s">
        <v>1320</v>
      </c>
      <c r="B9" s="2734"/>
      <c r="C9" s="2903"/>
      <c r="D9" s="2903"/>
      <c r="E9" s="2903"/>
      <c r="F9" s="2904"/>
      <c r="G9" s="2904"/>
      <c r="H9" s="2905"/>
      <c r="I9" s="2905"/>
      <c r="J9" s="2905"/>
      <c r="K9" s="2905"/>
    </row>
    <row r="10" spans="1:11" ht="16.5">
      <c r="A10" s="2726" t="s">
        <v>1319</v>
      </c>
      <c r="B10" s="2734">
        <f ca="1">D14</f>
        <v>789</v>
      </c>
      <c r="C10" s="2903"/>
      <c r="D10" s="2903"/>
      <c r="E10" s="2903"/>
      <c r="F10" s="2904"/>
      <c r="G10" s="2904"/>
      <c r="H10" s="2905"/>
      <c r="I10" s="2905"/>
      <c r="J10" s="2905"/>
      <c r="K10" s="2905"/>
    </row>
    <row r="11" spans="1:11" ht="16.5">
      <c r="A11" s="2726" t="s">
        <v>1335</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1334</v>
      </c>
      <c r="B13" s="2730" t="s">
        <v>1331</v>
      </c>
      <c r="C13" s="2730" t="s">
        <v>1333</v>
      </c>
      <c r="D13" s="2730" t="s">
        <v>1332</v>
      </c>
      <c r="E13" s="2726" t="s">
        <v>1324</v>
      </c>
      <c r="F13" s="2726" t="s">
        <v>1323</v>
      </c>
      <c r="G13" s="2730" t="s">
        <v>1317</v>
      </c>
      <c r="H13" s="2730" t="s">
        <v>1328</v>
      </c>
      <c r="I13" s="2730" t="s">
        <v>1316</v>
      </c>
      <c r="J13" s="2904"/>
      <c r="K13" s="2905"/>
    </row>
    <row r="14" spans="1:11" ht="16.5">
      <c r="A14" s="2731" t="s">
        <v>3268</v>
      </c>
      <c r="B14" s="2732">
        <f>'结果一览表-商业'!I3+'结果一览表-库房'!I3</f>
        <v>278.87</v>
      </c>
      <c r="C14" s="2732">
        <f>结果表!C118</f>
        <v>0</v>
      </c>
      <c r="D14" s="2732">
        <f ca="1">ROUND(('结果一览表-商业'!C3+'结果一览表-库房'!C3)/10000,0)</f>
        <v>789</v>
      </c>
      <c r="E14" s="2732">
        <f ca="1">ROUND(D14*10000/B14,0)</f>
        <v>28293</v>
      </c>
      <c r="F14" s="2732" t="e">
        <f ca="1">ROUND(D14*10000/C14,0)</f>
        <v>#DIV/0!</v>
      </c>
      <c r="G14" s="2732">
        <f ca="1">D14</f>
        <v>789</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424" t="str">
        <f>项目基本情况!S2</f>
        <v>北京市房地产</v>
      </c>
      <c r="B2" s="3425"/>
      <c r="C2" s="3425"/>
      <c r="D2" s="3425"/>
      <c r="E2" s="3425"/>
      <c r="F2" s="3425"/>
      <c r="G2" s="3425"/>
      <c r="H2" s="3425"/>
      <c r="I2" s="3426"/>
    </row>
    <row r="3" spans="1:12" ht="12.75">
      <c r="A3" s="3428" t="s">
        <v>1949</v>
      </c>
      <c r="B3" s="3429"/>
      <c r="C3" s="3429"/>
      <c r="D3" s="3429"/>
      <c r="E3" s="3429"/>
      <c r="F3" s="3429"/>
      <c r="G3" s="3429"/>
      <c r="H3" s="3429"/>
      <c r="I3" s="3429"/>
    </row>
    <row r="4" spans="1:12" ht="14.25">
      <c r="A4" s="1939" t="s">
        <v>1950</v>
      </c>
      <c r="B4" s="1940" t="s">
        <v>1951</v>
      </c>
      <c r="C4" s="1941"/>
      <c r="D4" s="1941"/>
      <c r="E4" s="3433" t="s">
        <v>1952</v>
      </c>
      <c r="F4" s="3434"/>
      <c r="G4" s="3434"/>
      <c r="H4" s="3434"/>
      <c r="I4" s="3435"/>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9" t="s">
        <v>1953</v>
      </c>
      <c r="B5" s="3427">
        <v>25</v>
      </c>
      <c r="C5" s="3430"/>
      <c r="D5" s="3418"/>
      <c r="E5" s="136" t="s">
        <v>1954</v>
      </c>
      <c r="F5" s="1942"/>
      <c r="G5" s="1942"/>
      <c r="H5" s="1942"/>
      <c r="I5" s="1557"/>
    </row>
    <row r="6" spans="1:12" ht="12.75">
      <c r="A6" s="3369"/>
      <c r="B6" s="3427"/>
      <c r="C6" s="3432"/>
      <c r="D6" s="3418"/>
      <c r="E6" s="136" t="s">
        <v>1955</v>
      </c>
      <c r="F6" s="1942"/>
      <c r="G6" s="1942"/>
      <c r="H6" s="1942"/>
      <c r="I6" s="1557"/>
    </row>
    <row r="7" spans="1:12" ht="12.75">
      <c r="A7" s="3369"/>
      <c r="B7" s="3427"/>
      <c r="C7" s="3431"/>
      <c r="D7" s="3418"/>
      <c r="E7" s="136" t="s">
        <v>1956</v>
      </c>
      <c r="F7" s="1942"/>
      <c r="G7" s="1942"/>
      <c r="H7" s="1942"/>
      <c r="I7" s="1557"/>
    </row>
    <row r="8" spans="1:12" ht="12.75">
      <c r="A8" s="3369" t="s">
        <v>1957</v>
      </c>
      <c r="B8" s="3427">
        <v>15</v>
      </c>
      <c r="C8" s="3430"/>
      <c r="D8" s="3418"/>
      <c r="E8" s="136" t="s">
        <v>1958</v>
      </c>
      <c r="F8" s="1942"/>
      <c r="G8" s="1942"/>
      <c r="H8" s="1942"/>
      <c r="I8" s="1557"/>
    </row>
    <row r="9" spans="1:12" ht="12.75">
      <c r="A9" s="3369"/>
      <c r="B9" s="3427"/>
      <c r="C9" s="3431"/>
      <c r="D9" s="3418"/>
      <c r="E9" s="136" t="s">
        <v>1959</v>
      </c>
      <c r="F9" s="1942"/>
      <c r="G9" s="1942"/>
      <c r="H9" s="1942"/>
      <c r="I9" s="1557"/>
    </row>
    <row r="10" spans="1:12" ht="12.75">
      <c r="A10" s="3369" t="s">
        <v>1960</v>
      </c>
      <c r="B10" s="3427">
        <v>15</v>
      </c>
      <c r="C10" s="3430"/>
      <c r="D10" s="3418"/>
      <c r="E10" s="136" t="s">
        <v>1961</v>
      </c>
      <c r="F10" s="1942"/>
      <c r="G10" s="1942"/>
      <c r="H10" s="1942"/>
      <c r="I10" s="1557"/>
    </row>
    <row r="11" spans="1:12" ht="12.75">
      <c r="A11" s="3369"/>
      <c r="B11" s="3427"/>
      <c r="C11" s="3431"/>
      <c r="D11" s="3418"/>
      <c r="E11" s="136" t="s">
        <v>1962</v>
      </c>
      <c r="F11" s="1942"/>
      <c r="G11" s="1942"/>
      <c r="H11" s="1942"/>
      <c r="I11" s="1557"/>
    </row>
    <row r="12" spans="1:12" ht="12.75">
      <c r="A12" s="3369" t="s">
        <v>1963</v>
      </c>
      <c r="B12" s="3427">
        <v>15</v>
      </c>
      <c r="C12" s="3430"/>
      <c r="D12" s="3418"/>
      <c r="E12" s="136" t="s">
        <v>1964</v>
      </c>
      <c r="F12" s="1942"/>
      <c r="G12" s="1942"/>
      <c r="H12" s="1942"/>
      <c r="I12" s="1557"/>
    </row>
    <row r="13" spans="1:12" ht="12.75">
      <c r="A13" s="3369"/>
      <c r="B13" s="3427"/>
      <c r="C13" s="3431"/>
      <c r="D13" s="3418"/>
      <c r="E13" s="136" t="s">
        <v>1965</v>
      </c>
      <c r="F13" s="1942"/>
      <c r="G13" s="1942"/>
      <c r="H13" s="1942"/>
      <c r="I13" s="1557"/>
    </row>
    <row r="14" spans="1:12" ht="12.75">
      <c r="A14" s="3369" t="s">
        <v>1966</v>
      </c>
      <c r="B14" s="3427">
        <v>30</v>
      </c>
      <c r="C14" s="3430"/>
      <c r="D14" s="3418"/>
      <c r="E14" s="136" t="s">
        <v>1967</v>
      </c>
      <c r="F14" s="1942"/>
      <c r="G14" s="1942"/>
      <c r="H14" s="1942"/>
      <c r="I14" s="1557"/>
    </row>
    <row r="15" spans="1:12" ht="12.75">
      <c r="A15" s="3369"/>
      <c r="B15" s="3427"/>
      <c r="C15" s="3432"/>
      <c r="D15" s="3418"/>
      <c r="E15" s="136" t="s">
        <v>1968</v>
      </c>
      <c r="F15" s="1942"/>
      <c r="G15" s="1942"/>
      <c r="H15" s="1942"/>
      <c r="I15" s="1557"/>
    </row>
    <row r="16" spans="1:12" ht="12.75">
      <c r="A16" s="3369"/>
      <c r="B16" s="3427"/>
      <c r="C16" s="3431"/>
      <c r="D16" s="3418"/>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449" t="s">
        <v>2871</v>
      </c>
      <c r="F18" s="3450"/>
      <c r="G18" s="3450"/>
      <c r="H18" s="3450"/>
      <c r="I18" s="3450"/>
      <c r="K18" s="308" t="s">
        <v>1974</v>
      </c>
      <c r="L18" s="308">
        <f>IF(C1="",'数据-汇总表'!E3,SUMIF(项目类型,C1,'数据-汇总表'!E17:E26)+SUMIF(项目类型,C1,'数据-汇总表'!I17:I26))</f>
        <v>373.76</v>
      </c>
      <c r="M18" s="308">
        <f>IF(C1="",'数据-汇总表'!E3,SUMIF(项目类型,C1,'数据-汇总表'!E17:E26))</f>
        <v>373.76</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442" t="s">
        <v>1984</v>
      </c>
      <c r="B24" s="1947" t="s">
        <v>1976</v>
      </c>
      <c r="C24" s="141">
        <f>IF(B30=0,0,D30)</f>
        <v>0</v>
      </c>
      <c r="D24" s="1954"/>
      <c r="E24" s="134"/>
      <c r="F24" s="134"/>
      <c r="G24" s="134"/>
      <c r="H24" s="134"/>
      <c r="I24" s="134"/>
    </row>
    <row r="25" spans="1:36" ht="14.25">
      <c r="A25" s="3443"/>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2872</v>
      </c>
      <c r="F30" s="134"/>
      <c r="G30" s="134"/>
      <c r="H30" s="134"/>
      <c r="I30" s="134"/>
    </row>
    <row r="31" spans="1:36" s="2517" customFormat="1" ht="26.45" customHeight="1" thickTop="1" thickBot="1">
      <c r="A31" s="2512"/>
      <c r="B31" s="2513"/>
      <c r="C31" s="2513"/>
      <c r="D31" s="2513"/>
      <c r="E31" s="2513"/>
      <c r="F31" s="2513"/>
      <c r="G31" s="2513"/>
      <c r="H31" s="2513"/>
      <c r="I31" s="2514" t="s">
        <v>2873</v>
      </c>
      <c r="J31" s="2906"/>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419" t="s">
        <v>1997</v>
      </c>
      <c r="B36" s="1972" t="s">
        <v>1998</v>
      </c>
      <c r="C36" s="150"/>
      <c r="D36" s="1973"/>
      <c r="E36" s="1974"/>
      <c r="F36" s="1975"/>
      <c r="G36" s="134"/>
      <c r="H36" s="134"/>
      <c r="I36" s="134"/>
    </row>
    <row r="37" spans="1:15" ht="15.75" thickBot="1">
      <c r="A37" s="3420"/>
      <c r="B37" s="1859" t="s">
        <v>1999</v>
      </c>
      <c r="C37" s="152"/>
      <c r="D37" s="1301"/>
      <c r="E37" s="1301"/>
      <c r="F37" s="1975"/>
      <c r="G37" s="134"/>
      <c r="H37" s="134"/>
      <c r="I37" s="134"/>
    </row>
    <row r="38" spans="1:15" ht="15.75" thickBot="1">
      <c r="A38" s="3421"/>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439" t="s">
        <v>2011</v>
      </c>
      <c r="B45" s="3440"/>
      <c r="C45" s="3441"/>
      <c r="D45" s="160" t="e">
        <f ca="1">ROUND(H101*F45,0)</f>
        <v>#REF!</v>
      </c>
      <c r="E45" s="161" t="s">
        <v>2012</v>
      </c>
      <c r="F45" s="162">
        <v>1</v>
      </c>
      <c r="G45" s="163" t="s">
        <v>2013</v>
      </c>
      <c r="H45" s="134"/>
      <c r="I45" s="134"/>
      <c r="J45" s="3356" t="s">
        <v>2014</v>
      </c>
      <c r="K45" s="3356"/>
      <c r="L45" s="3356"/>
      <c r="M45" s="3356"/>
      <c r="N45" s="3356"/>
      <c r="O45" s="3356"/>
    </row>
    <row r="46" spans="1:15" ht="14.25" customHeight="1">
      <c r="A46" s="3436" t="s">
        <v>2015</v>
      </c>
      <c r="B46" s="3437"/>
      <c r="C46" s="3437"/>
      <c r="D46" s="3437"/>
      <c r="E46" s="3437"/>
      <c r="F46" s="3437"/>
      <c r="G46" s="3438"/>
      <c r="H46" s="1991"/>
      <c r="I46" s="164"/>
      <c r="J46" s="2737">
        <v>1</v>
      </c>
      <c r="K46" s="3357" t="s">
        <v>2016</v>
      </c>
      <c r="L46" s="3357"/>
      <c r="M46" s="3358"/>
      <c r="N46" s="3358"/>
      <c r="O46" s="3358"/>
    </row>
    <row r="47" spans="1:15" ht="12" customHeight="1">
      <c r="A47" s="165" t="s">
        <v>2017</v>
      </c>
      <c r="B47" s="166"/>
      <c r="C47" s="167"/>
      <c r="D47" s="1247" t="s">
        <v>2018</v>
      </c>
      <c r="E47" s="308" t="s">
        <v>2019</v>
      </c>
      <c r="F47" s="168" t="s">
        <v>2020</v>
      </c>
      <c r="G47" s="2760" t="s">
        <v>2021</v>
      </c>
      <c r="H47" s="2761"/>
      <c r="I47" s="164"/>
      <c r="J47" s="2737">
        <v>2</v>
      </c>
      <c r="K47" s="3357" t="s">
        <v>2022</v>
      </c>
      <c r="L47" s="3357"/>
      <c r="M47" s="3359">
        <f>'数据-取费表'!B2</f>
        <v>44775</v>
      </c>
      <c r="N47" s="3359"/>
      <c r="O47" s="3359"/>
    </row>
    <row r="48" spans="1:15" ht="25.5">
      <c r="A48" s="3422" t="s">
        <v>2023</v>
      </c>
      <c r="B48" s="3423"/>
      <c r="C48" s="3423"/>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2024</v>
      </c>
      <c r="H48" s="2764"/>
      <c r="I48" s="1991"/>
      <c r="J48" s="2737">
        <v>3</v>
      </c>
      <c r="K48" s="3357" t="s">
        <v>2025</v>
      </c>
      <c r="L48" s="3357"/>
      <c r="M48" s="3360" t="e">
        <f ca="1">H101</f>
        <v>#REF!</v>
      </c>
      <c r="N48" s="3360"/>
      <c r="O48" s="3360"/>
    </row>
    <row r="49" spans="1:35" ht="25.5" customHeight="1">
      <c r="A49" s="2546" t="s">
        <v>2026</v>
      </c>
      <c r="B49" s="3405" t="s">
        <v>2027</v>
      </c>
      <c r="C49" s="3405"/>
      <c r="D49" s="1775">
        <v>0</v>
      </c>
      <c r="E49" s="330" t="s">
        <v>2028</v>
      </c>
      <c r="F49" s="2640" t="s">
        <v>34</v>
      </c>
      <c r="G49" s="3388"/>
      <c r="H49" s="2518" t="s">
        <v>2874</v>
      </c>
      <c r="I49" s="2519"/>
      <c r="J49" s="2737">
        <v>4</v>
      </c>
      <c r="K49" s="3357" t="str">
        <f>IF(项目基本情况!E8="房地产抵押价值","房地产抵押价值","抵押担保权已注销时的房地产抵押价值")</f>
        <v>抵押担保权已注销时的房地产抵押价值</v>
      </c>
      <c r="L49" s="3357"/>
      <c r="M49" s="3360" t="str">
        <f>IF(项目基本情况!E8="房地产抵押价值",H107,H109)</f>
        <v>——</v>
      </c>
      <c r="N49" s="3360"/>
      <c r="O49" s="3360"/>
    </row>
    <row r="50" spans="1:35" ht="25.5" customHeight="1">
      <c r="A50" s="2765"/>
      <c r="B50" s="3405" t="s">
        <v>2029</v>
      </c>
      <c r="C50" s="3405"/>
      <c r="D50" s="2766"/>
      <c r="E50" s="338"/>
      <c r="F50" s="2640"/>
      <c r="G50" s="3389"/>
      <c r="H50" s="2520" t="s">
        <v>2875</v>
      </c>
      <c r="I50" s="2519"/>
      <c r="J50" s="3356" t="s">
        <v>2030</v>
      </c>
      <c r="K50" s="3356"/>
      <c r="L50" s="3356"/>
      <c r="M50" s="3356"/>
      <c r="N50" s="3356"/>
      <c r="O50" s="3356"/>
    </row>
    <row r="51" spans="1:35" ht="20.45" customHeight="1">
      <c r="A51" s="2767"/>
      <c r="B51" s="3405" t="s">
        <v>2031</v>
      </c>
      <c r="C51" s="3405"/>
      <c r="D51" s="1247"/>
      <c r="E51" s="333"/>
      <c r="F51" s="2640"/>
      <c r="G51" s="3390"/>
      <c r="H51" s="2520" t="s">
        <v>2876</v>
      </c>
      <c r="I51" s="2519"/>
      <c r="J51" s="2738" t="s">
        <v>2032</v>
      </c>
      <c r="K51" s="3357" t="s">
        <v>2033</v>
      </c>
      <c r="L51" s="3357"/>
      <c r="M51" s="2738" t="s">
        <v>2034</v>
      </c>
      <c r="N51" s="2738" t="s">
        <v>2035</v>
      </c>
      <c r="O51" s="2738" t="s">
        <v>2036</v>
      </c>
    </row>
    <row r="52" spans="1:35" ht="24" customHeight="1">
      <c r="A52" s="2548" t="s">
        <v>2037</v>
      </c>
      <c r="B52" s="3405" t="s">
        <v>2038</v>
      </c>
      <c r="C52" s="3405"/>
      <c r="D52" s="1247" t="e">
        <f ca="1">ROUND(D45*'数据-取费表'!B41/(1+'数据-取费表'!C42),0)</f>
        <v>#REF!</v>
      </c>
      <c r="E52" s="2547" t="s">
        <v>2039</v>
      </c>
      <c r="F52" s="2768">
        <f>'数据-取费表'!B41</f>
        <v>5.6000000000000001E-2</v>
      </c>
      <c r="G52" s="2769"/>
      <c r="H52" s="2758"/>
      <c r="I52" s="1992"/>
      <c r="J52" s="2737">
        <v>1</v>
      </c>
      <c r="K52" s="3382" t="s">
        <v>2040</v>
      </c>
      <c r="L52" s="3382"/>
      <c r="M52" s="2739" t="b">
        <f>D48</f>
        <v>0</v>
      </c>
      <c r="N52" s="2737" t="str">
        <f>E48</f>
        <v>销售额×税（费）率</v>
      </c>
      <c r="O52" s="2740">
        <f>F48</f>
        <v>5.6000000000000001E-2</v>
      </c>
    </row>
    <row r="53" spans="1:35" ht="12" customHeight="1">
      <c r="A53" s="2548" t="s">
        <v>2041</v>
      </c>
      <c r="B53" s="3406" t="s">
        <v>3032</v>
      </c>
      <c r="C53" s="3407"/>
      <c r="D53" s="1247" t="e">
        <f ca="1">ROUND(D45*'数据-取费表'!B41/(1+'数据-取费表'!C42),0)</f>
        <v>#REF!</v>
      </c>
      <c r="E53" s="2547" t="s">
        <v>2039</v>
      </c>
      <c r="F53" s="2768">
        <f>'数据-取费表'!B41</f>
        <v>5.6000000000000001E-2</v>
      </c>
      <c r="G53" s="2769"/>
      <c r="H53" s="2758"/>
      <c r="I53" s="1992"/>
      <c r="J53" s="2737">
        <v>2</v>
      </c>
      <c r="K53" s="3382" t="s">
        <v>2042</v>
      </c>
      <c r="L53" s="3382"/>
      <c r="M53" s="2739" t="e">
        <f t="shared" ref="M53:O54" ca="1" si="0">D55</f>
        <v>#REF!</v>
      </c>
      <c r="N53" s="2737" t="str">
        <f t="shared" si="0"/>
        <v>销售额×税（费）率</v>
      </c>
      <c r="O53" s="2740" t="str">
        <f t="shared" si="0"/>
        <v>免征</v>
      </c>
    </row>
    <row r="54" spans="1:35" ht="12" customHeight="1">
      <c r="A54" s="2548" t="s">
        <v>2043</v>
      </c>
      <c r="B54" s="3406" t="s">
        <v>3033</v>
      </c>
      <c r="C54" s="3407"/>
      <c r="D54" s="1247" t="e">
        <f ca="1">C68</f>
        <v>#REF!</v>
      </c>
      <c r="E54" s="333" t="s">
        <v>2044</v>
      </c>
      <c r="F54" s="2768">
        <f>'数据-取费表'!B41</f>
        <v>5.6000000000000001E-2</v>
      </c>
      <c r="G54" s="2769"/>
      <c r="H54" s="2770"/>
      <c r="I54" s="1992"/>
      <c r="J54" s="2737">
        <v>3</v>
      </c>
      <c r="K54" s="3382" t="s">
        <v>2045</v>
      </c>
      <c r="L54" s="3382"/>
      <c r="M54" s="2739" t="e">
        <f t="shared" ca="1" si="0"/>
        <v>#REF!</v>
      </c>
      <c r="N54" s="2737" t="str">
        <f t="shared" si="0"/>
        <v>增值额×税（费）率</v>
      </c>
      <c r="O54" s="2741" t="str">
        <f t="shared" si="0"/>
        <v>免征</v>
      </c>
    </row>
    <row r="55" spans="1:35" ht="24" customHeight="1">
      <c r="A55" s="3445" t="s">
        <v>2046</v>
      </c>
      <c r="B55" s="3423"/>
      <c r="C55" s="3423"/>
      <c r="D55" s="2537" t="e">
        <f ca="1">IF(H55="个人住宅",0,ROUND(D45*I55,0))</f>
        <v>#REF!</v>
      </c>
      <c r="E55" s="2547" t="s">
        <v>2047</v>
      </c>
      <c r="F55" s="2768" t="str">
        <f>IF(H55="正常",I55,"免征")</f>
        <v>免征</v>
      </c>
      <c r="G55" s="2769"/>
      <c r="H55" s="2764"/>
      <c r="I55" s="170">
        <f>'数据-取费表'!B49</f>
        <v>5.0000000000000001E-4</v>
      </c>
      <c r="J55" s="2737">
        <f>IF(H59="非个人房产","",4)</f>
        <v>4</v>
      </c>
      <c r="K55" s="3382" t="str">
        <f>IF(H59="非个人房产","——","个人所得税")</f>
        <v>个人所得税</v>
      </c>
      <c r="L55" s="3382"/>
      <c r="M55" s="2742" t="e">
        <f ca="1">D59</f>
        <v>#REF!</v>
      </c>
      <c r="N55" s="2227" t="str">
        <f>E59</f>
        <v>差额计税</v>
      </c>
      <c r="O55" s="2743">
        <f>F59</f>
        <v>0.01</v>
      </c>
    </row>
    <row r="56" spans="1:35" ht="24.75">
      <c r="A56" s="3445" t="s">
        <v>2048</v>
      </c>
      <c r="B56" s="3423"/>
      <c r="C56" s="3423"/>
      <c r="D56" s="2537" t="e">
        <f ca="1">IF(H56="个人住宅",D57,D58)</f>
        <v>#REF!</v>
      </c>
      <c r="E56" s="2547" t="s">
        <v>2049</v>
      </c>
      <c r="F56" s="2768" t="str">
        <f>IF(H56="正常",F58,"免征")</f>
        <v>免征</v>
      </c>
      <c r="G56" s="2771" t="s">
        <v>2050</v>
      </c>
      <c r="H56" s="2772"/>
      <c r="I56" s="1993"/>
      <c r="J56" s="2737" t="str">
        <f>IF(项目基本情况!K6="上海银行",IF(J55="",4,J55+1),"")</f>
        <v/>
      </c>
      <c r="K56" s="3363" t="str">
        <f>IF(项目基本情况!K6="上海银行","其他处置费用","")</f>
        <v/>
      </c>
      <c r="L56" s="3364"/>
      <c r="M56" s="2739" t="str">
        <f>IF(项目基本情况!K6="上海银行",M69,"")</f>
        <v/>
      </c>
      <c r="N56" s="3363" t="str">
        <f>IF(项目基本情况!K6="上海银行","包含处置中涉及的律师、诉讼、拍卖、评估等费用","")</f>
        <v/>
      </c>
      <c r="O56" s="3366"/>
    </row>
    <row r="57" spans="1:35" ht="12.75">
      <c r="A57" s="2548" t="s">
        <v>2026</v>
      </c>
      <c r="B57" s="3406" t="s">
        <v>2051</v>
      </c>
      <c r="C57" s="3407"/>
      <c r="D57" s="1775">
        <v>0</v>
      </c>
      <c r="E57" s="330" t="s">
        <v>2028</v>
      </c>
      <c r="F57" s="308"/>
      <c r="G57" s="2769"/>
      <c r="H57" s="2773"/>
      <c r="I57" s="1993"/>
      <c r="J57" s="3382">
        <f>IF(AND(J55="",J56=""),4,IF(项目基本情况!K6="上海银行",结果表!J56+1,结果表!J55+1))</f>
        <v>5</v>
      </c>
      <c r="K57" s="3382" t="s">
        <v>2052</v>
      </c>
      <c r="L57" s="2744" t="s">
        <v>2053</v>
      </c>
      <c r="M57" s="2745"/>
      <c r="N57" s="2746">
        <f ca="1">SUMIF(M52:M56,"&lt;9e307")</f>
        <v>0</v>
      </c>
      <c r="O57" s="2747"/>
      <c r="P57" s="2907" t="e">
        <f ca="1">N57/M49</f>
        <v>#VALUE!</v>
      </c>
    </row>
    <row r="58" spans="1:35" ht="24.75">
      <c r="A58" s="2548" t="s">
        <v>2037</v>
      </c>
      <c r="B58" s="3406" t="s">
        <v>2054</v>
      </c>
      <c r="C58" s="3405"/>
      <c r="D58" s="2537" t="e">
        <f ca="1">IF(H58="转让取得",C81,C97)</f>
        <v>#REF!</v>
      </c>
      <c r="E58" s="2547" t="s">
        <v>2049</v>
      </c>
      <c r="F58" s="308" t="s">
        <v>34</v>
      </c>
      <c r="G58" s="2769"/>
      <c r="H58" s="2772"/>
      <c r="I58" s="1993"/>
      <c r="J58" s="3382"/>
      <c r="K58" s="3382"/>
      <c r="L58" s="2744" t="s">
        <v>2055</v>
      </c>
      <c r="M58" s="2748"/>
      <c r="N58" s="2749" t="str">
        <f ca="1">NUMBERSTRING(INT(N57*10000),2)&amp;"元整"</f>
        <v>零元整</v>
      </c>
      <c r="O58" s="2750"/>
    </row>
    <row r="59" spans="1:35" ht="24.75" thickBot="1">
      <c r="A59" s="3386" t="s">
        <v>2056</v>
      </c>
      <c r="B59" s="3387"/>
      <c r="C59" s="3387"/>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2"/>
      <c r="I59" s="2521" t="s">
        <v>2877</v>
      </c>
      <c r="J59" s="3384">
        <f>J57+1</f>
        <v>6</v>
      </c>
      <c r="K59" s="3382" t="s">
        <v>2057</v>
      </c>
      <c r="L59" s="2737" t="s">
        <v>2053</v>
      </c>
      <c r="M59" s="2751"/>
      <c r="N59" s="2752" t="e">
        <f ca="1">M49-N57</f>
        <v>#VALUE!</v>
      </c>
      <c r="O59" s="2753"/>
    </row>
    <row r="60" spans="1:35" ht="12" customHeight="1">
      <c r="A60" s="1994"/>
      <c r="B60" s="1932"/>
      <c r="C60" s="1932"/>
      <c r="D60" s="1932"/>
      <c r="E60" s="1763"/>
      <c r="F60" s="1993"/>
      <c r="G60" s="1993"/>
      <c r="H60" s="1995"/>
      <c r="I60" s="134"/>
      <c r="J60" s="3385"/>
      <c r="K60" s="3382"/>
      <c r="L60" s="2744" t="s">
        <v>2055</v>
      </c>
      <c r="M60" s="2748"/>
      <c r="N60" s="2749" t="e">
        <f ca="1">NUMBERSTRING(INT(N59*10000),2)&amp;"元整"</f>
        <v>#VALUE!</v>
      </c>
      <c r="O60" s="2750"/>
    </row>
    <row r="61" spans="1:35" ht="13.5" thickBot="1">
      <c r="A61" s="3444" t="s">
        <v>2058</v>
      </c>
      <c r="B61" s="3444"/>
      <c r="C61" s="3444"/>
      <c r="D61" s="3444"/>
      <c r="E61" s="3444"/>
      <c r="F61" s="1993"/>
      <c r="G61" s="1993"/>
      <c r="H61" s="1995"/>
      <c r="I61" s="134"/>
      <c r="J61" s="2737">
        <f>J59+1</f>
        <v>7</v>
      </c>
      <c r="K61" s="3382" t="s">
        <v>2059</v>
      </c>
      <c r="L61" s="3382"/>
      <c r="M61" s="2754"/>
      <c r="N61" s="2755" t="e">
        <f ca="1">ROUND(N59*10000/'数据-汇总表'!E3,0)</f>
        <v>#VALUE!</v>
      </c>
      <c r="O61" s="2756"/>
    </row>
    <row r="62" spans="1:35" ht="12.75">
      <c r="A62" s="3401" t="s">
        <v>2060</v>
      </c>
      <c r="B62" s="3402"/>
      <c r="C62" s="2208"/>
      <c r="D62" s="2208" t="s">
        <v>2061</v>
      </c>
      <c r="E62" s="171" t="s">
        <v>2062</v>
      </c>
      <c r="F62" s="1993"/>
      <c r="G62" s="1993"/>
      <c r="H62" s="1995"/>
      <c r="I62" s="134"/>
    </row>
    <row r="63" spans="1:35" ht="12.75">
      <c r="A63" s="178" t="s">
        <v>775</v>
      </c>
      <c r="B63" s="172" t="s">
        <v>2063</v>
      </c>
      <c r="C63" s="2778" t="e">
        <f ca="1">ROUND((C64+C65)/(1+'数据-取费表'!C42),0)</f>
        <v>#REF!</v>
      </c>
      <c r="D63" s="172"/>
      <c r="E63" s="173"/>
      <c r="F63" s="1993"/>
      <c r="G63" s="1993"/>
      <c r="H63" s="1995"/>
      <c r="I63" s="134"/>
      <c r="J63" s="3365" t="s">
        <v>2064</v>
      </c>
      <c r="K63" s="1501" t="s">
        <v>2065</v>
      </c>
      <c r="L63" s="1501" t="e">
        <f>IF(M49&gt;10000,M49*0.5%,IF(AND(M49&gt;1000,M49&lt;=10000),M49*1%,IF(AND(M49&gt;100,M49&lt;=1000),M49*3%,IF(AND(M49&gt;10,M49&lt;=100),M49*5%,M49*8%))))</f>
        <v>#VALUE!</v>
      </c>
      <c r="M63" s="308" t="e">
        <f>ROUND(L63,1)</f>
        <v>#VALUE!</v>
      </c>
      <c r="N63" s="2757"/>
      <c r="Z63" s="1937"/>
      <c r="AI63" s="1938"/>
    </row>
    <row r="64" spans="1:35" ht="14.25" customHeight="1">
      <c r="A64" s="174" t="s">
        <v>770</v>
      </c>
      <c r="B64" s="175" t="s">
        <v>2066</v>
      </c>
      <c r="C64" s="2779" t="e">
        <f ca="1">D45</f>
        <v>#REF!</v>
      </c>
      <c r="D64" s="175" t="s">
        <v>32</v>
      </c>
      <c r="E64" s="177"/>
      <c r="F64" s="1993"/>
      <c r="G64" s="1993"/>
      <c r="H64" s="1995"/>
      <c r="I64" s="134"/>
      <c r="J64" s="3365"/>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8" t="s">
        <v>2068</v>
      </c>
      <c r="Z64" s="1937"/>
      <c r="AI64" s="1938"/>
    </row>
    <row r="65" spans="1:35" ht="14.25" customHeight="1">
      <c r="A65" s="174" t="s">
        <v>771</v>
      </c>
      <c r="B65" s="175" t="s">
        <v>2069</v>
      </c>
      <c r="C65" s="2780"/>
      <c r="D65" s="175"/>
      <c r="E65" s="177"/>
      <c r="F65" s="1993"/>
      <c r="G65" s="1993"/>
      <c r="H65" s="1995"/>
      <c r="I65" s="134"/>
      <c r="J65" s="3365"/>
      <c r="K65" s="1501" t="s">
        <v>2070</v>
      </c>
      <c r="L65" s="1501" t="e">
        <f>IF(M49&gt;1000,M49*0.1%,IF(AND(M49&gt;500,M49&lt;=1000),M49*0.5%,IF(AND(M49&gt;50,M49&lt;=500),M49*1%,IF(AND(M49&gt;1,M49&lt;=50),M49*1.5%))))</f>
        <v>#VALUE!</v>
      </c>
      <c r="M65" s="308" t="e">
        <f t="shared" si="1"/>
        <v>#VALUE!</v>
      </c>
      <c r="N65" s="2758" t="s">
        <v>2068</v>
      </c>
      <c r="Z65" s="1937"/>
      <c r="AI65" s="1938"/>
    </row>
    <row r="66" spans="1:35" ht="14.25" customHeight="1">
      <c r="A66" s="178" t="s">
        <v>772</v>
      </c>
      <c r="B66" s="179" t="s">
        <v>2071</v>
      </c>
      <c r="C66" s="2781"/>
      <c r="D66" s="179" t="s">
        <v>32</v>
      </c>
      <c r="E66" s="1509" t="s">
        <v>1336</v>
      </c>
      <c r="F66" s="1993"/>
      <c r="G66" s="1993"/>
      <c r="H66" s="1995"/>
      <c r="I66" s="134"/>
      <c r="J66" s="3365"/>
      <c r="K66" s="1501" t="s">
        <v>2072</v>
      </c>
      <c r="L66" s="1501" t="e">
        <f>M49*0.5%</f>
        <v>#VALUE!</v>
      </c>
      <c r="M66" s="308" t="e">
        <f>IF(L66&gt;0.5,0.5,ROUND(L66,0))</f>
        <v>#VALUE!</v>
      </c>
      <c r="N66" s="2758" t="s">
        <v>2073</v>
      </c>
      <c r="Z66" s="1937"/>
      <c r="AI66" s="1938"/>
    </row>
    <row r="67" spans="1:35" ht="14.25" customHeight="1">
      <c r="A67" s="178" t="s">
        <v>773</v>
      </c>
      <c r="B67" s="179" t="s">
        <v>2074</v>
      </c>
      <c r="C67" s="2782" t="e">
        <f ca="1">C63-C66</f>
        <v>#REF!</v>
      </c>
      <c r="D67" s="175" t="s">
        <v>32</v>
      </c>
      <c r="E67" s="177"/>
      <c r="F67" s="1993"/>
      <c r="G67" s="1993"/>
      <c r="H67" s="1995"/>
      <c r="I67" s="134"/>
      <c r="J67" s="3365"/>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7"/>
      <c r="Z67" s="1937"/>
      <c r="AI67" s="1938"/>
    </row>
    <row r="68" spans="1:35" ht="14.25" customHeight="1" thickBot="1">
      <c r="A68" s="181" t="s">
        <v>774</v>
      </c>
      <c r="B68" s="182" t="s">
        <v>2076</v>
      </c>
      <c r="C68" s="2783" t="e">
        <f ca="1">IF(C67&lt;=0,0,ROUND(C67*D68,0))</f>
        <v>#REF!</v>
      </c>
      <c r="D68" s="2784">
        <f>'数据-取费表'!B41</f>
        <v>5.6000000000000001E-2</v>
      </c>
      <c r="E68" s="184"/>
      <c r="F68" s="1993"/>
      <c r="G68" s="1993"/>
      <c r="H68" s="1995"/>
      <c r="I68" s="134"/>
      <c r="J68" s="3365"/>
      <c r="K68" s="1501" t="s">
        <v>2077</v>
      </c>
      <c r="L68" s="1501" t="e">
        <f>IF(M49&gt;10000,M49*0.5%,IF(AND(M49&gt;5000,M49&lt;=10000),M49*1%,IF(AND(M49&gt;1000,M49&lt;=5000),M49*2%,IF(AND(M49&gt;200,M49&lt;=1000),M49*3%,M49*5%))))</f>
        <v>#VALUE!</v>
      </c>
      <c r="M68" s="308" t="e">
        <f>ROUND(L68,1)</f>
        <v>#VALUE!</v>
      </c>
      <c r="N68" s="2757"/>
      <c r="Z68" s="1937"/>
      <c r="AI68" s="1938"/>
    </row>
    <row r="69" spans="1:35" s="1957" customFormat="1" ht="16.5" customHeight="1">
      <c r="A69" s="1996"/>
      <c r="B69" s="1997"/>
      <c r="C69" s="1998"/>
      <c r="D69" s="1999"/>
      <c r="E69" s="2000"/>
      <c r="F69" s="1763"/>
      <c r="G69" s="1763"/>
      <c r="H69" s="1762"/>
      <c r="I69" s="1932"/>
      <c r="J69" s="3365"/>
      <c r="K69" s="1501" t="s">
        <v>2078</v>
      </c>
      <c r="L69" s="1501"/>
      <c r="M69" s="308" t="e">
        <f>ROUND(SUM(M63:M68),0)</f>
        <v>#VALUE!</v>
      </c>
      <c r="N69" s="2759"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409" t="s">
        <v>2079</v>
      </c>
      <c r="B70" s="3410"/>
      <c r="C70" s="3410"/>
      <c r="D70" s="3410"/>
      <c r="E70" s="3410"/>
      <c r="F70" s="3410"/>
      <c r="G70" s="3410"/>
      <c r="H70" s="3410"/>
      <c r="I70" s="2001"/>
      <c r="J70" s="2908"/>
      <c r="K70" s="2908"/>
      <c r="L70" s="2908"/>
      <c r="M70" s="290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401" t="s">
        <v>2060</v>
      </c>
      <c r="B71" s="3402"/>
      <c r="C71" s="2208"/>
      <c r="D71" s="2208" t="s">
        <v>2061</v>
      </c>
      <c r="E71" s="185" t="s">
        <v>2062</v>
      </c>
      <c r="F71" s="186"/>
      <c r="G71" s="186"/>
      <c r="H71" s="187"/>
      <c r="I71" s="2005"/>
      <c r="J71" s="2908"/>
      <c r="K71" s="2908"/>
      <c r="L71" s="2908"/>
      <c r="M71" s="290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t="e">
        <f ca="1">ROUND(D45/(1+'数据-取费表'!C42),0)</f>
        <v>#REF!</v>
      </c>
      <c r="D72" s="175" t="s">
        <v>32</v>
      </c>
      <c r="E72" s="2544"/>
      <c r="F72" s="2543"/>
      <c r="G72" s="2543"/>
      <c r="H72" s="188"/>
      <c r="I72" s="2005"/>
      <c r="J72" s="2908"/>
      <c r="K72" s="2908"/>
      <c r="L72" s="2908"/>
      <c r="M72" s="290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t="e">
        <f ca="1">C74+C78</f>
        <v>#REF!</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406" t="s">
        <v>2087</v>
      </c>
      <c r="F76" s="3405"/>
      <c r="G76" s="3405"/>
      <c r="H76" s="3408"/>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t="e">
        <f ca="1">ROUND(D45*D78/(1+'数据-取费表'!C42),0)</f>
        <v>#REF!</v>
      </c>
      <c r="D78" s="2791">
        <f>'数据-取费表'!B43</f>
        <v>6.000000000000001E-3</v>
      </c>
      <c r="E78" s="3398" t="s">
        <v>2091</v>
      </c>
      <c r="F78" s="3399"/>
      <c r="G78" s="3399"/>
      <c r="H78" s="340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t="e">
        <f ca="1">C72-C73</f>
        <v>#REF!</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409" t="s">
        <v>2095</v>
      </c>
      <c r="B83" s="3410"/>
      <c r="C83" s="3410"/>
      <c r="D83" s="3410"/>
      <c r="E83" s="3410"/>
      <c r="F83" s="3410"/>
      <c r="G83" s="3410"/>
      <c r="H83" s="3410"/>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401" t="s">
        <v>2060</v>
      </c>
      <c r="B84" s="3402"/>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t="e">
        <f ca="1">ROUND(D45/(1+'数据-取费表'!C42),0)</f>
        <v>#REF!</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t="e">
        <f ca="1">IF(H88="仅含出让金",C87+C90+C91+C92+C93+C94,C87+C91+C92+C93+C94)</f>
        <v>#REF!</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0</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c r="D88" s="2791"/>
      <c r="E88" s="199" t="s">
        <v>2098</v>
      </c>
      <c r="F88" s="2540"/>
      <c r="G88" s="200" t="s">
        <v>2099</v>
      </c>
      <c r="H88" s="2009"/>
      <c r="I88" s="2006"/>
      <c r="J88" s="2735"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0</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c r="D90" s="2791"/>
      <c r="E90" s="199" t="str">
        <f>IF(H88="-","土地取得成本中已包含该笔费用"," ")</f>
        <v xml:space="preserve"> </v>
      </c>
      <c r="F90" s="2540"/>
      <c r="G90" s="3367" t="s">
        <v>2869</v>
      </c>
      <c r="H90" s="3368"/>
      <c r="I90" s="2006"/>
      <c r="J90" s="2735"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IF(H91="——",成本法!C33,I91)</f>
        <v>0</v>
      </c>
      <c r="D91" s="2791"/>
      <c r="E91" s="3398" t="s">
        <v>2104</v>
      </c>
      <c r="F91" s="3399"/>
      <c r="G91" s="339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ROUND((C87+C90+C91)*D92,0)</f>
        <v>0</v>
      </c>
      <c r="D92" s="2797"/>
      <c r="E92" s="3398" t="s">
        <v>2107</v>
      </c>
      <c r="F92" s="3399"/>
      <c r="G92" s="3399"/>
      <c r="H92" s="3400"/>
      <c r="I92" s="2006"/>
      <c r="J92" s="2736"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t="e">
        <f ca="1">ROUND(D45*D93/(1+'数据-取费表'!C42),0)</f>
        <v>#REF!</v>
      </c>
      <c r="D93" s="2791">
        <f>'数据-取费表'!B43</f>
        <v>6.000000000000001E-3</v>
      </c>
      <c r="E93" s="3398" t="s">
        <v>2091</v>
      </c>
      <c r="F93" s="3399"/>
      <c r="G93" s="3399"/>
      <c r="H93" s="340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ROUND((C87+C90+C91)*D94,0)</f>
        <v>0</v>
      </c>
      <c r="D94" s="2791">
        <v>0.2</v>
      </c>
      <c r="E94" s="3446" t="s">
        <v>2111</v>
      </c>
      <c r="F94" s="3447"/>
      <c r="G94" s="3447"/>
      <c r="H94" s="3448"/>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t="e">
        <f ca="1">ROUND(C85-C86,0)</f>
        <v>#REF!</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48" t="s">
        <v>2113</v>
      </c>
      <c r="B100" s="3349"/>
      <c r="C100" s="3349"/>
      <c r="D100" s="3383"/>
      <c r="E100" s="3349" t="s">
        <v>2114</v>
      </c>
      <c r="F100" s="3349"/>
      <c r="G100" s="3349"/>
      <c r="H100" s="3383"/>
      <c r="I100" s="134"/>
    </row>
    <row r="101" spans="1:35" ht="18.75" customHeight="1">
      <c r="A101" s="3391" t="s">
        <v>2115</v>
      </c>
      <c r="B101" s="3392"/>
      <c r="C101" s="2799">
        <f>C4</f>
        <v>0</v>
      </c>
      <c r="D101" s="2800">
        <f>D4</f>
        <v>0</v>
      </c>
      <c r="E101" s="3361" t="s">
        <v>2116</v>
      </c>
      <c r="F101" s="3362"/>
      <c r="G101" s="2012" t="s">
        <v>2117</v>
      </c>
      <c r="H101" s="2809" t="e">
        <f ca="1">H118</f>
        <v>#REF!</v>
      </c>
      <c r="I101" s="134"/>
    </row>
    <row r="102" spans="1:35" ht="18.75" customHeight="1">
      <c r="A102" s="3393" t="s">
        <v>2118</v>
      </c>
      <c r="B102" s="2798" t="s">
        <v>2117</v>
      </c>
      <c r="C102" s="2799" t="e">
        <f ca="1">C19</f>
        <v>#REF!</v>
      </c>
      <c r="D102" s="2800" t="e">
        <f ca="1">D19</f>
        <v>#REF!</v>
      </c>
      <c r="E102" s="3361"/>
      <c r="F102" s="3362"/>
      <c r="G102" s="2012" t="s">
        <v>2119</v>
      </c>
      <c r="H102" s="2769" t="e">
        <f ca="1">I118</f>
        <v>#REF!</v>
      </c>
      <c r="I102" s="134"/>
    </row>
    <row r="103" spans="1:35" ht="42.75" customHeight="1">
      <c r="A103" s="3393"/>
      <c r="B103" s="2798" t="s">
        <v>2119</v>
      </c>
      <c r="C103" s="2801" t="e">
        <f ca="1">C20</f>
        <v>#REF!</v>
      </c>
      <c r="D103" s="2802" t="e">
        <f ca="1">D20</f>
        <v>#REF!</v>
      </c>
      <c r="E103" s="3354" t="s">
        <v>2120</v>
      </c>
      <c r="F103" s="3355"/>
      <c r="G103" s="2013" t="s">
        <v>2121</v>
      </c>
      <c r="H103" s="2809">
        <f>IF(D36="正常操作",H104+H105+H106,H105+H106)</f>
        <v>0</v>
      </c>
      <c r="I103" s="134"/>
    </row>
    <row r="104" spans="1:35" ht="18.75" customHeight="1">
      <c r="A104" s="3393" t="s">
        <v>2122</v>
      </c>
      <c r="B104" s="2803" t="s">
        <v>2117</v>
      </c>
      <c r="C104" s="2804" t="e">
        <f ca="1">H118</f>
        <v>#REF!</v>
      </c>
      <c r="D104" s="2805"/>
      <c r="E104" s="1859" t="s">
        <v>2123</v>
      </c>
      <c r="F104" s="1851"/>
      <c r="G104" s="2013" t="s">
        <v>2121</v>
      </c>
      <c r="H104" s="2810">
        <f>IF(D36="同一抵押权人同一抵押物续贷",C36&amp;"（续贷，未扣减，详见特别提示）",C36)</f>
        <v>0</v>
      </c>
      <c r="I104" s="134"/>
    </row>
    <row r="105" spans="1:35" ht="18.75" customHeight="1" thickBot="1">
      <c r="A105" s="3403"/>
      <c r="B105" s="2806" t="s">
        <v>2119</v>
      </c>
      <c r="C105" s="2807" t="e">
        <f ca="1">I118</f>
        <v>#REF!</v>
      </c>
      <c r="D105" s="2808"/>
      <c r="E105" s="1859" t="s">
        <v>2124</v>
      </c>
      <c r="F105" s="1851"/>
      <c r="G105" s="2013" t="s">
        <v>2121</v>
      </c>
      <c r="H105" s="2811">
        <f>C37</f>
        <v>0</v>
      </c>
      <c r="I105" s="134"/>
    </row>
    <row r="106" spans="1:35" ht="18.75" customHeight="1">
      <c r="A106" s="1932" t="s">
        <v>2125</v>
      </c>
      <c r="B106" s="1932"/>
      <c r="C106" s="1932"/>
      <c r="D106" s="1932"/>
      <c r="E106" s="2014" t="s">
        <v>2126</v>
      </c>
      <c r="F106" s="1851"/>
      <c r="G106" s="2013" t="s">
        <v>2121</v>
      </c>
      <c r="H106" s="2811">
        <f>C38</f>
        <v>0</v>
      </c>
      <c r="I106" s="134"/>
    </row>
    <row r="107" spans="1:35" ht="18.75" customHeight="1">
      <c r="A107" s="134"/>
      <c r="B107" s="134"/>
      <c r="C107" s="134"/>
      <c r="D107" s="134"/>
      <c r="E107" s="3394" t="str">
        <f>IF(项目基本情况!E8="已注销","——","3.房地产抵押价值")</f>
        <v>3.房地产抵押价值</v>
      </c>
      <c r="F107" s="3362"/>
      <c r="G107" s="2012" t="s">
        <v>2117</v>
      </c>
      <c r="H107" s="2809" t="e">
        <f ca="1">IF(E107="——","——",H101-H103)</f>
        <v>#REF!</v>
      </c>
      <c r="I107" s="134"/>
    </row>
    <row r="108" spans="1:35" ht="18.75" customHeight="1">
      <c r="A108" s="134"/>
      <c r="B108" s="134"/>
      <c r="C108" s="134"/>
      <c r="D108" s="134"/>
      <c r="E108" s="3394"/>
      <c r="F108" s="3362"/>
      <c r="G108" s="2012" t="s">
        <v>2119</v>
      </c>
      <c r="H108" s="2769" t="e">
        <f ca="1">ROUND(H107*10000/'数据-汇总表'!E3,0)</f>
        <v>#REF!</v>
      </c>
      <c r="I108" s="134"/>
    </row>
    <row r="109" spans="1:35" ht="18.75" customHeight="1">
      <c r="A109" s="134"/>
      <c r="B109" s="134"/>
      <c r="C109" s="134"/>
      <c r="D109" s="134"/>
      <c r="E109" s="3394" t="str">
        <f>IF(项目基本情况!E8="已注销及未注销","4.抵押担保权已注销时的房地产抵押价值",IF(项目基本情况!E8="已注销","3.抵押担保权已注销时的房地产抵押价值","——"))</f>
        <v>——</v>
      </c>
      <c r="F109" s="3362"/>
      <c r="G109" s="2012" t="s">
        <v>2117</v>
      </c>
      <c r="H109" s="2812" t="str">
        <f>IF(E109="——","——",H101-H105-H106)</f>
        <v>——</v>
      </c>
      <c r="I109" s="134"/>
    </row>
    <row r="110" spans="1:35" ht="18.75" customHeight="1">
      <c r="A110" s="134"/>
      <c r="B110" s="134"/>
      <c r="C110" s="134"/>
      <c r="D110" s="134"/>
      <c r="E110" s="3394"/>
      <c r="F110" s="3362"/>
      <c r="G110" s="2012" t="s">
        <v>2119</v>
      </c>
      <c r="H110" s="2769" t="str">
        <f>IF(H109="——","——",ROUND(H109*10000/'数据-汇总表'!E3,0))</f>
        <v>——</v>
      </c>
      <c r="I110" s="134"/>
    </row>
    <row r="111" spans="1:35" ht="18.75" customHeight="1">
      <c r="A111" s="134"/>
      <c r="B111" s="134"/>
      <c r="C111" s="134"/>
      <c r="D111" s="134"/>
      <c r="E111" s="3395" t="str">
        <f>IF(项目基本情况!E9="抵押净值",IF(OR(项目基本情况!E8="已注销",项目基本情况!E8="房地产抵押价值"),"4.抵押净值","5.抵押净值"),"——")</f>
        <v>——</v>
      </c>
      <c r="F111" s="3381"/>
      <c r="G111" s="2012" t="s">
        <v>2117</v>
      </c>
      <c r="H111" s="2809" t="str">
        <f>IF(E111="——","——",N59)</f>
        <v>——</v>
      </c>
      <c r="I111" s="134"/>
    </row>
    <row r="112" spans="1:35" ht="18.75" customHeight="1" thickBot="1">
      <c r="A112" s="134"/>
      <c r="B112" s="134"/>
      <c r="C112" s="134"/>
      <c r="D112" s="134"/>
      <c r="E112" s="3396"/>
      <c r="F112" s="3397"/>
      <c r="G112" s="2015" t="s">
        <v>2119</v>
      </c>
      <c r="H112" s="2813" t="str">
        <f>IF(E111="——","——",N61)</f>
        <v>——</v>
      </c>
      <c r="I112" s="134"/>
    </row>
    <row r="113" spans="1:27" ht="18.75" customHeight="1">
      <c r="A113" s="134"/>
      <c r="B113" s="134"/>
      <c r="C113" s="134"/>
      <c r="D113" s="134"/>
      <c r="E113" s="3404" t="s">
        <v>2125</v>
      </c>
      <c r="F113" s="3404"/>
      <c r="G113" s="3404"/>
      <c r="H113" s="3404"/>
      <c r="I113" s="134"/>
    </row>
    <row r="114" spans="1:27" ht="3.75" customHeight="1">
      <c r="A114" s="1932"/>
      <c r="B114" s="1932"/>
      <c r="C114" s="1932"/>
      <c r="D114" s="1932"/>
      <c r="E114" s="1994"/>
      <c r="F114" s="1994"/>
      <c r="G114" s="1994"/>
      <c r="H114" s="1994"/>
      <c r="I114" s="1932"/>
    </row>
    <row r="115" spans="1:27" ht="18.75" customHeight="1">
      <c r="A115" s="3415" t="s">
        <v>2127</v>
      </c>
      <c r="B115" s="3416"/>
      <c r="C115" s="3416"/>
      <c r="D115" s="3416"/>
      <c r="E115" s="3416"/>
      <c r="F115" s="3416"/>
      <c r="G115" s="3416"/>
      <c r="H115" s="3416"/>
      <c r="I115" s="3417"/>
    </row>
    <row r="116" spans="1:27" ht="27" customHeight="1">
      <c r="A116" s="3369" t="s">
        <v>2128</v>
      </c>
      <c r="B116" s="3373" t="s">
        <v>2129</v>
      </c>
      <c r="C116" s="3373" t="s">
        <v>2130</v>
      </c>
      <c r="D116" s="3379" t="s">
        <v>2131</v>
      </c>
      <c r="E116" s="3380"/>
      <c r="F116" s="3411" t="s">
        <v>2132</v>
      </c>
      <c r="G116" s="3411"/>
      <c r="H116" s="3369" t="s">
        <v>2133</v>
      </c>
      <c r="I116" s="3369"/>
    </row>
    <row r="117" spans="1:27" ht="18.75" customHeight="1">
      <c r="A117" s="3369"/>
      <c r="B117" s="3374"/>
      <c r="C117" s="3374"/>
      <c r="D117" s="2542" t="s">
        <v>2134</v>
      </c>
      <c r="E117" s="2542" t="s">
        <v>2135</v>
      </c>
      <c r="F117" s="2542" t="s">
        <v>2134</v>
      </c>
      <c r="G117" s="2542" t="s">
        <v>2136</v>
      </c>
      <c r="H117" s="2542" t="s">
        <v>2134</v>
      </c>
      <c r="I117" s="2542" t="s">
        <v>2136</v>
      </c>
    </row>
    <row r="118" spans="1:27" ht="24.75" customHeight="1">
      <c r="A118" s="2814" t="str">
        <f>项目基本情况!S2</f>
        <v>北京市房地产</v>
      </c>
      <c r="B118" s="2542">
        <f>M18</f>
        <v>373.76</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369" t="s">
        <v>2137</v>
      </c>
      <c r="B119" s="3369"/>
      <c r="C119" s="3369"/>
      <c r="D119" s="3375" t="e">
        <f ca="1">NUMBERSTRING(INT(D118*10000),2)&amp;"元整"</f>
        <v>#REF!</v>
      </c>
      <c r="E119" s="3376"/>
      <c r="F119" s="3375" t="e">
        <f ca="1">NUMBERSTRING(INT(F118*10000),2)&amp;"元整"</f>
        <v>#REF!</v>
      </c>
      <c r="G119" s="3376"/>
      <c r="H119" s="3375" t="e">
        <f ca="1">NUMBERSTRING(INT(H118*10000),2)&amp;"元整"</f>
        <v>#REF!</v>
      </c>
      <c r="I119" s="3376"/>
    </row>
    <row r="120" spans="1:27" ht="18.75" customHeight="1">
      <c r="A120" s="3370" t="str">
        <f>IF(项目基本情况!B9="房地产市场价值","",MID(E103,3,LEN(E103)-2))</f>
        <v/>
      </c>
      <c r="B120" s="3371"/>
      <c r="C120" s="3372"/>
      <c r="D120" s="3370">
        <f>H103</f>
        <v>0</v>
      </c>
      <c r="E120" s="3371"/>
      <c r="F120" s="3371"/>
      <c r="G120" s="3371"/>
      <c r="H120" s="3371"/>
      <c r="I120" s="3372"/>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412" t="s">
        <v>2137</v>
      </c>
      <c r="B121" s="3413"/>
      <c r="C121" s="3414"/>
      <c r="D121" s="3375" t="str">
        <f>IF(D120=0,"零元整",NUMBERSTRING(INT(D120*10000),2)&amp;"元整")</f>
        <v>零元整</v>
      </c>
      <c r="E121" s="3377"/>
      <c r="F121" s="3377"/>
      <c r="G121" s="3377"/>
      <c r="H121" s="3377"/>
      <c r="I121" s="3376"/>
      <c r="AA121" s="734"/>
    </row>
    <row r="122" spans="1:27" ht="18.75" customHeight="1">
      <c r="A122" s="3381" t="str">
        <f>IF(项目基本情况!B9="房地产市场价值","",MID(E107,3,LEN(E107)-2))</f>
        <v/>
      </c>
      <c r="B122" s="3381"/>
      <c r="C122" s="3381"/>
      <c r="D122" s="3370" t="e">
        <f ca="1">H107</f>
        <v>#REF!</v>
      </c>
      <c r="E122" s="3371"/>
      <c r="F122" s="3371"/>
      <c r="G122" s="3371"/>
      <c r="H122" s="3371"/>
      <c r="I122" s="3372"/>
      <c r="AA122" s="734"/>
    </row>
    <row r="123" spans="1:27" ht="18.75" customHeight="1">
      <c r="A123" s="3369" t="s">
        <v>2137</v>
      </c>
      <c r="B123" s="3369"/>
      <c r="C123" s="3369"/>
      <c r="D123" s="3375" t="e">
        <f ca="1">NUMBERSTRING(INT(D122*10000),2)&amp;"元整"</f>
        <v>#REF!</v>
      </c>
      <c r="E123" s="3377"/>
      <c r="F123" s="3377"/>
      <c r="G123" s="3377"/>
      <c r="H123" s="3377"/>
      <c r="I123" s="3376"/>
      <c r="AA123" s="734"/>
    </row>
    <row r="124" spans="1:27" ht="18.75" customHeight="1">
      <c r="A124" s="3381" t="str">
        <f>IF(项目基本情况!B9="房地产市场价值","",MID(E109,3,LEN(E109)-2))</f>
        <v/>
      </c>
      <c r="B124" s="3381"/>
      <c r="C124" s="3381"/>
      <c r="D124" s="3370" t="str">
        <f>H109</f>
        <v>——</v>
      </c>
      <c r="E124" s="3371"/>
      <c r="F124" s="3371"/>
      <c r="G124" s="3371"/>
      <c r="H124" s="3371"/>
      <c r="I124" s="3372"/>
      <c r="AA124" s="734"/>
    </row>
    <row r="125" spans="1:27" ht="18.75" customHeight="1">
      <c r="A125" s="3369" t="s">
        <v>2137</v>
      </c>
      <c r="B125" s="3369"/>
      <c r="C125" s="3369"/>
      <c r="D125" s="3375" t="e">
        <f>NUMBERSTRING(INT(D124*10000),2)&amp;"元整"</f>
        <v>#VALUE!</v>
      </c>
      <c r="E125" s="3377"/>
      <c r="F125" s="3377"/>
      <c r="G125" s="3377"/>
      <c r="H125" s="3377"/>
      <c r="I125" s="3376"/>
      <c r="AA125" s="734"/>
    </row>
    <row r="126" spans="1:27" ht="18.75" customHeight="1">
      <c r="A126" s="3381" t="str">
        <f>IF(项目基本情况!B9="房地产市场价值","",MID(E111,3,LEN(E111)-2))</f>
        <v/>
      </c>
      <c r="B126" s="3381"/>
      <c r="C126" s="3381"/>
      <c r="D126" s="3370" t="str">
        <f>H111</f>
        <v>——</v>
      </c>
      <c r="E126" s="3371"/>
      <c r="F126" s="3371"/>
      <c r="G126" s="3371"/>
      <c r="H126" s="3371"/>
      <c r="I126" s="3372"/>
      <c r="AA126" s="734"/>
    </row>
    <row r="127" spans="1:27" ht="18.75" customHeight="1">
      <c r="A127" s="3369" t="s">
        <v>2137</v>
      </c>
      <c r="B127" s="3369"/>
      <c r="C127" s="3369"/>
      <c r="D127" s="3375" t="e">
        <f>NUMBERSTRING(INT(D126*10000),2)&amp;"元整"</f>
        <v>#VALUE!</v>
      </c>
      <c r="E127" s="3377"/>
      <c r="F127" s="3377"/>
      <c r="G127" s="3377"/>
      <c r="H127" s="3377"/>
      <c r="I127" s="3376"/>
      <c r="AA127" s="734"/>
    </row>
    <row r="128" spans="1:27" ht="21.75" customHeight="1">
      <c r="A128" s="3378" t="s">
        <v>2138</v>
      </c>
      <c r="B128" s="3378"/>
      <c r="C128" s="3378"/>
      <c r="D128" s="3378"/>
      <c r="E128" s="3378"/>
      <c r="F128" s="3378"/>
      <c r="G128" s="3378"/>
      <c r="H128" s="3378"/>
      <c r="I128" s="3378"/>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C10:D13">
    <cfRule type="cellIs" dxfId="230" priority="8" stopIfTrue="1" operator="equal">
      <formula>15</formula>
    </cfRule>
  </conditionalFormatting>
  <conditionalFormatting sqref="D14:D16">
    <cfRule type="cellIs" dxfId="229" priority="6"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dimension ref="A1:S54"/>
  <sheetViews>
    <sheetView tabSelected="1" workbookViewId="0">
      <pane xSplit="2" ySplit="1" topLeftCell="E26" activePane="bottomRight" state="frozen"/>
      <selection pane="topRight" activeCell="B1" sqref="B1"/>
      <selection pane="bottomLeft" activeCell="A2" sqref="A2"/>
      <selection pane="bottomRight" activeCell="Q42" sqref="Q42"/>
    </sheetView>
  </sheetViews>
  <sheetFormatPr defaultRowHeight="13.5"/>
  <cols>
    <col min="1" max="1" width="5.25" style="3233" bestFit="1" customWidth="1"/>
    <col min="2" max="2" width="0" style="3233" hidden="1" customWidth="1"/>
    <col min="3" max="3" width="32.875" style="3106" customWidth="1"/>
    <col min="4" max="4" width="26.125" customWidth="1"/>
    <col min="5" max="5" width="29.625" customWidth="1"/>
    <col min="6" max="6" width="6.125" customWidth="1"/>
    <col min="7" max="7" width="12.125" customWidth="1"/>
    <col min="10" max="10" width="9" customWidth="1"/>
    <col min="11" max="11" width="7.625" customWidth="1"/>
    <col min="14" max="14" width="3.625" customWidth="1"/>
    <col min="15" max="15" width="9.75" customWidth="1"/>
    <col min="16" max="16" width="21.125" customWidth="1"/>
    <col min="17" max="17" width="24.875" customWidth="1"/>
  </cols>
  <sheetData>
    <row r="1" spans="1:17">
      <c r="A1" s="3246" t="s">
        <v>3516</v>
      </c>
      <c r="B1" s="3246" t="s">
        <v>3276</v>
      </c>
      <c r="C1" s="3247" t="s">
        <v>3429</v>
      </c>
      <c r="D1" s="3220" t="s">
        <v>3345</v>
      </c>
      <c r="E1" s="3220" t="s">
        <v>3346</v>
      </c>
      <c r="F1" s="3172" t="s">
        <v>3274</v>
      </c>
      <c r="G1" s="3172" t="s">
        <v>3280</v>
      </c>
      <c r="H1" s="3171" t="s">
        <v>3273</v>
      </c>
      <c r="I1" s="3171" t="s">
        <v>3300</v>
      </c>
      <c r="J1" s="3171" t="s">
        <v>3301</v>
      </c>
      <c r="K1" s="3171" t="s">
        <v>3340</v>
      </c>
      <c r="L1" s="3171" t="s">
        <v>3299</v>
      </c>
      <c r="M1" s="3171" t="s">
        <v>3302</v>
      </c>
    </row>
    <row r="2" spans="1:17">
      <c r="A2" s="3248">
        <v>1</v>
      </c>
      <c r="B2" s="3246" t="s">
        <v>3430</v>
      </c>
      <c r="C2" s="3249" t="s">
        <v>3344</v>
      </c>
      <c r="D2" s="3206" t="s">
        <v>3347</v>
      </c>
      <c r="E2" s="3206" t="s">
        <v>3348</v>
      </c>
      <c r="F2" s="3219">
        <v>1</v>
      </c>
      <c r="G2" s="3219" t="s">
        <v>3351</v>
      </c>
      <c r="H2" s="3173">
        <v>146.99</v>
      </c>
      <c r="I2" s="3173">
        <f>IF(H2&lt;100,1.02,IF(H2&lt;200,1,IF(H2&lt;300,0.98,0.96)))</f>
        <v>1</v>
      </c>
      <c r="J2" s="3173">
        <v>1</v>
      </c>
      <c r="K2" s="3173">
        <v>1</v>
      </c>
      <c r="L2" s="3173">
        <f ca="1">ROUND('结果一览表-商业'!D37,1)</f>
        <v>6.9</v>
      </c>
      <c r="M2" s="3205">
        <f ca="1">ROUND(L2*H2,2)</f>
        <v>1014.23</v>
      </c>
      <c r="O2" s="3226" t="s">
        <v>3435</v>
      </c>
      <c r="P2" s="3227">
        <v>1</v>
      </c>
      <c r="Q2" s="3232" t="s">
        <v>3441</v>
      </c>
    </row>
    <row r="3" spans="1:17">
      <c r="A3" s="3248">
        <v>2</v>
      </c>
      <c r="B3" s="3246" t="s">
        <v>3430</v>
      </c>
      <c r="C3" s="3249" t="s">
        <v>3349</v>
      </c>
      <c r="D3" s="3206" t="s">
        <v>3350</v>
      </c>
      <c r="E3" s="3206" t="s">
        <v>3348</v>
      </c>
      <c r="F3" s="3219">
        <v>1</v>
      </c>
      <c r="G3" s="3219" t="s">
        <v>3351</v>
      </c>
      <c r="H3" s="3173">
        <v>130.12</v>
      </c>
      <c r="I3" s="3173">
        <f t="shared" ref="I3:I53" si="0">IF(H3&lt;100,1.02,IF(H3&lt;200,1,IF(H3&lt;300,0.98,0.96)))</f>
        <v>1</v>
      </c>
      <c r="J3" s="3173">
        <v>1</v>
      </c>
      <c r="K3" s="3173">
        <v>1</v>
      </c>
      <c r="L3" s="3173">
        <f ca="1">ROUND($L$2*I3*J3*K3,1)</f>
        <v>6.9</v>
      </c>
      <c r="M3" s="3205">
        <f t="shared" ref="M3:M53" ca="1" si="1">ROUND(L3*H3,2)</f>
        <v>897.83</v>
      </c>
      <c r="O3" s="3226" t="s">
        <v>3436</v>
      </c>
      <c r="P3" s="3227">
        <v>0.9</v>
      </c>
      <c r="Q3" s="3232" t="s">
        <v>3442</v>
      </c>
    </row>
    <row r="4" spans="1:17" ht="27">
      <c r="A4" s="3248">
        <v>3</v>
      </c>
      <c r="B4" s="3246" t="s">
        <v>3431</v>
      </c>
      <c r="C4" s="3249" t="s">
        <v>3352</v>
      </c>
      <c r="D4" s="3206" t="s">
        <v>3353</v>
      </c>
      <c r="E4" s="3206" t="s">
        <v>3348</v>
      </c>
      <c r="F4" s="3219">
        <v>1</v>
      </c>
      <c r="G4" s="3219" t="s">
        <v>3351</v>
      </c>
      <c r="H4" s="3173">
        <v>56.02</v>
      </c>
      <c r="I4" s="3173">
        <f t="shared" si="0"/>
        <v>1.02</v>
      </c>
      <c r="J4" s="3173">
        <v>1</v>
      </c>
      <c r="K4" s="3173">
        <f>P4</f>
        <v>0.7</v>
      </c>
      <c r="L4" s="3173">
        <f t="shared" ref="L4:L32" ca="1" si="2">ROUND($L$2*I4*J4*K4,1)</f>
        <v>4.9000000000000004</v>
      </c>
      <c r="M4" s="3205">
        <f t="shared" ca="1" si="1"/>
        <v>274.5</v>
      </c>
      <c r="O4" s="3226" t="s">
        <v>3437</v>
      </c>
      <c r="P4" s="3227">
        <v>0.7</v>
      </c>
      <c r="Q4" s="3232" t="s">
        <v>3443</v>
      </c>
    </row>
    <row r="5" spans="1:17">
      <c r="A5" s="3248">
        <v>4</v>
      </c>
      <c r="B5" s="3246" t="s">
        <v>3431</v>
      </c>
      <c r="C5" s="3247" t="s">
        <v>3361</v>
      </c>
      <c r="D5" s="3220" t="s">
        <v>3467</v>
      </c>
      <c r="E5" s="3206" t="s">
        <v>3348</v>
      </c>
      <c r="F5" s="3230" t="s">
        <v>3277</v>
      </c>
      <c r="G5" s="3230" t="s">
        <v>3351</v>
      </c>
      <c r="H5" s="3205">
        <v>180.53</v>
      </c>
      <c r="I5" s="3205">
        <f t="shared" si="0"/>
        <v>1</v>
      </c>
      <c r="J5" s="3205">
        <f>Q14</f>
        <v>0.79999999999999993</v>
      </c>
      <c r="K5" s="3205">
        <f>K4</f>
        <v>0.7</v>
      </c>
      <c r="L5" s="3205">
        <f t="shared" ca="1" si="2"/>
        <v>3.9</v>
      </c>
      <c r="M5" s="3205">
        <f t="shared" ca="1" si="1"/>
        <v>704.07</v>
      </c>
      <c r="O5" s="3226" t="s">
        <v>3438</v>
      </c>
      <c r="P5" s="3227">
        <v>1</v>
      </c>
      <c r="Q5" s="3233"/>
    </row>
    <row r="6" spans="1:17">
      <c r="A6" s="3248">
        <v>5</v>
      </c>
      <c r="B6" s="3246" t="s">
        <v>3431</v>
      </c>
      <c r="C6" s="3247" t="s">
        <v>3362</v>
      </c>
      <c r="D6" s="3244" t="s">
        <v>3468</v>
      </c>
      <c r="E6" s="3206" t="s">
        <v>3348</v>
      </c>
      <c r="F6" s="3230" t="s">
        <v>3277</v>
      </c>
      <c r="G6" s="3230" t="s">
        <v>3351</v>
      </c>
      <c r="H6" s="3205">
        <v>173.48</v>
      </c>
      <c r="I6" s="3205">
        <f t="shared" si="0"/>
        <v>1</v>
      </c>
      <c r="J6" s="3205">
        <f>Q14</f>
        <v>0.79999999999999993</v>
      </c>
      <c r="K6" s="3205">
        <f>K4</f>
        <v>0.7</v>
      </c>
      <c r="L6" s="3205">
        <f t="shared" ca="1" si="2"/>
        <v>3.9</v>
      </c>
      <c r="M6" s="3205">
        <f t="shared" ca="1" si="1"/>
        <v>676.57</v>
      </c>
      <c r="O6" s="3226" t="s">
        <v>3439</v>
      </c>
      <c r="P6" s="3227">
        <v>0.7</v>
      </c>
      <c r="Q6" s="3233"/>
    </row>
    <row r="7" spans="1:17">
      <c r="A7" s="3248">
        <v>6</v>
      </c>
      <c r="B7" s="3246" t="s">
        <v>3431</v>
      </c>
      <c r="C7" s="3247" t="s">
        <v>3363</v>
      </c>
      <c r="D7" s="3244" t="s">
        <v>3469</v>
      </c>
      <c r="E7" s="3206" t="s">
        <v>3348</v>
      </c>
      <c r="F7" s="3230" t="s">
        <v>3277</v>
      </c>
      <c r="G7" s="3230" t="s">
        <v>3351</v>
      </c>
      <c r="H7" s="3205">
        <v>228.07</v>
      </c>
      <c r="I7" s="3205">
        <f t="shared" si="0"/>
        <v>0.98</v>
      </c>
      <c r="J7" s="3243">
        <f>Q15</f>
        <v>0.8</v>
      </c>
      <c r="K7" s="3205">
        <f>K4</f>
        <v>0.7</v>
      </c>
      <c r="L7" s="3205">
        <f t="shared" ca="1" si="2"/>
        <v>3.8</v>
      </c>
      <c r="M7" s="3205">
        <f t="shared" ca="1" si="1"/>
        <v>866.67</v>
      </c>
      <c r="O7" s="3226" t="s">
        <v>3440</v>
      </c>
      <c r="P7" s="3227">
        <v>0.5</v>
      </c>
      <c r="Q7" s="3233"/>
    </row>
    <row r="8" spans="1:17">
      <c r="A8" s="3248">
        <v>7</v>
      </c>
      <c r="B8" s="3246" t="s">
        <v>3431</v>
      </c>
      <c r="C8" s="3247" t="s">
        <v>3364</v>
      </c>
      <c r="D8" s="3244" t="s">
        <v>3470</v>
      </c>
      <c r="E8" s="3206" t="s">
        <v>3348</v>
      </c>
      <c r="F8" s="3230" t="s">
        <v>3277</v>
      </c>
      <c r="G8" s="3230" t="s">
        <v>3351</v>
      </c>
      <c r="H8" s="3205">
        <v>193.55</v>
      </c>
      <c r="I8" s="3205">
        <f t="shared" si="0"/>
        <v>1</v>
      </c>
      <c r="J8" s="3205">
        <f>Q14</f>
        <v>0.79999999999999993</v>
      </c>
      <c r="K8" s="3205">
        <f>K4</f>
        <v>0.7</v>
      </c>
      <c r="L8" s="3205">
        <f t="shared" ca="1" si="2"/>
        <v>3.9</v>
      </c>
      <c r="M8" s="3205">
        <f t="shared" ca="1" si="1"/>
        <v>754.85</v>
      </c>
      <c r="O8" s="3226" t="s">
        <v>3303</v>
      </c>
      <c r="P8" s="3228">
        <v>1.02</v>
      </c>
      <c r="Q8" s="3233"/>
    </row>
    <row r="9" spans="1:17" ht="27">
      <c r="A9" s="3248">
        <v>8</v>
      </c>
      <c r="B9" s="3250" t="s">
        <v>3431</v>
      </c>
      <c r="C9" s="3251" t="s">
        <v>3382</v>
      </c>
      <c r="D9" s="3236" t="s">
        <v>3488</v>
      </c>
      <c r="E9" s="3236" t="s">
        <v>3348</v>
      </c>
      <c r="F9" s="3237" t="s">
        <v>3278</v>
      </c>
      <c r="G9" s="3237" t="s">
        <v>3351</v>
      </c>
      <c r="H9" s="3238">
        <v>291.33</v>
      </c>
      <c r="I9" s="3238">
        <f t="shared" si="0"/>
        <v>0.98</v>
      </c>
      <c r="J9" s="3238">
        <f>Q16</f>
        <v>0.6</v>
      </c>
      <c r="K9" s="3238">
        <f>K4</f>
        <v>0.7</v>
      </c>
      <c r="L9" s="3238">
        <f t="shared" ca="1" si="2"/>
        <v>2.8</v>
      </c>
      <c r="M9" s="3238">
        <f t="shared" ca="1" si="1"/>
        <v>815.72</v>
      </c>
      <c r="O9" s="3226" t="s">
        <v>3304</v>
      </c>
      <c r="P9" s="3228">
        <v>1</v>
      </c>
      <c r="Q9" s="3233"/>
    </row>
    <row r="10" spans="1:17" ht="27">
      <c r="A10" s="3248">
        <v>9</v>
      </c>
      <c r="B10" s="3250" t="s">
        <v>3431</v>
      </c>
      <c r="C10" s="3251" t="s">
        <v>3383</v>
      </c>
      <c r="D10" s="3236" t="s">
        <v>3489</v>
      </c>
      <c r="E10" s="3236" t="s">
        <v>3348</v>
      </c>
      <c r="F10" s="3237" t="s">
        <v>3278</v>
      </c>
      <c r="G10" s="3237" t="s">
        <v>3351</v>
      </c>
      <c r="H10" s="3238">
        <v>280.91000000000003</v>
      </c>
      <c r="I10" s="3238">
        <f t="shared" si="0"/>
        <v>0.98</v>
      </c>
      <c r="J10" s="3238">
        <f>Q17</f>
        <v>0.7</v>
      </c>
      <c r="K10" s="3238">
        <f>K4</f>
        <v>0.7</v>
      </c>
      <c r="L10" s="3238">
        <f t="shared" ca="1" si="2"/>
        <v>3.3</v>
      </c>
      <c r="M10" s="3238">
        <f t="shared" ca="1" si="1"/>
        <v>927</v>
      </c>
      <c r="O10" s="3226" t="s">
        <v>3305</v>
      </c>
      <c r="P10" s="3228">
        <v>0.98</v>
      </c>
      <c r="Q10" s="3233"/>
    </row>
    <row r="11" spans="1:17" ht="27">
      <c r="A11" s="3248">
        <v>10</v>
      </c>
      <c r="B11" s="3250" t="s">
        <v>3431</v>
      </c>
      <c r="C11" s="3251" t="s">
        <v>3384</v>
      </c>
      <c r="D11" s="3236" t="s">
        <v>3490</v>
      </c>
      <c r="E11" s="3236" t="s">
        <v>3348</v>
      </c>
      <c r="F11" s="3237" t="s">
        <v>3278</v>
      </c>
      <c r="G11" s="3237" t="s">
        <v>3351</v>
      </c>
      <c r="H11" s="3238">
        <v>186.02</v>
      </c>
      <c r="I11" s="3238">
        <f t="shared" si="0"/>
        <v>1</v>
      </c>
      <c r="J11" s="3238">
        <f>Q18</f>
        <v>0.7</v>
      </c>
      <c r="K11" s="3238">
        <f>K4</f>
        <v>0.7</v>
      </c>
      <c r="L11" s="3238">
        <f t="shared" ca="1" si="2"/>
        <v>3.4</v>
      </c>
      <c r="M11" s="3238">
        <f t="shared" ca="1" si="1"/>
        <v>632.47</v>
      </c>
      <c r="O11" s="3229" t="s">
        <v>3306</v>
      </c>
      <c r="P11" s="3228">
        <v>0.96</v>
      </c>
      <c r="Q11" s="3233"/>
    </row>
    <row r="12" spans="1:17">
      <c r="A12" s="3248">
        <v>11</v>
      </c>
      <c r="B12" s="3246" t="s">
        <v>3433</v>
      </c>
      <c r="C12" s="3249" t="s">
        <v>3357</v>
      </c>
      <c r="D12" s="3206" t="s">
        <v>3406</v>
      </c>
      <c r="E12" s="3206" t="s">
        <v>3348</v>
      </c>
      <c r="F12" s="3219" t="s">
        <v>3434</v>
      </c>
      <c r="G12" s="3219" t="s">
        <v>3218</v>
      </c>
      <c r="H12" s="3173">
        <v>62.36</v>
      </c>
      <c r="I12" s="3173">
        <f t="shared" si="0"/>
        <v>1.02</v>
      </c>
      <c r="J12" s="3173">
        <f>P5</f>
        <v>1</v>
      </c>
      <c r="K12" s="3173">
        <v>0.9</v>
      </c>
      <c r="L12" s="3173">
        <f t="shared" ca="1" si="2"/>
        <v>6.3</v>
      </c>
      <c r="M12" s="3173">
        <f t="shared" ca="1" si="1"/>
        <v>392.87</v>
      </c>
      <c r="Q12" s="3233"/>
    </row>
    <row r="13" spans="1:17">
      <c r="A13" s="3248">
        <v>12</v>
      </c>
      <c r="B13" s="3246" t="s">
        <v>3433</v>
      </c>
      <c r="C13" s="3249" t="s">
        <v>3358</v>
      </c>
      <c r="D13" s="3206" t="s">
        <v>3466</v>
      </c>
      <c r="E13" s="3206" t="s">
        <v>3348</v>
      </c>
      <c r="F13" s="3219" t="s">
        <v>3434</v>
      </c>
      <c r="G13" s="3219" t="s">
        <v>3464</v>
      </c>
      <c r="H13" s="3173">
        <v>56.56</v>
      </c>
      <c r="I13" s="3173">
        <f t="shared" si="0"/>
        <v>1.02</v>
      </c>
      <c r="J13" s="3173">
        <f>P5</f>
        <v>1</v>
      </c>
      <c r="K13" s="3173">
        <f>P4</f>
        <v>0.7</v>
      </c>
      <c r="L13" s="3173">
        <f t="shared" ca="1" si="2"/>
        <v>4.9000000000000004</v>
      </c>
      <c r="M13" s="3173">
        <f t="shared" ca="1" si="1"/>
        <v>277.14</v>
      </c>
      <c r="Q13" s="3233"/>
    </row>
    <row r="14" spans="1:17">
      <c r="A14" s="3248">
        <v>13</v>
      </c>
      <c r="B14" s="3246" t="s">
        <v>3433</v>
      </c>
      <c r="C14" s="3249" t="s">
        <v>3359</v>
      </c>
      <c r="D14" s="3206" t="s">
        <v>3465</v>
      </c>
      <c r="E14" s="3206" t="s">
        <v>3348</v>
      </c>
      <c r="F14" s="3219" t="s">
        <v>3434</v>
      </c>
      <c r="G14" s="3219" t="s">
        <v>3464</v>
      </c>
      <c r="H14" s="3173">
        <v>121.49</v>
      </c>
      <c r="I14" s="3173">
        <f t="shared" si="0"/>
        <v>1</v>
      </c>
      <c r="J14" s="3173">
        <f>P5</f>
        <v>1</v>
      </c>
      <c r="K14" s="3173">
        <f>K13</f>
        <v>0.7</v>
      </c>
      <c r="L14" s="3173">
        <f t="shared" ca="1" si="2"/>
        <v>4.8</v>
      </c>
      <c r="M14" s="3173">
        <f t="shared" ca="1" si="1"/>
        <v>583.15</v>
      </c>
      <c r="P14" s="3231" t="s">
        <v>3445</v>
      </c>
      <c r="Q14" s="3233">
        <f>(1+0.7*2)/3</f>
        <v>0.79999999999999993</v>
      </c>
    </row>
    <row r="15" spans="1:17">
      <c r="A15" s="3248">
        <v>14</v>
      </c>
      <c r="B15" s="3246" t="s">
        <v>3433</v>
      </c>
      <c r="C15" s="3249" t="s">
        <v>3360</v>
      </c>
      <c r="D15" s="3206" t="s">
        <v>3463</v>
      </c>
      <c r="E15" s="3206" t="s">
        <v>3348</v>
      </c>
      <c r="F15" s="3219" t="s">
        <v>3434</v>
      </c>
      <c r="G15" s="3219" t="s">
        <v>3464</v>
      </c>
      <c r="H15" s="3173">
        <v>120.04</v>
      </c>
      <c r="I15" s="3173">
        <f t="shared" si="0"/>
        <v>1</v>
      </c>
      <c r="J15" s="3173">
        <f>P5</f>
        <v>1</v>
      </c>
      <c r="K15" s="3173">
        <f>K13</f>
        <v>0.7</v>
      </c>
      <c r="L15" s="3173">
        <f t="shared" ca="1" si="2"/>
        <v>4.8</v>
      </c>
      <c r="M15" s="3173">
        <f t="shared" ca="1" si="1"/>
        <v>576.19000000000005</v>
      </c>
      <c r="P15" s="3223" t="s">
        <v>3444</v>
      </c>
      <c r="Q15" s="3234">
        <f>ROUND((1+0.7*3)/4,1)</f>
        <v>0.8</v>
      </c>
    </row>
    <row r="16" spans="1:17">
      <c r="A16" s="3248">
        <v>15</v>
      </c>
      <c r="B16" s="3246" t="s">
        <v>3433</v>
      </c>
      <c r="C16" s="3247" t="s">
        <v>3365</v>
      </c>
      <c r="D16" s="3244" t="s">
        <v>3471</v>
      </c>
      <c r="E16" s="3206" t="s">
        <v>3348</v>
      </c>
      <c r="F16" s="3230" t="s">
        <v>3277</v>
      </c>
      <c r="G16" s="3230" t="s">
        <v>3218</v>
      </c>
      <c r="H16" s="3205">
        <v>183.14</v>
      </c>
      <c r="I16" s="3205">
        <f t="shared" si="0"/>
        <v>1</v>
      </c>
      <c r="J16" s="3205">
        <f>Q19</f>
        <v>0.9</v>
      </c>
      <c r="K16" s="3205">
        <f>K13</f>
        <v>0.7</v>
      </c>
      <c r="L16" s="3205">
        <f t="shared" ca="1" si="2"/>
        <v>4.3</v>
      </c>
      <c r="M16" s="3205">
        <f t="shared" ca="1" si="1"/>
        <v>787.5</v>
      </c>
      <c r="P16" s="3223" t="s">
        <v>3446</v>
      </c>
      <c r="Q16" s="3233">
        <f>ROUND((1+0.5*4)/5,1)</f>
        <v>0.6</v>
      </c>
    </row>
    <row r="17" spans="1:19">
      <c r="A17" s="3248">
        <v>16</v>
      </c>
      <c r="B17" s="3246" t="s">
        <v>3433</v>
      </c>
      <c r="C17" s="3247" t="s">
        <v>3366</v>
      </c>
      <c r="D17" s="3244" t="s">
        <v>3472</v>
      </c>
      <c r="E17" s="3206" t="s">
        <v>3348</v>
      </c>
      <c r="F17" s="3230" t="s">
        <v>3277</v>
      </c>
      <c r="G17" s="3230" t="s">
        <v>3218</v>
      </c>
      <c r="H17" s="3205">
        <v>184.08</v>
      </c>
      <c r="I17" s="3205">
        <f t="shared" si="0"/>
        <v>1</v>
      </c>
      <c r="J17" s="3205">
        <f>J16</f>
        <v>0.9</v>
      </c>
      <c r="K17" s="3205">
        <f>K13</f>
        <v>0.7</v>
      </c>
      <c r="L17" s="3205">
        <f t="shared" ca="1" si="2"/>
        <v>4.3</v>
      </c>
      <c r="M17" s="3205">
        <f t="shared" ca="1" si="1"/>
        <v>791.54</v>
      </c>
      <c r="P17" s="3223" t="s">
        <v>3447</v>
      </c>
      <c r="Q17" s="3233">
        <f>ROUND((2+3*0.5)/5,1)</f>
        <v>0.7</v>
      </c>
    </row>
    <row r="18" spans="1:19">
      <c r="A18" s="3248">
        <v>17</v>
      </c>
      <c r="B18" s="3246" t="s">
        <v>3433</v>
      </c>
      <c r="C18" s="3247" t="s">
        <v>3367</v>
      </c>
      <c r="D18" s="3244" t="s">
        <v>3473</v>
      </c>
      <c r="E18" s="3206" t="s">
        <v>3348</v>
      </c>
      <c r="F18" s="3230" t="s">
        <v>3277</v>
      </c>
      <c r="G18" s="3230" t="s">
        <v>3218</v>
      </c>
      <c r="H18" s="3205">
        <v>205.65</v>
      </c>
      <c r="I18" s="3205">
        <f t="shared" si="0"/>
        <v>0.98</v>
      </c>
      <c r="J18" s="3205">
        <f>J16</f>
        <v>0.9</v>
      </c>
      <c r="K18" s="3205">
        <f>K13</f>
        <v>0.7</v>
      </c>
      <c r="L18" s="3205">
        <f t="shared" ca="1" si="2"/>
        <v>4.3</v>
      </c>
      <c r="M18" s="3205">
        <f t="shared" ca="1" si="1"/>
        <v>884.3</v>
      </c>
      <c r="P18" s="3223" t="s">
        <v>3448</v>
      </c>
      <c r="Q18" s="3233">
        <f>ROUND((1+0.5*2)/3,1)</f>
        <v>0.7</v>
      </c>
    </row>
    <row r="19" spans="1:19">
      <c r="A19" s="3248">
        <v>18</v>
      </c>
      <c r="B19" s="3246" t="s">
        <v>3433</v>
      </c>
      <c r="C19" s="3247" t="s">
        <v>3368</v>
      </c>
      <c r="D19" s="3244" t="s">
        <v>3474</v>
      </c>
      <c r="E19" s="3206" t="s">
        <v>3348</v>
      </c>
      <c r="F19" s="3230" t="s">
        <v>3277</v>
      </c>
      <c r="G19" s="3230" t="s">
        <v>3218</v>
      </c>
      <c r="H19" s="3205">
        <v>319.12</v>
      </c>
      <c r="I19" s="3205">
        <f t="shared" si="0"/>
        <v>0.96</v>
      </c>
      <c r="J19" s="3205">
        <f>J16</f>
        <v>0.9</v>
      </c>
      <c r="K19" s="3205">
        <f>K13</f>
        <v>0.7</v>
      </c>
      <c r="L19" s="3205">
        <f t="shared" ca="1" si="2"/>
        <v>4.2</v>
      </c>
      <c r="M19" s="3205">
        <f t="shared" ca="1" si="1"/>
        <v>1340.3</v>
      </c>
      <c r="P19" s="3223" t="s">
        <v>3449</v>
      </c>
      <c r="Q19" s="3233">
        <f>ROUND((1+0.7)/2,1)</f>
        <v>0.9</v>
      </c>
    </row>
    <row r="20" spans="1:19">
      <c r="A20" s="3248">
        <v>19</v>
      </c>
      <c r="B20" s="3246" t="s">
        <v>3433</v>
      </c>
      <c r="C20" s="3247" t="s">
        <v>3369</v>
      </c>
      <c r="D20" s="3244" t="s">
        <v>3475</v>
      </c>
      <c r="E20" s="3206" t="s">
        <v>3348</v>
      </c>
      <c r="F20" s="3230" t="s">
        <v>3277</v>
      </c>
      <c r="G20" s="3230" t="s">
        <v>3218</v>
      </c>
      <c r="H20" s="3205">
        <v>233.7</v>
      </c>
      <c r="I20" s="3205">
        <f t="shared" si="0"/>
        <v>0.98</v>
      </c>
      <c r="J20" s="3205">
        <f>J16</f>
        <v>0.9</v>
      </c>
      <c r="K20" s="3205">
        <f>P3</f>
        <v>0.9</v>
      </c>
      <c r="L20" s="3205">
        <f t="shared" ca="1" si="2"/>
        <v>5.5</v>
      </c>
      <c r="M20" s="3205">
        <f t="shared" ca="1" si="1"/>
        <v>1285.3499999999999</v>
      </c>
      <c r="P20" s="3223" t="s">
        <v>3450</v>
      </c>
      <c r="Q20" s="3233">
        <f>ROUND((1+0.5*2)/3,1)</f>
        <v>0.7</v>
      </c>
    </row>
    <row r="21" spans="1:19">
      <c r="A21" s="3248">
        <v>20</v>
      </c>
      <c r="B21" s="3246" t="s">
        <v>3433</v>
      </c>
      <c r="C21" s="3247" t="s">
        <v>3370</v>
      </c>
      <c r="D21" s="3244" t="s">
        <v>3476</v>
      </c>
      <c r="E21" s="3206" t="s">
        <v>3348</v>
      </c>
      <c r="F21" s="3230" t="s">
        <v>3277</v>
      </c>
      <c r="G21" s="3230" t="s">
        <v>3218</v>
      </c>
      <c r="H21" s="3205">
        <v>279.70999999999998</v>
      </c>
      <c r="I21" s="3205">
        <f t="shared" si="0"/>
        <v>0.98</v>
      </c>
      <c r="J21" s="3205">
        <f>J16</f>
        <v>0.9</v>
      </c>
      <c r="K21" s="3205">
        <f>P3</f>
        <v>0.9</v>
      </c>
      <c r="L21" s="3205">
        <f t="shared" ca="1" si="2"/>
        <v>5.5</v>
      </c>
      <c r="M21" s="3205">
        <f t="shared" ca="1" si="1"/>
        <v>1538.41</v>
      </c>
      <c r="O21" s="3240" t="s">
        <v>3276</v>
      </c>
      <c r="P21" s="3240" t="s">
        <v>3274</v>
      </c>
      <c r="Q21" s="3240" t="s">
        <v>3273</v>
      </c>
      <c r="R21" s="3241" t="s">
        <v>3451</v>
      </c>
    </row>
    <row r="22" spans="1:19">
      <c r="A22" s="3248">
        <v>21</v>
      </c>
      <c r="B22" s="3246" t="s">
        <v>3433</v>
      </c>
      <c r="C22" s="3247" t="s">
        <v>3371</v>
      </c>
      <c r="D22" s="3244" t="s">
        <v>3477</v>
      </c>
      <c r="E22" s="3206" t="s">
        <v>3348</v>
      </c>
      <c r="F22" s="3230" t="s">
        <v>3277</v>
      </c>
      <c r="G22" s="3230" t="s">
        <v>3218</v>
      </c>
      <c r="H22" s="3205">
        <v>263.67</v>
      </c>
      <c r="I22" s="3205">
        <f t="shared" si="0"/>
        <v>0.98</v>
      </c>
      <c r="J22" s="3205">
        <f>J16</f>
        <v>0.9</v>
      </c>
      <c r="K22" s="3205">
        <f>P3</f>
        <v>0.9</v>
      </c>
      <c r="L22" s="3205">
        <f t="shared" ca="1" si="2"/>
        <v>5.5</v>
      </c>
      <c r="M22" s="3205">
        <f t="shared" ca="1" si="1"/>
        <v>1450.19</v>
      </c>
      <c r="O22" s="3240" t="s">
        <v>3430</v>
      </c>
      <c r="P22" s="3240" t="s">
        <v>3452</v>
      </c>
      <c r="Q22" s="3227">
        <f>SUM(H2:H3)</f>
        <v>277.11</v>
      </c>
      <c r="R22" s="3227">
        <f ca="1">ROUND(SUM(M2:M3)/Q22,1)</f>
        <v>6.9</v>
      </c>
      <c r="S22">
        <f ca="1">ROUND(Q22*R22,2)</f>
        <v>1912.06</v>
      </c>
    </row>
    <row r="23" spans="1:19">
      <c r="A23" s="3248">
        <v>22</v>
      </c>
      <c r="B23" s="3246" t="s">
        <v>3433</v>
      </c>
      <c r="C23" s="3247" t="s">
        <v>3372</v>
      </c>
      <c r="D23" s="3244" t="s">
        <v>3478</v>
      </c>
      <c r="E23" s="3206" t="s">
        <v>3348</v>
      </c>
      <c r="F23" s="3230" t="s">
        <v>3277</v>
      </c>
      <c r="G23" s="3230" t="s">
        <v>3218</v>
      </c>
      <c r="H23" s="3205">
        <v>342.44</v>
      </c>
      <c r="I23" s="3205">
        <f t="shared" si="0"/>
        <v>0.96</v>
      </c>
      <c r="J23" s="3205">
        <f>J16</f>
        <v>0.9</v>
      </c>
      <c r="K23" s="3205">
        <f>P3</f>
        <v>0.9</v>
      </c>
      <c r="L23" s="3205">
        <f t="shared" ca="1" si="2"/>
        <v>5.4</v>
      </c>
      <c r="M23" s="3205">
        <f t="shared" ca="1" si="1"/>
        <v>1849.18</v>
      </c>
      <c r="O23" s="3451" t="s">
        <v>3431</v>
      </c>
      <c r="P23" s="3240" t="s">
        <v>3452</v>
      </c>
      <c r="Q23" s="3227">
        <f>H4</f>
        <v>56.02</v>
      </c>
      <c r="R23" s="3227">
        <f ca="1">L4</f>
        <v>4.9000000000000004</v>
      </c>
      <c r="S23">
        <f t="shared" ref="S23:S31" ca="1" si="3">ROUND(Q23*R23,2)</f>
        <v>274.5</v>
      </c>
    </row>
    <row r="24" spans="1:19">
      <c r="A24" s="3248">
        <v>23</v>
      </c>
      <c r="B24" s="3246" t="s">
        <v>3433</v>
      </c>
      <c r="C24" s="3247" t="s">
        <v>3373</v>
      </c>
      <c r="D24" s="3244" t="s">
        <v>3479</v>
      </c>
      <c r="E24" s="3206" t="s">
        <v>3348</v>
      </c>
      <c r="F24" s="3230" t="s">
        <v>3277</v>
      </c>
      <c r="G24" s="3230" t="s">
        <v>3218</v>
      </c>
      <c r="H24" s="3205">
        <v>312.77999999999997</v>
      </c>
      <c r="I24" s="3205">
        <f t="shared" si="0"/>
        <v>0.96</v>
      </c>
      <c r="J24" s="3205">
        <f>J16</f>
        <v>0.9</v>
      </c>
      <c r="K24" s="3205">
        <f>P4</f>
        <v>0.7</v>
      </c>
      <c r="L24" s="3205">
        <f t="shared" ca="1" si="2"/>
        <v>4.2</v>
      </c>
      <c r="M24" s="3205">
        <f t="shared" ca="1" si="1"/>
        <v>1313.68</v>
      </c>
      <c r="O24" s="3451"/>
      <c r="P24" s="3240" t="s">
        <v>3453</v>
      </c>
      <c r="Q24" s="3227">
        <f>SUM(H5:H8)</f>
        <v>775.62999999999988</v>
      </c>
      <c r="R24" s="3227">
        <f ca="1">ROUND(SUM(M5:M8)/Q24,1)</f>
        <v>3.9</v>
      </c>
      <c r="S24">
        <f t="shared" ca="1" si="3"/>
        <v>3024.96</v>
      </c>
    </row>
    <row r="25" spans="1:19">
      <c r="A25" s="3248">
        <v>24</v>
      </c>
      <c r="B25" s="3246" t="s">
        <v>3433</v>
      </c>
      <c r="C25" s="3247" t="s">
        <v>3374</v>
      </c>
      <c r="D25" s="3244" t="s">
        <v>3480</v>
      </c>
      <c r="E25" s="3206" t="s">
        <v>3348</v>
      </c>
      <c r="F25" s="3230" t="s">
        <v>3277</v>
      </c>
      <c r="G25" s="3230" t="s">
        <v>3218</v>
      </c>
      <c r="H25" s="3205">
        <v>283.81</v>
      </c>
      <c r="I25" s="3205">
        <f t="shared" si="0"/>
        <v>0.98</v>
      </c>
      <c r="J25" s="3205">
        <f>J16</f>
        <v>0.9</v>
      </c>
      <c r="K25" s="3205">
        <f>P4</f>
        <v>0.7</v>
      </c>
      <c r="L25" s="3205">
        <f t="shared" ca="1" si="2"/>
        <v>4.3</v>
      </c>
      <c r="M25" s="3205">
        <f t="shared" ca="1" si="1"/>
        <v>1220.3800000000001</v>
      </c>
      <c r="O25" s="3451"/>
      <c r="P25" s="3240" t="s">
        <v>3454</v>
      </c>
      <c r="Q25" s="3227">
        <f>SUM(H9:H11)</f>
        <v>758.26</v>
      </c>
      <c r="R25" s="3227">
        <f ca="1">ROUND(SUM(M9:M11)/Q25,1)</f>
        <v>3.1</v>
      </c>
      <c r="S25">
        <f t="shared" ca="1" si="3"/>
        <v>2350.61</v>
      </c>
    </row>
    <row r="26" spans="1:19">
      <c r="A26" s="3248">
        <v>25</v>
      </c>
      <c r="B26" s="3246" t="s">
        <v>3433</v>
      </c>
      <c r="C26" s="3252" t="s">
        <v>3375</v>
      </c>
      <c r="D26" s="3207" t="s">
        <v>3481</v>
      </c>
      <c r="E26" s="3206" t="s">
        <v>3348</v>
      </c>
      <c r="F26" s="3225" t="s">
        <v>3279</v>
      </c>
      <c r="G26" s="3225" t="s">
        <v>3218</v>
      </c>
      <c r="H26" s="3174">
        <v>79.17</v>
      </c>
      <c r="I26" s="3174">
        <f t="shared" si="0"/>
        <v>1.02</v>
      </c>
      <c r="J26" s="3174">
        <f>P6</f>
        <v>0.7</v>
      </c>
      <c r="K26" s="3174">
        <f>P3</f>
        <v>0.9</v>
      </c>
      <c r="L26" s="3174">
        <f t="shared" ca="1" si="2"/>
        <v>4.4000000000000004</v>
      </c>
      <c r="M26" s="3174">
        <f t="shared" ca="1" si="1"/>
        <v>348.35</v>
      </c>
      <c r="O26" s="3451" t="s">
        <v>3433</v>
      </c>
      <c r="P26" s="3240" t="s">
        <v>3452</v>
      </c>
      <c r="Q26" s="3227">
        <f>SUM(H12:H15)</f>
        <v>360.45</v>
      </c>
      <c r="R26" s="3227">
        <f ca="1">ROUND(SUM(M12:M15)/Q26,1)</f>
        <v>5.0999999999999996</v>
      </c>
      <c r="S26">
        <f t="shared" ca="1" si="3"/>
        <v>1838.3</v>
      </c>
    </row>
    <row r="27" spans="1:19">
      <c r="A27" s="3248">
        <v>26</v>
      </c>
      <c r="B27" s="3246" t="s">
        <v>3433</v>
      </c>
      <c r="C27" s="3252" t="s">
        <v>3376</v>
      </c>
      <c r="D27" s="3207" t="s">
        <v>3482</v>
      </c>
      <c r="E27" s="3206" t="s">
        <v>3348</v>
      </c>
      <c r="F27" s="3225" t="s">
        <v>3279</v>
      </c>
      <c r="G27" s="3225" t="s">
        <v>3218</v>
      </c>
      <c r="H27" s="3174">
        <v>119.32</v>
      </c>
      <c r="I27" s="3174">
        <f t="shared" si="0"/>
        <v>1</v>
      </c>
      <c r="J27" s="3174">
        <f>J26</f>
        <v>0.7</v>
      </c>
      <c r="K27" s="3174">
        <f>P3</f>
        <v>0.9</v>
      </c>
      <c r="L27" s="3174">
        <f t="shared" ca="1" si="2"/>
        <v>4.3</v>
      </c>
      <c r="M27" s="3174">
        <f t="shared" ca="1" si="1"/>
        <v>513.08000000000004</v>
      </c>
      <c r="O27" s="3451"/>
      <c r="P27" s="3240" t="s">
        <v>3453</v>
      </c>
      <c r="Q27" s="3227">
        <f>SUM(H16:H25)</f>
        <v>2608.1</v>
      </c>
      <c r="R27" s="3227">
        <f ca="1">ROUND(SUM(M16:M25)/Q27,1)</f>
        <v>4.8</v>
      </c>
      <c r="S27">
        <f t="shared" ca="1" si="3"/>
        <v>12518.88</v>
      </c>
    </row>
    <row r="28" spans="1:19">
      <c r="A28" s="3248">
        <v>27</v>
      </c>
      <c r="B28" s="3246" t="s">
        <v>3433</v>
      </c>
      <c r="C28" s="3252" t="s">
        <v>3377</v>
      </c>
      <c r="D28" s="3207" t="s">
        <v>3483</v>
      </c>
      <c r="E28" s="3206" t="s">
        <v>3348</v>
      </c>
      <c r="F28" s="3225" t="s">
        <v>3279</v>
      </c>
      <c r="G28" s="3225" t="s">
        <v>3218</v>
      </c>
      <c r="H28" s="3174">
        <v>117.06</v>
      </c>
      <c r="I28" s="3174">
        <f t="shared" si="0"/>
        <v>1</v>
      </c>
      <c r="J28" s="3174">
        <f>J27</f>
        <v>0.7</v>
      </c>
      <c r="K28" s="3174">
        <f>P4</f>
        <v>0.7</v>
      </c>
      <c r="L28" s="3174">
        <f t="shared" ca="1" si="2"/>
        <v>3.4</v>
      </c>
      <c r="M28" s="3174">
        <f t="shared" ca="1" si="1"/>
        <v>398</v>
      </c>
      <c r="O28" s="3451"/>
      <c r="P28" s="3240" t="s">
        <v>3462</v>
      </c>
      <c r="Q28" s="3227">
        <f>SUM(H26:H32)</f>
        <v>712.41</v>
      </c>
      <c r="R28" s="3227">
        <f ca="1">ROUND(SUM(M26:M32)/Q28,1)</f>
        <v>3.7</v>
      </c>
      <c r="S28">
        <f t="shared" ca="1" si="3"/>
        <v>2635.92</v>
      </c>
    </row>
    <row r="29" spans="1:19">
      <c r="A29" s="3248">
        <v>28</v>
      </c>
      <c r="B29" s="3246" t="s">
        <v>3433</v>
      </c>
      <c r="C29" s="3252" t="s">
        <v>3378</v>
      </c>
      <c r="D29" s="3207" t="s">
        <v>3484</v>
      </c>
      <c r="E29" s="3206" t="s">
        <v>3348</v>
      </c>
      <c r="F29" s="3225" t="s">
        <v>3279</v>
      </c>
      <c r="G29" s="3225" t="s">
        <v>3218</v>
      </c>
      <c r="H29" s="3174">
        <v>118.8</v>
      </c>
      <c r="I29" s="3174">
        <f t="shared" si="0"/>
        <v>1</v>
      </c>
      <c r="J29" s="3174">
        <f>J28</f>
        <v>0.7</v>
      </c>
      <c r="K29" s="3174">
        <f>P4</f>
        <v>0.7</v>
      </c>
      <c r="L29" s="3174">
        <f t="shared" ca="1" si="2"/>
        <v>3.4</v>
      </c>
      <c r="M29" s="3174">
        <f t="shared" ca="1" si="1"/>
        <v>403.92</v>
      </c>
      <c r="O29" s="3451"/>
      <c r="P29" s="3240" t="s">
        <v>3455</v>
      </c>
      <c r="Q29" s="3227">
        <f>SUM(H39:H53)</f>
        <v>2039.01</v>
      </c>
      <c r="R29" s="3227">
        <f ca="1">ROUND(SUM(M39:M53)/Q29,1)</f>
        <v>1.5</v>
      </c>
      <c r="S29">
        <f t="shared" ca="1" si="3"/>
        <v>3058.52</v>
      </c>
    </row>
    <row r="30" spans="1:19">
      <c r="A30" s="3248">
        <v>29</v>
      </c>
      <c r="B30" s="3246" t="s">
        <v>3433</v>
      </c>
      <c r="C30" s="3252" t="s">
        <v>3379</v>
      </c>
      <c r="D30" s="3207" t="s">
        <v>3485</v>
      </c>
      <c r="E30" s="3206" t="s">
        <v>3348</v>
      </c>
      <c r="F30" s="3225" t="s">
        <v>3279</v>
      </c>
      <c r="G30" s="3225" t="s">
        <v>3218</v>
      </c>
      <c r="H30" s="3174">
        <v>56.77</v>
      </c>
      <c r="I30" s="3174">
        <f t="shared" si="0"/>
        <v>1.02</v>
      </c>
      <c r="J30" s="3174">
        <f>J28</f>
        <v>0.7</v>
      </c>
      <c r="K30" s="3174">
        <f>P4</f>
        <v>0.7</v>
      </c>
      <c r="L30" s="3174">
        <f t="shared" ca="1" si="2"/>
        <v>3.4</v>
      </c>
      <c r="M30" s="3174">
        <f t="shared" ca="1" si="1"/>
        <v>193.02</v>
      </c>
      <c r="O30" s="3451" t="s">
        <v>3432</v>
      </c>
      <c r="P30" s="3240" t="s">
        <v>3453</v>
      </c>
      <c r="Q30" s="3227">
        <f>SUM(H33:H35)</f>
        <v>254.44</v>
      </c>
      <c r="R30" s="3227">
        <f ca="1">ROUND(SUM(M33:M35)/Q30,1)</f>
        <v>6.9</v>
      </c>
      <c r="S30">
        <f t="shared" ca="1" si="3"/>
        <v>1755.64</v>
      </c>
    </row>
    <row r="31" spans="1:19">
      <c r="A31" s="3248">
        <v>30</v>
      </c>
      <c r="B31" s="3246" t="s">
        <v>3433</v>
      </c>
      <c r="C31" s="3252" t="s">
        <v>3380</v>
      </c>
      <c r="D31" s="3207" t="s">
        <v>3486</v>
      </c>
      <c r="E31" s="3206" t="s">
        <v>3348</v>
      </c>
      <c r="F31" s="3225" t="s">
        <v>3279</v>
      </c>
      <c r="G31" s="3225" t="s">
        <v>3218</v>
      </c>
      <c r="H31" s="3174">
        <v>112.15</v>
      </c>
      <c r="I31" s="3174">
        <f t="shared" si="0"/>
        <v>1</v>
      </c>
      <c r="J31" s="3174">
        <f>J30</f>
        <v>0.7</v>
      </c>
      <c r="K31" s="3174">
        <f>P4</f>
        <v>0.7</v>
      </c>
      <c r="L31" s="3174">
        <f t="shared" ca="1" si="2"/>
        <v>3.4</v>
      </c>
      <c r="M31" s="3174">
        <f t="shared" ca="1" si="1"/>
        <v>381.31</v>
      </c>
      <c r="O31" s="3451"/>
      <c r="P31" s="3240" t="s">
        <v>3454</v>
      </c>
      <c r="Q31" s="3227">
        <f>SUM(H36:H38)</f>
        <v>943.27</v>
      </c>
      <c r="R31" s="3227">
        <f ca="1">ROUND(SUM(M36:M38)/Q31,1)</f>
        <v>4.5999999999999996</v>
      </c>
      <c r="S31">
        <f t="shared" ca="1" si="3"/>
        <v>4339.04</v>
      </c>
    </row>
    <row r="32" spans="1:19">
      <c r="A32" s="3248">
        <v>31</v>
      </c>
      <c r="B32" s="3246" t="s">
        <v>3433</v>
      </c>
      <c r="C32" s="3252" t="s">
        <v>3381</v>
      </c>
      <c r="D32" s="3207" t="s">
        <v>3487</v>
      </c>
      <c r="E32" s="3206" t="s">
        <v>3348</v>
      </c>
      <c r="F32" s="3225" t="s">
        <v>3279</v>
      </c>
      <c r="G32" s="3225" t="s">
        <v>3218</v>
      </c>
      <c r="H32" s="3174">
        <v>109.14</v>
      </c>
      <c r="I32" s="3174">
        <f t="shared" si="0"/>
        <v>1</v>
      </c>
      <c r="J32" s="3174">
        <f>J31</f>
        <v>0.7</v>
      </c>
      <c r="K32" s="3174">
        <f>P4</f>
        <v>0.7</v>
      </c>
      <c r="L32" s="3174">
        <f t="shared" ca="1" si="2"/>
        <v>3.4</v>
      </c>
      <c r="M32" s="3174">
        <f t="shared" ca="1" si="1"/>
        <v>371.08</v>
      </c>
      <c r="O32" s="3451" t="s">
        <v>3456</v>
      </c>
      <c r="P32" s="3452"/>
      <c r="Q32" s="3242">
        <f>SUM(Q22:Q31)</f>
        <v>8784.6999999999989</v>
      </c>
      <c r="R32" s="3227">
        <f ca="1">ROUND(S32/Q32,1)</f>
        <v>3.8</v>
      </c>
      <c r="S32" s="3239">
        <f ca="1">SUM(S22:S31)</f>
        <v>33708.429999999993</v>
      </c>
    </row>
    <row r="33" spans="1:18">
      <c r="A33" s="3248">
        <v>32</v>
      </c>
      <c r="B33" s="3246" t="s">
        <v>3432</v>
      </c>
      <c r="C33" s="3249" t="s">
        <v>3354</v>
      </c>
      <c r="D33" s="3206" t="s">
        <v>3403</v>
      </c>
      <c r="E33" s="3206" t="s">
        <v>3348</v>
      </c>
      <c r="F33" s="3219" t="s">
        <v>3434</v>
      </c>
      <c r="G33" s="3219" t="s">
        <v>3351</v>
      </c>
      <c r="H33" s="3173">
        <v>101.15</v>
      </c>
      <c r="I33" s="3173">
        <f t="shared" ref="I33:I38" si="4">IF(H33&lt;100,1.02,IF(H33&lt;200,1,IF(H33&lt;300,0.98,0.96)))</f>
        <v>1</v>
      </c>
      <c r="J33" s="3173">
        <v>1</v>
      </c>
      <c r="K33" s="3173">
        <f>P2</f>
        <v>1</v>
      </c>
      <c r="L33" s="3173">
        <f ca="1">ROUND($L$2*I33*J33*K33,1)</f>
        <v>6.9</v>
      </c>
      <c r="M33" s="3173">
        <f t="shared" ref="M33:M38" ca="1" si="5">ROUND(L33*H33,2)</f>
        <v>697.94</v>
      </c>
    </row>
    <row r="34" spans="1:18">
      <c r="A34" s="3248">
        <v>33</v>
      </c>
      <c r="B34" s="3246" t="s">
        <v>3432</v>
      </c>
      <c r="C34" s="3249" t="s">
        <v>3355</v>
      </c>
      <c r="D34" s="3206" t="s">
        <v>3404</v>
      </c>
      <c r="E34" s="3206" t="s">
        <v>3348</v>
      </c>
      <c r="F34" s="3219" t="s">
        <v>3434</v>
      </c>
      <c r="G34" s="3219" t="s">
        <v>3351</v>
      </c>
      <c r="H34" s="3173">
        <v>104.42</v>
      </c>
      <c r="I34" s="3173">
        <f t="shared" si="4"/>
        <v>1</v>
      </c>
      <c r="J34" s="3173">
        <v>1</v>
      </c>
      <c r="K34" s="3173">
        <f>P2</f>
        <v>1</v>
      </c>
      <c r="L34" s="3173">
        <f t="shared" ref="L34:L38" ca="1" si="6">ROUND($L$2*I34*J34*K34,1)</f>
        <v>6.9</v>
      </c>
      <c r="M34" s="3173">
        <f t="shared" ca="1" si="5"/>
        <v>720.5</v>
      </c>
    </row>
    <row r="35" spans="1:18">
      <c r="A35" s="3248">
        <v>34</v>
      </c>
      <c r="B35" s="3246" t="s">
        <v>3432</v>
      </c>
      <c r="C35" s="3249" t="s">
        <v>3356</v>
      </c>
      <c r="D35" s="3206" t="s">
        <v>3405</v>
      </c>
      <c r="E35" s="3206" t="s">
        <v>3348</v>
      </c>
      <c r="F35" s="3219" t="s">
        <v>3434</v>
      </c>
      <c r="G35" s="3219" t="s">
        <v>3351</v>
      </c>
      <c r="H35" s="3173">
        <v>48.87</v>
      </c>
      <c r="I35" s="3173">
        <f t="shared" si="4"/>
        <v>1.02</v>
      </c>
      <c r="J35" s="3173">
        <v>1</v>
      </c>
      <c r="K35" s="3173">
        <f>P2</f>
        <v>1</v>
      </c>
      <c r="L35" s="3173">
        <f t="shared" ca="1" si="6"/>
        <v>7</v>
      </c>
      <c r="M35" s="3173">
        <f t="shared" ca="1" si="5"/>
        <v>342.09</v>
      </c>
      <c r="P35" t="str">
        <f>E2</f>
        <v>北京城市开发集团有限责任公司</v>
      </c>
      <c r="Q35">
        <f>SUMIF(E2:E53,P35,H2:H53)</f>
        <v>7675.58</v>
      </c>
    </row>
    <row r="36" spans="1:18">
      <c r="A36" s="3248">
        <v>35</v>
      </c>
      <c r="B36" s="3250" t="s">
        <v>3432</v>
      </c>
      <c r="C36" s="3251" t="s">
        <v>3385</v>
      </c>
      <c r="D36" s="3236" t="s">
        <v>3492</v>
      </c>
      <c r="E36" s="3236" t="s">
        <v>3348</v>
      </c>
      <c r="F36" s="3237" t="s">
        <v>3278</v>
      </c>
      <c r="G36" s="3237" t="s">
        <v>3491</v>
      </c>
      <c r="H36" s="3238">
        <v>359.07</v>
      </c>
      <c r="I36" s="3238">
        <f t="shared" si="4"/>
        <v>0.96</v>
      </c>
      <c r="J36" s="3238">
        <f>Q20</f>
        <v>0.7</v>
      </c>
      <c r="K36" s="3238">
        <f>P2</f>
        <v>1</v>
      </c>
      <c r="L36" s="3238">
        <f t="shared" ca="1" si="6"/>
        <v>4.5999999999999996</v>
      </c>
      <c r="M36" s="3238">
        <f t="shared" ca="1" si="5"/>
        <v>1651.72</v>
      </c>
      <c r="P36" t="str">
        <f>E42</f>
        <v>北京首城置业有限公司</v>
      </c>
      <c r="Q36">
        <f>SUMIF(E2:E54,P36,H2:H54)</f>
        <v>1109.1200000000001</v>
      </c>
    </row>
    <row r="37" spans="1:18">
      <c r="A37" s="3248">
        <v>36</v>
      </c>
      <c r="B37" s="3250" t="s">
        <v>3432</v>
      </c>
      <c r="C37" s="3251" t="s">
        <v>3386</v>
      </c>
      <c r="D37" s="3236" t="s">
        <v>3493</v>
      </c>
      <c r="E37" s="3236" t="s">
        <v>3348</v>
      </c>
      <c r="F37" s="3237" t="s">
        <v>3278</v>
      </c>
      <c r="G37" s="3237" t="s">
        <v>3491</v>
      </c>
      <c r="H37" s="3238">
        <v>320.08999999999997</v>
      </c>
      <c r="I37" s="3238">
        <f t="shared" si="4"/>
        <v>0.96</v>
      </c>
      <c r="J37" s="3238">
        <f>Q20</f>
        <v>0.7</v>
      </c>
      <c r="K37" s="3238">
        <f>P2</f>
        <v>1</v>
      </c>
      <c r="L37" s="3238">
        <f t="shared" ca="1" si="6"/>
        <v>4.5999999999999996</v>
      </c>
      <c r="M37" s="3238">
        <f t="shared" ca="1" si="5"/>
        <v>1472.41</v>
      </c>
      <c r="Q37">
        <f>Q35+Q36</f>
        <v>8784.7000000000007</v>
      </c>
    </row>
    <row r="38" spans="1:18">
      <c r="A38" s="3248">
        <v>37</v>
      </c>
      <c r="B38" s="3250" t="s">
        <v>3432</v>
      </c>
      <c r="C38" s="3251" t="s">
        <v>3387</v>
      </c>
      <c r="D38" s="3236" t="s">
        <v>3494</v>
      </c>
      <c r="E38" s="3236" t="s">
        <v>3348</v>
      </c>
      <c r="F38" s="3237" t="s">
        <v>3278</v>
      </c>
      <c r="G38" s="3237" t="s">
        <v>3491</v>
      </c>
      <c r="H38" s="3238">
        <v>264.11</v>
      </c>
      <c r="I38" s="3238">
        <f t="shared" si="4"/>
        <v>0.98</v>
      </c>
      <c r="J38" s="3238">
        <f>Q20</f>
        <v>0.7</v>
      </c>
      <c r="K38" s="3238">
        <f>P2</f>
        <v>1</v>
      </c>
      <c r="L38" s="3238">
        <f t="shared" ca="1" si="6"/>
        <v>4.7</v>
      </c>
      <c r="M38" s="3238">
        <f t="shared" ca="1" si="5"/>
        <v>1241.32</v>
      </c>
    </row>
    <row r="39" spans="1:18" ht="27">
      <c r="A39" s="3248">
        <v>1</v>
      </c>
      <c r="B39" s="3246" t="s">
        <v>3433</v>
      </c>
      <c r="C39" s="3253" t="s">
        <v>3495</v>
      </c>
      <c r="D39" s="3208" t="s">
        <v>3496</v>
      </c>
      <c r="E39" s="3208" t="s">
        <v>3348</v>
      </c>
      <c r="F39" s="3224" t="s">
        <v>3281</v>
      </c>
      <c r="G39" s="3224" t="s">
        <v>3282</v>
      </c>
      <c r="H39" s="3175">
        <v>131.88</v>
      </c>
      <c r="I39" s="3175">
        <f t="shared" si="0"/>
        <v>1</v>
      </c>
      <c r="J39" s="3175">
        <v>1</v>
      </c>
      <c r="K39" s="3175"/>
      <c r="L39" s="3175">
        <f ca="1">ROUND('结果一览表-库房'!D37,1)</f>
        <v>1.5</v>
      </c>
      <c r="M39" s="3175">
        <f t="shared" ca="1" si="1"/>
        <v>197.82</v>
      </c>
      <c r="O39" s="3233"/>
      <c r="P39" s="3233"/>
      <c r="Q39" s="3233"/>
      <c r="R39" s="3233"/>
    </row>
    <row r="40" spans="1:18" ht="27">
      <c r="A40" s="3248">
        <v>2</v>
      </c>
      <c r="B40" s="3246" t="s">
        <v>3433</v>
      </c>
      <c r="C40" s="3253" t="s">
        <v>3497</v>
      </c>
      <c r="D40" s="3208" t="s">
        <v>3510</v>
      </c>
      <c r="E40" s="3208" t="s">
        <v>3348</v>
      </c>
      <c r="F40" s="3224" t="s">
        <v>3281</v>
      </c>
      <c r="G40" s="3224" t="s">
        <v>3282</v>
      </c>
      <c r="H40" s="3175">
        <v>134.19</v>
      </c>
      <c r="I40" s="3175">
        <f t="shared" si="0"/>
        <v>1</v>
      </c>
      <c r="J40" s="3175">
        <v>1</v>
      </c>
      <c r="K40" s="3175"/>
      <c r="L40" s="3175">
        <f ca="1">ROUND($L$39*I40*J40,1)</f>
        <v>1.5</v>
      </c>
      <c r="M40" s="3175">
        <f t="shared" ca="1" si="1"/>
        <v>201.29</v>
      </c>
      <c r="O40" s="3233"/>
      <c r="P40" s="3233"/>
      <c r="Q40" s="3233"/>
      <c r="R40" s="3233"/>
    </row>
    <row r="41" spans="1:18" ht="27">
      <c r="A41" s="3248">
        <v>3</v>
      </c>
      <c r="B41" s="3246" t="s">
        <v>3433</v>
      </c>
      <c r="C41" s="3253" t="s">
        <v>3498</v>
      </c>
      <c r="D41" s="3208" t="s">
        <v>3511</v>
      </c>
      <c r="E41" s="3208" t="s">
        <v>3348</v>
      </c>
      <c r="F41" s="3224" t="s">
        <v>3281</v>
      </c>
      <c r="G41" s="3224" t="s">
        <v>3282</v>
      </c>
      <c r="H41" s="3175">
        <v>137.80000000000001</v>
      </c>
      <c r="I41" s="3175">
        <f t="shared" si="0"/>
        <v>1</v>
      </c>
      <c r="J41" s="3175">
        <v>1</v>
      </c>
      <c r="K41" s="3175"/>
      <c r="L41" s="3175">
        <f t="shared" ref="L41:L53" ca="1" si="7">ROUND($L$39*I41*J41,1)</f>
        <v>1.5</v>
      </c>
      <c r="M41" s="3175">
        <f t="shared" ca="1" si="1"/>
        <v>206.7</v>
      </c>
    </row>
    <row r="42" spans="1:18" ht="27">
      <c r="A42" s="3248">
        <v>4</v>
      </c>
      <c r="B42" s="3246" t="s">
        <v>3433</v>
      </c>
      <c r="C42" s="3253" t="s">
        <v>3499</v>
      </c>
      <c r="D42" s="3245" t="s">
        <v>3543</v>
      </c>
      <c r="E42" s="3245" t="s">
        <v>3542</v>
      </c>
      <c r="F42" s="3224" t="s">
        <v>3281</v>
      </c>
      <c r="G42" s="3224" t="s">
        <v>3282</v>
      </c>
      <c r="H42" s="3175">
        <v>153.52000000000001</v>
      </c>
      <c r="I42" s="3175">
        <f t="shared" si="0"/>
        <v>1</v>
      </c>
      <c r="J42" s="3175">
        <v>1</v>
      </c>
      <c r="K42" s="3175"/>
      <c r="L42" s="3175">
        <f t="shared" ca="1" si="7"/>
        <v>1.5</v>
      </c>
      <c r="M42" s="3175">
        <f t="shared" ca="1" si="1"/>
        <v>230.28</v>
      </c>
    </row>
    <row r="43" spans="1:18" ht="27">
      <c r="A43" s="3248">
        <v>5</v>
      </c>
      <c r="B43" s="3246" t="s">
        <v>3433</v>
      </c>
      <c r="C43" s="3253" t="s">
        <v>3500</v>
      </c>
      <c r="D43" s="3245" t="s">
        <v>3543</v>
      </c>
      <c r="E43" s="3245" t="s">
        <v>3542</v>
      </c>
      <c r="F43" s="3224" t="s">
        <v>3281</v>
      </c>
      <c r="G43" s="3224" t="s">
        <v>3282</v>
      </c>
      <c r="H43" s="3175">
        <v>91.97</v>
      </c>
      <c r="I43" s="3175">
        <f t="shared" si="0"/>
        <v>1.02</v>
      </c>
      <c r="J43" s="3175">
        <v>1</v>
      </c>
      <c r="K43" s="3175"/>
      <c r="L43" s="3175">
        <f t="shared" ca="1" si="7"/>
        <v>1.5</v>
      </c>
      <c r="M43" s="3175">
        <f t="shared" ca="1" si="1"/>
        <v>137.96</v>
      </c>
    </row>
    <row r="44" spans="1:18" ht="27">
      <c r="A44" s="3248">
        <v>6</v>
      </c>
      <c r="B44" s="3246" t="s">
        <v>3433</v>
      </c>
      <c r="C44" s="3253" t="s">
        <v>3501</v>
      </c>
      <c r="D44" s="3208" t="s">
        <v>3512</v>
      </c>
      <c r="E44" s="3208" t="s">
        <v>3348</v>
      </c>
      <c r="F44" s="3224" t="s">
        <v>3281</v>
      </c>
      <c r="G44" s="3224" t="s">
        <v>3282</v>
      </c>
      <c r="H44" s="3175">
        <v>124.97</v>
      </c>
      <c r="I44" s="3175">
        <f t="shared" si="0"/>
        <v>1</v>
      </c>
      <c r="J44" s="3175">
        <v>1</v>
      </c>
      <c r="K44" s="3175"/>
      <c r="L44" s="3175">
        <f t="shared" ca="1" si="7"/>
        <v>1.5</v>
      </c>
      <c r="M44" s="3175">
        <f t="shared" ca="1" si="1"/>
        <v>187.46</v>
      </c>
    </row>
    <row r="45" spans="1:18" ht="27">
      <c r="A45" s="3248">
        <v>7</v>
      </c>
      <c r="B45" s="3246" t="s">
        <v>3433</v>
      </c>
      <c r="C45" s="3253" t="s">
        <v>3502</v>
      </c>
      <c r="D45" s="3245" t="s">
        <v>3543</v>
      </c>
      <c r="E45" s="3245" t="s">
        <v>3542</v>
      </c>
      <c r="F45" s="3224" t="s">
        <v>3281</v>
      </c>
      <c r="G45" s="3224" t="s">
        <v>3282</v>
      </c>
      <c r="H45" s="3175">
        <v>123.94</v>
      </c>
      <c r="I45" s="3175">
        <f t="shared" si="0"/>
        <v>1</v>
      </c>
      <c r="J45" s="3175">
        <v>1</v>
      </c>
      <c r="K45" s="3175"/>
      <c r="L45" s="3175">
        <f t="shared" ca="1" si="7"/>
        <v>1.5</v>
      </c>
      <c r="M45" s="3175">
        <f t="shared" ca="1" si="1"/>
        <v>185.91</v>
      </c>
    </row>
    <row r="46" spans="1:18" ht="27">
      <c r="A46" s="3248">
        <v>8</v>
      </c>
      <c r="B46" s="3246" t="s">
        <v>3433</v>
      </c>
      <c r="C46" s="3253" t="s">
        <v>3503</v>
      </c>
      <c r="D46" s="3245" t="s">
        <v>3543</v>
      </c>
      <c r="E46" s="3245" t="s">
        <v>3542</v>
      </c>
      <c r="F46" s="3224" t="s">
        <v>3281</v>
      </c>
      <c r="G46" s="3224" t="s">
        <v>3282</v>
      </c>
      <c r="H46" s="3175">
        <v>124.97</v>
      </c>
      <c r="I46" s="3175">
        <f t="shared" si="0"/>
        <v>1</v>
      </c>
      <c r="J46" s="3175">
        <v>1</v>
      </c>
      <c r="K46" s="3175"/>
      <c r="L46" s="3175">
        <f t="shared" ca="1" si="7"/>
        <v>1.5</v>
      </c>
      <c r="M46" s="3175">
        <f t="shared" ca="1" si="1"/>
        <v>187.46</v>
      </c>
    </row>
    <row r="47" spans="1:18" ht="27">
      <c r="A47" s="3248">
        <v>9</v>
      </c>
      <c r="B47" s="3246" t="s">
        <v>3433</v>
      </c>
      <c r="C47" s="3253" t="s">
        <v>3504</v>
      </c>
      <c r="D47" s="3208" t="s">
        <v>3513</v>
      </c>
      <c r="E47" s="3208" t="s">
        <v>3348</v>
      </c>
      <c r="F47" s="3224" t="s">
        <v>3281</v>
      </c>
      <c r="G47" s="3224" t="s">
        <v>3282</v>
      </c>
      <c r="H47" s="3175">
        <v>97.68</v>
      </c>
      <c r="I47" s="3175">
        <f t="shared" si="0"/>
        <v>1.02</v>
      </c>
      <c r="J47" s="3175">
        <v>1</v>
      </c>
      <c r="K47" s="3175"/>
      <c r="L47" s="3175">
        <f t="shared" ca="1" si="7"/>
        <v>1.5</v>
      </c>
      <c r="M47" s="3175">
        <f t="shared" ca="1" si="1"/>
        <v>146.52000000000001</v>
      </c>
    </row>
    <row r="48" spans="1:18" ht="27">
      <c r="A48" s="3248">
        <v>10</v>
      </c>
      <c r="B48" s="3246" t="s">
        <v>3433</v>
      </c>
      <c r="C48" s="3253" t="s">
        <v>3505</v>
      </c>
      <c r="D48" s="3208" t="s">
        <v>3514</v>
      </c>
      <c r="E48" s="3208" t="s">
        <v>3348</v>
      </c>
      <c r="F48" s="3224" t="s">
        <v>3281</v>
      </c>
      <c r="G48" s="3224" t="s">
        <v>3282</v>
      </c>
      <c r="H48" s="3175">
        <v>137.05000000000001</v>
      </c>
      <c r="I48" s="3175">
        <f t="shared" si="0"/>
        <v>1</v>
      </c>
      <c r="J48" s="3175">
        <v>1</v>
      </c>
      <c r="K48" s="3175"/>
      <c r="L48" s="3175">
        <f t="shared" ca="1" si="7"/>
        <v>1.5</v>
      </c>
      <c r="M48" s="3175">
        <f t="shared" ca="1" si="1"/>
        <v>205.58</v>
      </c>
    </row>
    <row r="49" spans="1:13" ht="27">
      <c r="A49" s="3248">
        <v>11</v>
      </c>
      <c r="B49" s="3246" t="s">
        <v>3433</v>
      </c>
      <c r="C49" s="3253" t="s">
        <v>3506</v>
      </c>
      <c r="D49" s="3208" t="s">
        <v>3515</v>
      </c>
      <c r="E49" s="3208" t="s">
        <v>3348</v>
      </c>
      <c r="F49" s="3224" t="s">
        <v>3281</v>
      </c>
      <c r="G49" s="3224" t="s">
        <v>3282</v>
      </c>
      <c r="H49" s="3175">
        <v>166.32</v>
      </c>
      <c r="I49" s="3175">
        <f t="shared" si="0"/>
        <v>1</v>
      </c>
      <c r="J49" s="3175">
        <v>1</v>
      </c>
      <c r="K49" s="3175"/>
      <c r="L49" s="3175">
        <f t="shared" ca="1" si="7"/>
        <v>1.5</v>
      </c>
      <c r="M49" s="3175">
        <f t="shared" ca="1" si="1"/>
        <v>249.48</v>
      </c>
    </row>
    <row r="50" spans="1:13" ht="27">
      <c r="A50" s="3248">
        <v>12</v>
      </c>
      <c r="B50" s="3246" t="s">
        <v>3433</v>
      </c>
      <c r="C50" s="3253" t="s">
        <v>3544</v>
      </c>
      <c r="D50" s="3245" t="s">
        <v>3543</v>
      </c>
      <c r="E50" s="3245" t="s">
        <v>3542</v>
      </c>
      <c r="F50" s="3224" t="s">
        <v>3281</v>
      </c>
      <c r="G50" s="3224" t="s">
        <v>3282</v>
      </c>
      <c r="H50" s="3175">
        <v>164.96</v>
      </c>
      <c r="I50" s="3175">
        <f t="shared" si="0"/>
        <v>1</v>
      </c>
      <c r="J50" s="3175">
        <v>1</v>
      </c>
      <c r="K50" s="3175"/>
      <c r="L50" s="3175">
        <f t="shared" ca="1" si="7"/>
        <v>1.5</v>
      </c>
      <c r="M50" s="3175">
        <f t="shared" ca="1" si="1"/>
        <v>247.44</v>
      </c>
    </row>
    <row r="51" spans="1:13" ht="27">
      <c r="A51" s="3248">
        <v>13</v>
      </c>
      <c r="B51" s="3246" t="s">
        <v>3433</v>
      </c>
      <c r="C51" s="3253" t="s">
        <v>3507</v>
      </c>
      <c r="D51" s="3245" t="s">
        <v>3543</v>
      </c>
      <c r="E51" s="3245" t="s">
        <v>3542</v>
      </c>
      <c r="F51" s="3224" t="s">
        <v>3281</v>
      </c>
      <c r="G51" s="3224" t="s">
        <v>3282</v>
      </c>
      <c r="H51" s="3175">
        <v>168.1</v>
      </c>
      <c r="I51" s="3175">
        <f t="shared" si="0"/>
        <v>1</v>
      </c>
      <c r="J51" s="3175">
        <v>1</v>
      </c>
      <c r="K51" s="3175"/>
      <c r="L51" s="3175">
        <f t="shared" ca="1" si="7"/>
        <v>1.5</v>
      </c>
      <c r="M51" s="3175">
        <f t="shared" ca="1" si="1"/>
        <v>252.15</v>
      </c>
    </row>
    <row r="52" spans="1:13" ht="27">
      <c r="A52" s="3248">
        <v>14</v>
      </c>
      <c r="B52" s="3246" t="s">
        <v>3433</v>
      </c>
      <c r="C52" s="3253" t="s">
        <v>3508</v>
      </c>
      <c r="D52" s="3245" t="s">
        <v>3543</v>
      </c>
      <c r="E52" s="3245" t="s">
        <v>3542</v>
      </c>
      <c r="F52" s="3224" t="s">
        <v>3281</v>
      </c>
      <c r="G52" s="3224" t="s">
        <v>3282</v>
      </c>
      <c r="H52" s="3175">
        <v>157.13</v>
      </c>
      <c r="I52" s="3175">
        <f t="shared" si="0"/>
        <v>1</v>
      </c>
      <c r="J52" s="3175">
        <v>1</v>
      </c>
      <c r="K52" s="3175"/>
      <c r="L52" s="3175">
        <f t="shared" ca="1" si="7"/>
        <v>1.5</v>
      </c>
      <c r="M52" s="3175">
        <f t="shared" ca="1" si="1"/>
        <v>235.7</v>
      </c>
    </row>
    <row r="53" spans="1:13" ht="27">
      <c r="A53" s="3248">
        <v>15</v>
      </c>
      <c r="B53" s="3246" t="s">
        <v>3433</v>
      </c>
      <c r="C53" s="3253" t="s">
        <v>3509</v>
      </c>
      <c r="D53" s="3245" t="s">
        <v>3543</v>
      </c>
      <c r="E53" s="3245" t="s">
        <v>3542</v>
      </c>
      <c r="F53" s="3224" t="s">
        <v>3281</v>
      </c>
      <c r="G53" s="3224" t="s">
        <v>3282</v>
      </c>
      <c r="H53" s="3175">
        <v>124.53</v>
      </c>
      <c r="I53" s="3175">
        <f t="shared" si="0"/>
        <v>1</v>
      </c>
      <c r="J53" s="3175">
        <v>1</v>
      </c>
      <c r="K53" s="3175"/>
      <c r="L53" s="3175">
        <f t="shared" ca="1" si="7"/>
        <v>1.5</v>
      </c>
      <c r="M53" s="3175">
        <f t="shared" ca="1" si="1"/>
        <v>186.8</v>
      </c>
    </row>
    <row r="54" spans="1:13">
      <c r="H54" s="3198">
        <f>SUM(H2:H53)</f>
        <v>8784.7000000000007</v>
      </c>
      <c r="L54" s="3235">
        <f ca="1">ROUND(M54/H54,1)</f>
        <v>3.8</v>
      </c>
      <c r="M54" s="3198">
        <f ca="1">SUM(M2:M53)</f>
        <v>33647.380000000005</v>
      </c>
    </row>
  </sheetData>
  <autoFilter ref="A1:S54" xr:uid="{00000000-0009-0000-0000-000012000000}"/>
  <sortState xmlns:xlrd2="http://schemas.microsoft.com/office/spreadsheetml/2017/richdata2" ref="B2:M53">
    <sortCondition ref="B12:B53"/>
  </sortState>
  <mergeCells count="4">
    <mergeCell ref="O23:O25"/>
    <mergeCell ref="O26:O29"/>
    <mergeCell ref="O30:O31"/>
    <mergeCell ref="O32:P32"/>
  </mergeCells>
  <phoneticPr fontId="14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2" t="str">
        <f>项目基本情况!B1</f>
        <v>北京市房地产市场价值预评估</v>
      </c>
      <c r="C37" s="3262"/>
      <c r="D37" s="3262"/>
      <c r="E37" s="3262"/>
      <c r="F37" s="3262"/>
      <c r="G37" s="3262"/>
      <c r="H37" s="3262"/>
      <c r="I37" s="326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dimension ref="A1:AF121"/>
  <sheetViews>
    <sheetView workbookViewId="0">
      <pane ySplit="1" topLeftCell="A2" activePane="bottomLeft" state="frozen"/>
      <selection pane="bottomLeft" activeCell="B1" sqref="B1:N53"/>
    </sheetView>
  </sheetViews>
  <sheetFormatPr defaultRowHeight="13.5"/>
  <cols>
    <col min="1" max="1" width="9.625" style="3168" customWidth="1"/>
    <col min="2" max="2" width="42.875" style="3212" bestFit="1" customWidth="1"/>
    <col min="3" max="3" width="26.125" style="3212" hidden="1" customWidth="1"/>
    <col min="4" max="4" width="29.625" style="3212" hidden="1" customWidth="1"/>
    <col min="5" max="5" width="6.625" style="3170" hidden="1" customWidth="1"/>
    <col min="6" max="6" width="13" style="3172" bestFit="1" customWidth="1"/>
    <col min="7" max="7" width="7.5" style="3168" bestFit="1" customWidth="1"/>
    <col min="8" max="10" width="7" style="3168" customWidth="1"/>
    <col min="11" max="15" width="9" style="3168"/>
    <col min="16" max="17" width="13.375" style="3168" bestFit="1" customWidth="1"/>
    <col min="18" max="18" width="20.5" style="3168" bestFit="1" customWidth="1"/>
    <col min="19" max="19" width="6.125" style="3168" customWidth="1"/>
    <col min="20" max="21" width="5.25" style="3168" customWidth="1"/>
    <col min="22" max="22" width="9" style="3168"/>
    <col min="23" max="23" width="9.875" style="3168" customWidth="1"/>
    <col min="24" max="24" width="13.125" style="3168" customWidth="1"/>
    <col min="25" max="25" width="10" style="3168" bestFit="1" customWidth="1"/>
    <col min="26" max="26" width="8.5" style="3168" bestFit="1" customWidth="1"/>
    <col min="27" max="27" width="9.125" style="3168" customWidth="1"/>
    <col min="28" max="28" width="10.125" style="3168" bestFit="1" customWidth="1"/>
    <col min="29" max="29" width="12.25" style="3168" bestFit="1" customWidth="1"/>
    <col min="30" max="30" width="11.25" style="3168" bestFit="1" customWidth="1"/>
    <col min="31" max="16384" width="9" style="3168"/>
  </cols>
  <sheetData>
    <row r="1" spans="1:29">
      <c r="A1" s="3168" t="s">
        <v>3272</v>
      </c>
      <c r="B1" s="3200" t="s">
        <v>3276</v>
      </c>
      <c r="C1" s="3200" t="s">
        <v>3345</v>
      </c>
      <c r="D1" s="3200" t="s">
        <v>3346</v>
      </c>
      <c r="E1" s="3214" t="s">
        <v>3274</v>
      </c>
      <c r="F1" s="3172" t="s">
        <v>3280</v>
      </c>
      <c r="G1" s="3215" t="s">
        <v>3273</v>
      </c>
      <c r="H1" s="3168" t="s">
        <v>3300</v>
      </c>
      <c r="I1" s="3168" t="s">
        <v>3301</v>
      </c>
      <c r="J1" s="3168" t="s">
        <v>3340</v>
      </c>
      <c r="K1" s="3168" t="s">
        <v>3299</v>
      </c>
      <c r="L1" s="3168" t="s">
        <v>3302</v>
      </c>
      <c r="M1" s="3168" t="s">
        <v>3342</v>
      </c>
      <c r="N1" s="3168" t="s">
        <v>3343</v>
      </c>
      <c r="R1" s="3171" t="s">
        <v>3272</v>
      </c>
      <c r="S1" s="3171" t="s">
        <v>3276</v>
      </c>
      <c r="T1" s="3172" t="s">
        <v>3274</v>
      </c>
      <c r="U1" s="3172" t="s">
        <v>3280</v>
      </c>
      <c r="V1" s="3171" t="s">
        <v>3273</v>
      </c>
      <c r="W1" s="3197" t="s">
        <v>3327</v>
      </c>
      <c r="X1" s="3168" t="s">
        <v>3325</v>
      </c>
      <c r="Y1" s="3168" t="s">
        <v>3326</v>
      </c>
      <c r="Z1" s="3168" t="s">
        <v>3328</v>
      </c>
    </row>
    <row r="2" spans="1:29">
      <c r="A2" s="3453" t="s">
        <v>3275</v>
      </c>
      <c r="B2" s="3206" t="s">
        <v>3344</v>
      </c>
      <c r="C2" s="3206" t="s">
        <v>3347</v>
      </c>
      <c r="D2" s="3206" t="s">
        <v>3348</v>
      </c>
      <c r="E2" s="3457">
        <v>1</v>
      </c>
      <c r="F2" s="3219" t="s">
        <v>3351</v>
      </c>
      <c r="G2" s="3216">
        <v>146.99</v>
      </c>
      <c r="H2" s="3173">
        <v>1</v>
      </c>
      <c r="I2" s="3173">
        <v>1</v>
      </c>
      <c r="J2" s="3173">
        <v>1</v>
      </c>
      <c r="K2" s="3173">
        <f ca="1">ROUND('结果一览表-商业'!D37,1)</f>
        <v>6.9</v>
      </c>
      <c r="L2" s="3173">
        <f t="shared" ref="L2:L33" ca="1" si="0">ROUND(K2*G2/10000*365,2)</f>
        <v>37.020000000000003</v>
      </c>
      <c r="M2" s="3465">
        <v>0.75</v>
      </c>
      <c r="N2" s="3173">
        <f ca="1">ROUND(K2*$M$2,1)</f>
        <v>5.2</v>
      </c>
      <c r="O2" s="3204">
        <f ca="1">ROUND(N2*G2,2)</f>
        <v>764.35</v>
      </c>
      <c r="R2" s="3470" t="s">
        <v>3285</v>
      </c>
      <c r="S2" s="3171" t="s">
        <v>3286</v>
      </c>
      <c r="T2" s="3469">
        <v>1</v>
      </c>
      <c r="U2" s="3469" t="s">
        <v>3284</v>
      </c>
      <c r="V2" s="3171">
        <v>94.89</v>
      </c>
      <c r="W2" s="3171">
        <f ca="1">'结果一览表-铂郡'!D37</f>
        <v>10.5</v>
      </c>
      <c r="X2" s="3171">
        <v>1</v>
      </c>
      <c r="Y2" s="3171">
        <v>1</v>
      </c>
      <c r="Z2" s="3171">
        <f ca="1">ROUND(V2*W2*365/10000,2)</f>
        <v>36.369999999999997</v>
      </c>
    </row>
    <row r="3" spans="1:29">
      <c r="A3" s="3453"/>
      <c r="B3" s="3206" t="s">
        <v>3349</v>
      </c>
      <c r="C3" s="3206" t="s">
        <v>3350</v>
      </c>
      <c r="D3" s="3206" t="s">
        <v>3348</v>
      </c>
      <c r="E3" s="3457"/>
      <c r="F3" s="3219" t="s">
        <v>3351</v>
      </c>
      <c r="G3" s="3216">
        <v>130.12</v>
      </c>
      <c r="H3" s="3173">
        <v>1</v>
      </c>
      <c r="I3" s="3173">
        <v>1</v>
      </c>
      <c r="J3" s="3173">
        <v>1</v>
      </c>
      <c r="K3" s="3173">
        <f ca="1">ROUND($K$2*H3*I3*J3,1)</f>
        <v>6.9</v>
      </c>
      <c r="L3" s="3173">
        <f t="shared" ca="1" si="0"/>
        <v>32.770000000000003</v>
      </c>
      <c r="M3" s="3466"/>
      <c r="N3" s="3173">
        <f t="shared" ref="N3:N53" ca="1" si="1">ROUND(K3*$M$2,1)</f>
        <v>5.2</v>
      </c>
      <c r="O3" s="3204">
        <f t="shared" ref="O3:O53" ca="1" si="2">ROUND(N3*G3,2)</f>
        <v>676.62</v>
      </c>
      <c r="R3" s="3471"/>
      <c r="S3" s="3171" t="s">
        <v>3287</v>
      </c>
      <c r="T3" s="3469"/>
      <c r="U3" s="3469"/>
      <c r="V3" s="3171">
        <v>247.88</v>
      </c>
      <c r="W3" s="3171">
        <f ca="1">ROUND($W$2*X3*Y3,2)</f>
        <v>10.08</v>
      </c>
      <c r="X3" s="3171">
        <v>0.96</v>
      </c>
      <c r="Y3" s="3171">
        <v>1</v>
      </c>
      <c r="Z3" s="3171">
        <f t="shared" ref="Z3:Z8" ca="1" si="3">ROUND(V3*W3*365/10000,2)</f>
        <v>91.2</v>
      </c>
    </row>
    <row r="4" spans="1:29">
      <c r="A4" s="3453"/>
      <c r="B4" s="3206" t="s">
        <v>3352</v>
      </c>
      <c r="C4" s="3206" t="s">
        <v>3353</v>
      </c>
      <c r="D4" s="3206" t="s">
        <v>3348</v>
      </c>
      <c r="E4" s="3457"/>
      <c r="F4" s="3219" t="s">
        <v>3351</v>
      </c>
      <c r="G4" s="3216">
        <v>56.02</v>
      </c>
      <c r="H4" s="3173">
        <v>1.02</v>
      </c>
      <c r="I4" s="3173">
        <v>1</v>
      </c>
      <c r="J4" s="3173">
        <v>0.8</v>
      </c>
      <c r="K4" s="3173">
        <f t="shared" ref="K4:K11" ca="1" si="4">ROUND($K$2*H4*I4*J4,1)</f>
        <v>5.6</v>
      </c>
      <c r="L4" s="3173">
        <f t="shared" ca="1" si="0"/>
        <v>11.45</v>
      </c>
      <c r="M4" s="3466"/>
      <c r="N4" s="3173">
        <f t="shared" ca="1" si="1"/>
        <v>4.2</v>
      </c>
      <c r="O4" s="3204">
        <f t="shared" ca="1" si="2"/>
        <v>235.28</v>
      </c>
      <c r="R4" s="3471"/>
      <c r="S4" s="3171" t="s">
        <v>3288</v>
      </c>
      <c r="T4" s="3469"/>
      <c r="U4" s="3469"/>
      <c r="V4" s="3171">
        <v>195.28</v>
      </c>
      <c r="W4" s="3171">
        <f t="shared" ref="W4:W8" ca="1" si="5">ROUND($W$2*X4*Y4,2)</f>
        <v>10.29</v>
      </c>
      <c r="X4" s="3171">
        <v>0.98</v>
      </c>
      <c r="Y4" s="3171">
        <v>1</v>
      </c>
      <c r="Z4" s="3171">
        <f t="shared" ca="1" si="3"/>
        <v>73.34</v>
      </c>
    </row>
    <row r="5" spans="1:29">
      <c r="A5" s="3453"/>
      <c r="B5" s="3206" t="s">
        <v>3354</v>
      </c>
      <c r="C5" s="3206" t="s">
        <v>3403</v>
      </c>
      <c r="D5" s="3206" t="s">
        <v>3348</v>
      </c>
      <c r="E5" s="3457"/>
      <c r="F5" s="3219" t="s">
        <v>3351</v>
      </c>
      <c r="G5" s="3216">
        <v>101.15</v>
      </c>
      <c r="H5" s="3173">
        <v>1</v>
      </c>
      <c r="I5" s="3173">
        <v>1</v>
      </c>
      <c r="J5" s="3173">
        <v>1</v>
      </c>
      <c r="K5" s="3173">
        <f t="shared" ca="1" si="4"/>
        <v>6.9</v>
      </c>
      <c r="L5" s="3173">
        <f t="shared" ca="1" si="0"/>
        <v>25.47</v>
      </c>
      <c r="M5" s="3466"/>
      <c r="N5" s="3173">
        <f t="shared" ca="1" si="1"/>
        <v>5.2</v>
      </c>
      <c r="O5" s="3204">
        <f t="shared" ca="1" si="2"/>
        <v>525.98</v>
      </c>
      <c r="P5" s="3168" t="s">
        <v>3303</v>
      </c>
      <c r="Q5" s="3168">
        <v>102</v>
      </c>
      <c r="R5" s="3471"/>
      <c r="S5" s="3171" t="s">
        <v>3289</v>
      </c>
      <c r="T5" s="3469"/>
      <c r="U5" s="3469"/>
      <c r="V5" s="3171">
        <v>245.01</v>
      </c>
      <c r="W5" s="3171">
        <f t="shared" ca="1" si="5"/>
        <v>10.08</v>
      </c>
      <c r="X5" s="3171">
        <v>0.96</v>
      </c>
      <c r="Y5" s="3171">
        <v>1</v>
      </c>
      <c r="Z5" s="3171">
        <f t="shared" ca="1" si="3"/>
        <v>90.14</v>
      </c>
      <c r="AB5" s="3168" t="s">
        <v>3329</v>
      </c>
      <c r="AC5" s="3168">
        <v>100</v>
      </c>
    </row>
    <row r="6" spans="1:29">
      <c r="A6" s="3453"/>
      <c r="B6" s="3206" t="s">
        <v>3355</v>
      </c>
      <c r="C6" s="3206" t="s">
        <v>3404</v>
      </c>
      <c r="D6" s="3206" t="s">
        <v>3348</v>
      </c>
      <c r="E6" s="3457"/>
      <c r="F6" s="3219" t="s">
        <v>3351</v>
      </c>
      <c r="G6" s="3216">
        <v>104.42</v>
      </c>
      <c r="H6" s="3173">
        <v>1</v>
      </c>
      <c r="I6" s="3173">
        <v>1</v>
      </c>
      <c r="J6" s="3173">
        <v>1</v>
      </c>
      <c r="K6" s="3173">
        <f t="shared" ca="1" si="4"/>
        <v>6.9</v>
      </c>
      <c r="L6" s="3173">
        <f t="shared" ca="1" si="0"/>
        <v>26.3</v>
      </c>
      <c r="M6" s="3466"/>
      <c r="N6" s="3173">
        <f t="shared" ca="1" si="1"/>
        <v>5.2</v>
      </c>
      <c r="O6" s="3204">
        <f t="shared" ca="1" si="2"/>
        <v>542.98</v>
      </c>
      <c r="P6" s="3168" t="s">
        <v>3304</v>
      </c>
      <c r="Q6" s="3168">
        <v>100</v>
      </c>
      <c r="R6" s="3471"/>
      <c r="S6" s="3171" t="s">
        <v>3290</v>
      </c>
      <c r="T6" s="3469"/>
      <c r="U6" s="3469"/>
      <c r="V6" s="3171">
        <v>98.08</v>
      </c>
      <c r="W6" s="3171">
        <f t="shared" ca="1" si="5"/>
        <v>10.5</v>
      </c>
      <c r="X6" s="3171">
        <v>1</v>
      </c>
      <c r="Y6" s="3171">
        <v>1</v>
      </c>
      <c r="Z6" s="3171">
        <f t="shared" ca="1" si="3"/>
        <v>37.590000000000003</v>
      </c>
      <c r="AB6" s="3168" t="s">
        <v>3330</v>
      </c>
      <c r="AC6" s="3168">
        <v>98</v>
      </c>
    </row>
    <row r="7" spans="1:29">
      <c r="A7" s="3453"/>
      <c r="B7" s="3206" t="s">
        <v>3356</v>
      </c>
      <c r="C7" s="3206" t="s">
        <v>3405</v>
      </c>
      <c r="D7" s="3206" t="s">
        <v>3348</v>
      </c>
      <c r="E7" s="3457"/>
      <c r="F7" s="3219" t="s">
        <v>3351</v>
      </c>
      <c r="G7" s="3216">
        <v>48.87</v>
      </c>
      <c r="H7" s="3173">
        <v>1.02</v>
      </c>
      <c r="I7" s="3173">
        <v>1</v>
      </c>
      <c r="J7" s="3173">
        <v>1</v>
      </c>
      <c r="K7" s="3173">
        <f t="shared" ca="1" si="4"/>
        <v>7</v>
      </c>
      <c r="L7" s="3173">
        <f t="shared" ca="1" si="0"/>
        <v>12.49</v>
      </c>
      <c r="M7" s="3466"/>
      <c r="N7" s="3173">
        <f t="shared" ca="1" si="1"/>
        <v>5.3</v>
      </c>
      <c r="O7" s="3204">
        <f t="shared" ca="1" si="2"/>
        <v>259.01</v>
      </c>
      <c r="P7" s="3168" t="s">
        <v>3305</v>
      </c>
      <c r="Q7" s="3168">
        <v>98</v>
      </c>
      <c r="R7" s="3471"/>
      <c r="S7" s="3171" t="s">
        <v>3291</v>
      </c>
      <c r="T7" s="3469"/>
      <c r="U7" s="3469"/>
      <c r="V7" s="3171">
        <v>80.900000000000006</v>
      </c>
      <c r="W7" s="3171">
        <f t="shared" ca="1" si="5"/>
        <v>10.5</v>
      </c>
      <c r="X7" s="3171">
        <v>1</v>
      </c>
      <c r="Y7" s="3171">
        <v>1</v>
      </c>
      <c r="Z7" s="3171">
        <f t="shared" ca="1" si="3"/>
        <v>31</v>
      </c>
      <c r="AB7" s="3168" t="s">
        <v>3331</v>
      </c>
      <c r="AC7" s="3168">
        <v>96</v>
      </c>
    </row>
    <row r="8" spans="1:29">
      <c r="A8" s="3453"/>
      <c r="B8" s="3206" t="s">
        <v>3357</v>
      </c>
      <c r="C8" s="3206" t="s">
        <v>3406</v>
      </c>
      <c r="D8" s="3206" t="s">
        <v>3348</v>
      </c>
      <c r="E8" s="3457"/>
      <c r="F8" s="3219" t="s">
        <v>3218</v>
      </c>
      <c r="G8" s="3216">
        <v>62.36</v>
      </c>
      <c r="H8" s="3173">
        <v>1.02</v>
      </c>
      <c r="I8" s="3173">
        <v>1</v>
      </c>
      <c r="J8" s="3173">
        <v>0.9</v>
      </c>
      <c r="K8" s="3173">
        <f t="shared" ca="1" si="4"/>
        <v>6.3</v>
      </c>
      <c r="L8" s="3173">
        <f t="shared" ca="1" si="0"/>
        <v>14.34</v>
      </c>
      <c r="M8" s="3466"/>
      <c r="N8" s="3173">
        <f t="shared" ca="1" si="1"/>
        <v>4.7</v>
      </c>
      <c r="O8" s="3204">
        <f t="shared" ca="1" si="2"/>
        <v>293.08999999999997</v>
      </c>
      <c r="P8" s="3168" t="s">
        <v>3306</v>
      </c>
      <c r="Q8" s="3168">
        <v>96</v>
      </c>
      <c r="R8" s="3472"/>
      <c r="S8" s="3171" t="s">
        <v>3292</v>
      </c>
      <c r="T8" s="3469"/>
      <c r="U8" s="3469"/>
      <c r="V8" s="3171">
        <v>317.93</v>
      </c>
      <c r="W8" s="3171">
        <f t="shared" ca="1" si="5"/>
        <v>9.8699999999999992</v>
      </c>
      <c r="X8" s="3171">
        <v>0.94</v>
      </c>
      <c r="Y8" s="3171">
        <v>1</v>
      </c>
      <c r="Z8" s="3171">
        <f t="shared" ca="1" si="3"/>
        <v>114.54</v>
      </c>
      <c r="AB8" s="3168" t="s">
        <v>3332</v>
      </c>
      <c r="AC8" s="3168">
        <v>94</v>
      </c>
    </row>
    <row r="9" spans="1:29">
      <c r="A9" s="3453"/>
      <c r="B9" s="3206" t="s">
        <v>3358</v>
      </c>
      <c r="C9" s="3206" t="s">
        <v>3405</v>
      </c>
      <c r="D9" s="3206" t="s">
        <v>3348</v>
      </c>
      <c r="E9" s="3457"/>
      <c r="F9" s="3219"/>
      <c r="G9" s="3216">
        <v>56.56</v>
      </c>
      <c r="H9" s="3173">
        <v>1.02</v>
      </c>
      <c r="I9" s="3173">
        <v>1</v>
      </c>
      <c r="J9" s="3173">
        <v>0.8</v>
      </c>
      <c r="K9" s="3173">
        <f t="shared" ca="1" si="4"/>
        <v>5.6</v>
      </c>
      <c r="L9" s="3173">
        <f t="shared" ca="1" si="0"/>
        <v>11.56</v>
      </c>
      <c r="M9" s="3466"/>
      <c r="N9" s="3173">
        <f t="shared" ca="1" si="1"/>
        <v>4.2</v>
      </c>
      <c r="O9" s="3204">
        <f t="shared" ca="1" si="2"/>
        <v>237.55</v>
      </c>
      <c r="V9" s="3198">
        <f>SUM(V2:V8)</f>
        <v>1279.97</v>
      </c>
      <c r="W9" s="3198">
        <f ca="1">ROUND(Z9*10000/365/V9,2)</f>
        <v>10.15</v>
      </c>
      <c r="X9" s="3198"/>
      <c r="Y9" s="3198"/>
      <c r="Z9" s="3198">
        <f ca="1">SUM(Z2:Z8)</f>
        <v>474.18</v>
      </c>
    </row>
    <row r="10" spans="1:29">
      <c r="A10" s="3453"/>
      <c r="B10" s="3206" t="s">
        <v>3359</v>
      </c>
      <c r="C10" s="3206" t="s">
        <v>3405</v>
      </c>
      <c r="D10" s="3206" t="s">
        <v>3348</v>
      </c>
      <c r="E10" s="3457"/>
      <c r="F10" s="3219"/>
      <c r="G10" s="3216">
        <v>121.49</v>
      </c>
      <c r="H10" s="3173">
        <v>1</v>
      </c>
      <c r="I10" s="3173">
        <v>1</v>
      </c>
      <c r="J10" s="3173">
        <v>0.8</v>
      </c>
      <c r="K10" s="3173">
        <f t="shared" ca="1" si="4"/>
        <v>5.5</v>
      </c>
      <c r="L10" s="3173">
        <f t="shared" ca="1" si="0"/>
        <v>24.39</v>
      </c>
      <c r="M10" s="3466"/>
      <c r="N10" s="3173">
        <f t="shared" ca="1" si="1"/>
        <v>4.0999999999999996</v>
      </c>
      <c r="O10" s="3204">
        <f t="shared" ca="1" si="2"/>
        <v>498.11</v>
      </c>
      <c r="W10" s="3168">
        <f ca="1">W9*0.9</f>
        <v>9.1349999999999998</v>
      </c>
      <c r="Z10" s="3168">
        <f ca="1">ROUND(W10*V9*365/10000,2)</f>
        <v>426.78</v>
      </c>
    </row>
    <row r="11" spans="1:29">
      <c r="A11" s="3453"/>
      <c r="B11" s="3206" t="s">
        <v>3360</v>
      </c>
      <c r="C11" s="3206" t="s">
        <v>3405</v>
      </c>
      <c r="D11" s="3206" t="s">
        <v>3348</v>
      </c>
      <c r="E11" s="3457"/>
      <c r="F11" s="3219"/>
      <c r="G11" s="3216">
        <v>120.04</v>
      </c>
      <c r="H11" s="3173">
        <v>1</v>
      </c>
      <c r="I11" s="3173">
        <v>1</v>
      </c>
      <c r="J11" s="3173">
        <v>0.8</v>
      </c>
      <c r="K11" s="3173">
        <f t="shared" ca="1" si="4"/>
        <v>5.5</v>
      </c>
      <c r="L11" s="3173">
        <f t="shared" ca="1" si="0"/>
        <v>24.1</v>
      </c>
      <c r="M11" s="3466"/>
      <c r="N11" s="3173">
        <f t="shared" ca="1" si="1"/>
        <v>4.0999999999999996</v>
      </c>
      <c r="O11" s="3204">
        <f t="shared" ca="1" si="2"/>
        <v>492.16</v>
      </c>
      <c r="P11" s="3199">
        <f>SUM(G2:G11)</f>
        <v>948.02</v>
      </c>
      <c r="Q11" s="3199">
        <f ca="1">ROUND(R11*10000/365/P11,2)</f>
        <v>6.35</v>
      </c>
      <c r="R11" s="3199">
        <f ca="1">SUM(L2:L11)</f>
        <v>219.89000000000001</v>
      </c>
    </row>
    <row r="12" spans="1:29">
      <c r="A12" s="3453"/>
      <c r="B12" s="3200" t="s">
        <v>3361</v>
      </c>
      <c r="C12" s="3201"/>
      <c r="D12" s="3206" t="s">
        <v>3348</v>
      </c>
      <c r="E12" s="3458" t="s">
        <v>3277</v>
      </c>
      <c r="F12" s="3455" t="s">
        <v>3284</v>
      </c>
      <c r="G12" s="3215">
        <v>180.53</v>
      </c>
      <c r="H12" s="3171">
        <v>1</v>
      </c>
      <c r="I12" s="3171">
        <f>P17</f>
        <v>0.75</v>
      </c>
      <c r="J12" s="3205">
        <v>0.8</v>
      </c>
      <c r="K12" s="3205">
        <f ca="1">ROUND($K$2*H12*I12*J12,1)</f>
        <v>4.0999999999999996</v>
      </c>
      <c r="L12" s="3205">
        <f t="shared" ca="1" si="0"/>
        <v>27.02</v>
      </c>
      <c r="M12" s="3466"/>
      <c r="N12" s="3173">
        <f t="shared" ca="1" si="1"/>
        <v>3.1</v>
      </c>
      <c r="O12" s="3204">
        <f t="shared" ca="1" si="2"/>
        <v>559.64</v>
      </c>
      <c r="P12" s="3168">
        <v>1</v>
      </c>
      <c r="Q12" s="3168">
        <v>2</v>
      </c>
      <c r="R12" s="3168">
        <v>-1</v>
      </c>
      <c r="S12" s="3195"/>
    </row>
    <row r="13" spans="1:29">
      <c r="A13" s="3453"/>
      <c r="B13" s="3200" t="s">
        <v>3362</v>
      </c>
      <c r="C13" s="3202"/>
      <c r="D13" s="3206" t="s">
        <v>3348</v>
      </c>
      <c r="E13" s="3459"/>
      <c r="F13" s="3455"/>
      <c r="G13" s="3215">
        <v>173.48</v>
      </c>
      <c r="H13" s="3171">
        <v>1</v>
      </c>
      <c r="I13" s="3171">
        <f>I12</f>
        <v>0.75</v>
      </c>
      <c r="J13" s="3205">
        <v>0.8</v>
      </c>
      <c r="K13" s="3205">
        <f t="shared" ref="K13:K25" ca="1" si="6">ROUND($K$2*H13*I13*J13,1)</f>
        <v>4.0999999999999996</v>
      </c>
      <c r="L13" s="3205">
        <f t="shared" ca="1" si="0"/>
        <v>25.96</v>
      </c>
      <c r="M13" s="3466"/>
      <c r="N13" s="3173">
        <f t="shared" ca="1" si="1"/>
        <v>3.1</v>
      </c>
      <c r="O13" s="3204">
        <f t="shared" ca="1" si="2"/>
        <v>537.79</v>
      </c>
      <c r="P13" s="3168">
        <v>1</v>
      </c>
      <c r="Q13" s="3168">
        <v>0.5</v>
      </c>
      <c r="R13" s="3168">
        <v>0.4</v>
      </c>
    </row>
    <row r="14" spans="1:29">
      <c r="A14" s="3453"/>
      <c r="B14" s="3200" t="s">
        <v>3363</v>
      </c>
      <c r="C14" s="3202"/>
      <c r="D14" s="3206" t="s">
        <v>3348</v>
      </c>
      <c r="E14" s="3459"/>
      <c r="F14" s="3455"/>
      <c r="G14" s="3215">
        <v>228.07</v>
      </c>
      <c r="H14" s="3171">
        <v>0.98</v>
      </c>
      <c r="I14" s="3171">
        <f>I13</f>
        <v>0.75</v>
      </c>
      <c r="J14" s="3205">
        <v>0.8</v>
      </c>
      <c r="K14" s="3205">
        <f t="shared" ca="1" si="6"/>
        <v>4.0999999999999996</v>
      </c>
      <c r="L14" s="3205">
        <f t="shared" ca="1" si="0"/>
        <v>34.130000000000003</v>
      </c>
      <c r="M14" s="3466"/>
      <c r="N14" s="3173">
        <f t="shared" ca="1" si="1"/>
        <v>3.1</v>
      </c>
      <c r="O14" s="3204">
        <f t="shared" ca="1" si="2"/>
        <v>707.02</v>
      </c>
    </row>
    <row r="15" spans="1:29">
      <c r="A15" s="3453"/>
      <c r="B15" s="3200" t="s">
        <v>3364</v>
      </c>
      <c r="C15" s="3202"/>
      <c r="D15" s="3206" t="s">
        <v>3348</v>
      </c>
      <c r="E15" s="3459"/>
      <c r="F15" s="3455"/>
      <c r="G15" s="3215">
        <v>193.55</v>
      </c>
      <c r="H15" s="3171">
        <v>1</v>
      </c>
      <c r="I15" s="3171">
        <f>I14</f>
        <v>0.75</v>
      </c>
      <c r="J15" s="3205">
        <v>0.8</v>
      </c>
      <c r="K15" s="3205">
        <f t="shared" ca="1" si="6"/>
        <v>4.0999999999999996</v>
      </c>
      <c r="L15" s="3205">
        <f t="shared" ca="1" si="0"/>
        <v>28.96</v>
      </c>
      <c r="M15" s="3466"/>
      <c r="N15" s="3173">
        <f t="shared" ca="1" si="1"/>
        <v>3.1</v>
      </c>
      <c r="O15" s="3204">
        <f t="shared" ca="1" si="2"/>
        <v>600.01</v>
      </c>
      <c r="V15" s="3168">
        <f>V9+P55</f>
        <v>10064.67</v>
      </c>
      <c r="W15" s="3168">
        <f ca="1">ROUND(Z15*10000/365/V15,2)</f>
        <v>4.1900000000000004</v>
      </c>
      <c r="Z15" s="3168">
        <f ca="1">Z10+R55</f>
        <v>1539.82</v>
      </c>
      <c r="AA15" s="3168">
        <v>0.75</v>
      </c>
    </row>
    <row r="16" spans="1:29">
      <c r="A16" s="3453"/>
      <c r="B16" s="3200" t="s">
        <v>3365</v>
      </c>
      <c r="C16" s="3202"/>
      <c r="D16" s="3206" t="s">
        <v>3348</v>
      </c>
      <c r="E16" s="3459"/>
      <c r="F16" s="3455"/>
      <c r="G16" s="3215">
        <v>183.14</v>
      </c>
      <c r="H16" s="3171">
        <v>1</v>
      </c>
      <c r="I16" s="3171">
        <f>Q17</f>
        <v>0.67</v>
      </c>
      <c r="J16" s="3205">
        <v>0.8</v>
      </c>
      <c r="K16" s="3205">
        <f t="shared" ca="1" si="6"/>
        <v>3.7</v>
      </c>
      <c r="L16" s="3205">
        <f t="shared" ca="1" si="0"/>
        <v>24.73</v>
      </c>
      <c r="M16" s="3466"/>
      <c r="N16" s="3173">
        <f t="shared" ca="1" si="1"/>
        <v>2.8</v>
      </c>
      <c r="O16" s="3204">
        <f t="shared" ca="1" si="2"/>
        <v>512.79</v>
      </c>
      <c r="P16" s="3168" t="s">
        <v>3307</v>
      </c>
      <c r="Q16" s="3168" t="s">
        <v>3308</v>
      </c>
      <c r="R16" s="3168" t="s">
        <v>3341</v>
      </c>
      <c r="W16" s="3168">
        <f ca="1">ROUND(Z16*10000/365/V15,2)</f>
        <v>3.14</v>
      </c>
      <c r="Z16" s="3168">
        <f ca="1">Z15*AA15</f>
        <v>1154.865</v>
      </c>
    </row>
    <row r="17" spans="1:32">
      <c r="A17" s="3453"/>
      <c r="B17" s="3200" t="s">
        <v>3366</v>
      </c>
      <c r="C17" s="3202"/>
      <c r="D17" s="3206" t="s">
        <v>3348</v>
      </c>
      <c r="E17" s="3459"/>
      <c r="F17" s="3455"/>
      <c r="G17" s="3215">
        <v>184.08</v>
      </c>
      <c r="H17" s="3171">
        <v>1</v>
      </c>
      <c r="I17" s="3171">
        <f t="shared" ref="I17:I25" si="7">I16</f>
        <v>0.67</v>
      </c>
      <c r="J17" s="3205">
        <v>0.8</v>
      </c>
      <c r="K17" s="3205">
        <f t="shared" ca="1" si="6"/>
        <v>3.7</v>
      </c>
      <c r="L17" s="3205">
        <f t="shared" ca="1" si="0"/>
        <v>24.86</v>
      </c>
      <c r="M17" s="3466"/>
      <c r="N17" s="3173">
        <f t="shared" ca="1" si="1"/>
        <v>2.8</v>
      </c>
      <c r="O17" s="3204">
        <f t="shared" ca="1" si="2"/>
        <v>515.41999999999996</v>
      </c>
      <c r="P17" s="3168">
        <f>(P13+Q13)/2</f>
        <v>0.75</v>
      </c>
      <c r="Q17" s="3168">
        <f>ROUND((Q13*Q12+P12*P13)/3,2)</f>
        <v>0.67</v>
      </c>
      <c r="R17" s="3168">
        <f>ROUND((R13*2+P13*P12)/3,2)</f>
        <v>0.6</v>
      </c>
    </row>
    <row r="18" spans="1:32">
      <c r="A18" s="3453"/>
      <c r="B18" s="3200" t="s">
        <v>3367</v>
      </c>
      <c r="C18" s="3202"/>
      <c r="D18" s="3206" t="s">
        <v>3348</v>
      </c>
      <c r="E18" s="3459"/>
      <c r="F18" s="3455"/>
      <c r="G18" s="3215">
        <v>205.65</v>
      </c>
      <c r="H18" s="3171">
        <v>0.98</v>
      </c>
      <c r="I18" s="3171">
        <f t="shared" si="7"/>
        <v>0.67</v>
      </c>
      <c r="J18" s="3205">
        <v>0.8</v>
      </c>
      <c r="K18" s="3205">
        <f t="shared" ca="1" si="6"/>
        <v>3.6</v>
      </c>
      <c r="L18" s="3205">
        <f t="shared" ca="1" si="0"/>
        <v>27.02</v>
      </c>
      <c r="M18" s="3466"/>
      <c r="N18" s="3173">
        <f t="shared" ca="1" si="1"/>
        <v>2.7</v>
      </c>
      <c r="O18" s="3204">
        <f t="shared" ca="1" si="2"/>
        <v>555.26</v>
      </c>
    </row>
    <row r="19" spans="1:32">
      <c r="A19" s="3453"/>
      <c r="B19" s="3200" t="s">
        <v>3368</v>
      </c>
      <c r="C19" s="3202"/>
      <c r="D19" s="3206" t="s">
        <v>3348</v>
      </c>
      <c r="E19" s="3459"/>
      <c r="F19" s="3455"/>
      <c r="G19" s="3215">
        <v>319.12</v>
      </c>
      <c r="H19" s="3171">
        <v>0.96</v>
      </c>
      <c r="I19" s="3171">
        <f t="shared" si="7"/>
        <v>0.67</v>
      </c>
      <c r="J19" s="3205">
        <v>0.8</v>
      </c>
      <c r="K19" s="3205">
        <f t="shared" ca="1" si="6"/>
        <v>3.6</v>
      </c>
      <c r="L19" s="3205">
        <f t="shared" ca="1" si="0"/>
        <v>41.93</v>
      </c>
      <c r="M19" s="3466"/>
      <c r="N19" s="3173">
        <f t="shared" ca="1" si="1"/>
        <v>2.7</v>
      </c>
      <c r="O19" s="3204">
        <f t="shared" ca="1" si="2"/>
        <v>861.62</v>
      </c>
    </row>
    <row r="20" spans="1:32">
      <c r="A20" s="3453"/>
      <c r="B20" s="3200" t="s">
        <v>3369</v>
      </c>
      <c r="C20" s="3202"/>
      <c r="D20" s="3206" t="s">
        <v>3348</v>
      </c>
      <c r="E20" s="3459"/>
      <c r="F20" s="3455"/>
      <c r="G20" s="3215">
        <v>233.7</v>
      </c>
      <c r="H20" s="3171">
        <v>0.98</v>
      </c>
      <c r="I20" s="3171">
        <f t="shared" si="7"/>
        <v>0.67</v>
      </c>
      <c r="J20" s="3205">
        <v>0.9</v>
      </c>
      <c r="K20" s="3205">
        <f t="shared" ca="1" si="6"/>
        <v>4.0999999999999996</v>
      </c>
      <c r="L20" s="3205">
        <f t="shared" ca="1" si="0"/>
        <v>34.97</v>
      </c>
      <c r="M20" s="3466"/>
      <c r="N20" s="3173">
        <f t="shared" ca="1" si="1"/>
        <v>3.1</v>
      </c>
      <c r="O20" s="3204">
        <f t="shared" ca="1" si="2"/>
        <v>724.47</v>
      </c>
      <c r="X20" s="3168" t="s">
        <v>3339</v>
      </c>
    </row>
    <row r="21" spans="1:32">
      <c r="A21" s="3453"/>
      <c r="B21" s="3200" t="s">
        <v>3370</v>
      </c>
      <c r="C21" s="3202"/>
      <c r="D21" s="3206" t="s">
        <v>3348</v>
      </c>
      <c r="E21" s="3459"/>
      <c r="F21" s="3455"/>
      <c r="G21" s="3215">
        <v>279.70999999999998</v>
      </c>
      <c r="H21" s="3171">
        <v>0.98</v>
      </c>
      <c r="I21" s="3171">
        <f t="shared" si="7"/>
        <v>0.67</v>
      </c>
      <c r="J21" s="3205">
        <v>0.9</v>
      </c>
      <c r="K21" s="3205">
        <f t="shared" ca="1" si="6"/>
        <v>4.0999999999999996</v>
      </c>
      <c r="L21" s="3205">
        <f t="shared" ca="1" si="0"/>
        <v>41.86</v>
      </c>
      <c r="M21" s="3466"/>
      <c r="N21" s="3173">
        <f t="shared" ca="1" si="1"/>
        <v>3.1</v>
      </c>
      <c r="O21" s="3204">
        <f t="shared" ca="1" si="2"/>
        <v>867.1</v>
      </c>
      <c r="V21" s="3469" t="s">
        <v>3333</v>
      </c>
      <c r="W21" s="3171" t="s">
        <v>3334</v>
      </c>
      <c r="X21" s="3171">
        <f ca="1">ROUND(AA21,2)</f>
        <v>5.18</v>
      </c>
      <c r="Z21" s="3168">
        <f ca="1">K2</f>
        <v>6.9</v>
      </c>
      <c r="AA21" s="3168">
        <f ca="1">Z21*AA15</f>
        <v>5.1750000000000007</v>
      </c>
    </row>
    <row r="22" spans="1:32">
      <c r="A22" s="3453"/>
      <c r="B22" s="3200" t="s">
        <v>3371</v>
      </c>
      <c r="C22" s="3202"/>
      <c r="D22" s="3206" t="s">
        <v>3348</v>
      </c>
      <c r="E22" s="3459"/>
      <c r="F22" s="3455"/>
      <c r="G22" s="3215">
        <v>263.67</v>
      </c>
      <c r="H22" s="3171">
        <v>0.96</v>
      </c>
      <c r="I22" s="3171">
        <f t="shared" si="7"/>
        <v>0.67</v>
      </c>
      <c r="J22" s="3205">
        <v>0.9</v>
      </c>
      <c r="K22" s="3205">
        <f t="shared" ca="1" si="6"/>
        <v>4</v>
      </c>
      <c r="L22" s="3205">
        <f t="shared" ca="1" si="0"/>
        <v>38.5</v>
      </c>
      <c r="M22" s="3466"/>
      <c r="N22" s="3173">
        <f t="shared" ca="1" si="1"/>
        <v>3</v>
      </c>
      <c r="O22" s="3204">
        <f t="shared" ca="1" si="2"/>
        <v>791.01</v>
      </c>
      <c r="V22" s="3469"/>
      <c r="W22" s="3171" t="s">
        <v>3335</v>
      </c>
      <c r="X22" s="3171">
        <f t="shared" ref="X22:X25" ca="1" si="8">ROUND(AA22,2)</f>
        <v>3.62</v>
      </c>
      <c r="Z22" s="3168">
        <f ca="1">Z21*0.7</f>
        <v>4.83</v>
      </c>
      <c r="AA22" s="3168">
        <f ca="1">Z22*AA15</f>
        <v>3.6225000000000001</v>
      </c>
    </row>
    <row r="23" spans="1:32">
      <c r="A23" s="3453"/>
      <c r="B23" s="3200" t="s">
        <v>3372</v>
      </c>
      <c r="C23" s="3202"/>
      <c r="D23" s="3206" t="s">
        <v>3348</v>
      </c>
      <c r="E23" s="3459"/>
      <c r="F23" s="3455"/>
      <c r="G23" s="3215">
        <v>342.44</v>
      </c>
      <c r="H23" s="3171">
        <v>0.96</v>
      </c>
      <c r="I23" s="3171">
        <f t="shared" si="7"/>
        <v>0.67</v>
      </c>
      <c r="J23" s="3205">
        <v>0.9</v>
      </c>
      <c r="K23" s="3205">
        <f t="shared" ca="1" si="6"/>
        <v>4</v>
      </c>
      <c r="L23" s="3205">
        <f t="shared" ca="1" si="0"/>
        <v>50</v>
      </c>
      <c r="M23" s="3466"/>
      <c r="N23" s="3173">
        <f t="shared" ca="1" si="1"/>
        <v>3</v>
      </c>
      <c r="O23" s="3204">
        <f t="shared" ca="1" si="2"/>
        <v>1027.32</v>
      </c>
      <c r="V23" s="3469"/>
      <c r="W23" s="3172" t="s">
        <v>3336</v>
      </c>
      <c r="X23" s="3171">
        <f t="shared" si="8"/>
        <v>1.95</v>
      </c>
      <c r="Z23" s="3168">
        <v>2.6</v>
      </c>
      <c r="AA23" s="3168">
        <f>Z23*AA15</f>
        <v>1.9500000000000002</v>
      </c>
    </row>
    <row r="24" spans="1:32">
      <c r="A24" s="3453"/>
      <c r="B24" s="3200" t="s">
        <v>3373</v>
      </c>
      <c r="C24" s="3202"/>
      <c r="D24" s="3206" t="s">
        <v>3348</v>
      </c>
      <c r="E24" s="3459"/>
      <c r="F24" s="3455"/>
      <c r="G24" s="3215">
        <v>312.77999999999997</v>
      </c>
      <c r="H24" s="3171">
        <v>0.96</v>
      </c>
      <c r="I24" s="3171">
        <f t="shared" si="7"/>
        <v>0.67</v>
      </c>
      <c r="J24" s="3205">
        <v>0.8</v>
      </c>
      <c r="K24" s="3205">
        <f t="shared" ca="1" si="6"/>
        <v>3.6</v>
      </c>
      <c r="L24" s="3205">
        <f t="shared" ca="1" si="0"/>
        <v>41.1</v>
      </c>
      <c r="M24" s="3466"/>
      <c r="N24" s="3173">
        <f t="shared" ca="1" si="1"/>
        <v>2.7</v>
      </c>
      <c r="O24" s="3204">
        <f t="shared" ca="1" si="2"/>
        <v>844.51</v>
      </c>
      <c r="V24" s="3469"/>
      <c r="W24" s="3172" t="s">
        <v>3337</v>
      </c>
      <c r="X24" s="3171">
        <f ca="1">K39</f>
        <v>1.5</v>
      </c>
      <c r="Z24" s="3168">
        <v>1.7</v>
      </c>
      <c r="AA24" s="3168">
        <f>Z24*AA15</f>
        <v>1.2749999999999999</v>
      </c>
    </row>
    <row r="25" spans="1:32">
      <c r="A25" s="3453"/>
      <c r="B25" s="3200" t="s">
        <v>3374</v>
      </c>
      <c r="C25" s="3203"/>
      <c r="D25" s="3206" t="s">
        <v>3348</v>
      </c>
      <c r="E25" s="3460"/>
      <c r="F25" s="3455"/>
      <c r="G25" s="3215">
        <v>283.81</v>
      </c>
      <c r="H25" s="3171">
        <v>0.98</v>
      </c>
      <c r="I25" s="3171">
        <f t="shared" si="7"/>
        <v>0.67</v>
      </c>
      <c r="J25" s="3205">
        <v>0.8</v>
      </c>
      <c r="K25" s="3205">
        <f t="shared" ca="1" si="6"/>
        <v>3.6</v>
      </c>
      <c r="L25" s="3205">
        <f t="shared" ca="1" si="0"/>
        <v>37.29</v>
      </c>
      <c r="M25" s="3466"/>
      <c r="N25" s="3173">
        <f t="shared" ca="1" si="1"/>
        <v>2.7</v>
      </c>
      <c r="O25" s="3204">
        <f t="shared" ca="1" si="2"/>
        <v>766.29</v>
      </c>
      <c r="P25" s="3199">
        <f>SUM(G12:G25)</f>
        <v>3383.73</v>
      </c>
      <c r="Q25" s="3199">
        <f ca="1">ROUND(R25*10000/365/P25,2)</f>
        <v>3.87</v>
      </c>
      <c r="R25" s="3199">
        <f ca="1">SUM(L12:L25)</f>
        <v>478.3300000000001</v>
      </c>
      <c r="V25" s="3171" t="s">
        <v>3338</v>
      </c>
      <c r="W25" s="3171" t="s">
        <v>3334</v>
      </c>
      <c r="X25" s="3171">
        <f t="shared" si="8"/>
        <v>7.58</v>
      </c>
      <c r="Z25" s="3168">
        <v>10.1</v>
      </c>
      <c r="AA25" s="3168">
        <f>Z25*AA15</f>
        <v>7.5749999999999993</v>
      </c>
    </row>
    <row r="26" spans="1:32">
      <c r="A26" s="3453"/>
      <c r="B26" s="3207" t="s">
        <v>3375</v>
      </c>
      <c r="C26" s="3207"/>
      <c r="D26" s="3206" t="s">
        <v>3348</v>
      </c>
      <c r="E26" s="3461" t="s">
        <v>3279</v>
      </c>
      <c r="F26" s="3454" t="s">
        <v>3284</v>
      </c>
      <c r="G26" s="3217">
        <v>79.17</v>
      </c>
      <c r="H26" s="3174">
        <v>1.02</v>
      </c>
      <c r="I26" s="3174">
        <f>Q13</f>
        <v>0.5</v>
      </c>
      <c r="J26" s="3174">
        <v>0.9</v>
      </c>
      <c r="K26" s="3174">
        <f ca="1">ROUND($K$2*H26*I26*J26,1)</f>
        <v>3.2</v>
      </c>
      <c r="L26" s="3174">
        <f t="shared" ca="1" si="0"/>
        <v>9.25</v>
      </c>
      <c r="M26" s="3466"/>
      <c r="N26" s="3173">
        <f t="shared" ca="1" si="1"/>
        <v>2.4</v>
      </c>
      <c r="O26" s="3204">
        <f t="shared" ca="1" si="2"/>
        <v>190.01</v>
      </c>
    </row>
    <row r="27" spans="1:32">
      <c r="A27" s="3453"/>
      <c r="B27" s="3207" t="s">
        <v>3376</v>
      </c>
      <c r="C27" s="3207"/>
      <c r="D27" s="3206" t="s">
        <v>3348</v>
      </c>
      <c r="E27" s="3461"/>
      <c r="F27" s="3454"/>
      <c r="G27" s="3217">
        <v>119.32</v>
      </c>
      <c r="H27" s="3174">
        <v>1</v>
      </c>
      <c r="I27" s="3174">
        <f>I26</f>
        <v>0.5</v>
      </c>
      <c r="J27" s="3174">
        <v>0.9</v>
      </c>
      <c r="K27" s="3174">
        <f t="shared" ref="K27:K32" ca="1" si="9">ROUND($K$2*H27*I27*J27,1)</f>
        <v>3.1</v>
      </c>
      <c r="L27" s="3174">
        <f t="shared" ca="1" si="0"/>
        <v>13.5</v>
      </c>
      <c r="M27" s="3466"/>
      <c r="N27" s="3173">
        <f t="shared" ca="1" si="1"/>
        <v>2.2999999999999998</v>
      </c>
      <c r="O27" s="3204">
        <f t="shared" ca="1" si="2"/>
        <v>274.44</v>
      </c>
      <c r="Y27" s="3168">
        <v>0.8</v>
      </c>
      <c r="Z27" s="3168">
        <v>0.6</v>
      </c>
      <c r="AA27" s="3168">
        <v>0.5</v>
      </c>
      <c r="AB27" s="3168">
        <v>0.8</v>
      </c>
      <c r="AC27" s="3168">
        <v>0.7</v>
      </c>
      <c r="AD27" s="3168">
        <v>0.5</v>
      </c>
    </row>
    <row r="28" spans="1:32">
      <c r="A28" s="3453"/>
      <c r="B28" s="3207" t="s">
        <v>3377</v>
      </c>
      <c r="C28" s="3207"/>
      <c r="D28" s="3206" t="s">
        <v>3348</v>
      </c>
      <c r="E28" s="3461"/>
      <c r="F28" s="3454"/>
      <c r="G28" s="3217">
        <v>117.06</v>
      </c>
      <c r="H28" s="3174">
        <v>1</v>
      </c>
      <c r="I28" s="3174">
        <f>I27</f>
        <v>0.5</v>
      </c>
      <c r="J28" s="3174">
        <v>0.8</v>
      </c>
      <c r="K28" s="3174">
        <f t="shared" ca="1" si="9"/>
        <v>2.8</v>
      </c>
      <c r="L28" s="3174">
        <f t="shared" ca="1" si="0"/>
        <v>11.96</v>
      </c>
      <c r="M28" s="3466"/>
      <c r="N28" s="3173">
        <f t="shared" ca="1" si="1"/>
        <v>2.1</v>
      </c>
      <c r="O28" s="3204">
        <f t="shared" ca="1" si="2"/>
        <v>245.83</v>
      </c>
      <c r="W28" s="3171"/>
      <c r="X28" s="3171" t="s">
        <v>3410</v>
      </c>
      <c r="Y28" s="3171" t="s">
        <v>3411</v>
      </c>
      <c r="Z28" s="3171" t="s">
        <v>3412</v>
      </c>
      <c r="AA28" s="3171" t="s">
        <v>3413</v>
      </c>
      <c r="AB28" s="3172" t="s">
        <v>3414</v>
      </c>
      <c r="AC28" s="3172" t="s">
        <v>3415</v>
      </c>
      <c r="AD28" s="3172" t="s">
        <v>3416</v>
      </c>
      <c r="AE28" s="3172" t="s">
        <v>3337</v>
      </c>
    </row>
    <row r="29" spans="1:32">
      <c r="A29" s="3453"/>
      <c r="B29" s="3207" t="s">
        <v>3378</v>
      </c>
      <c r="C29" s="3207"/>
      <c r="D29" s="3206" t="s">
        <v>3348</v>
      </c>
      <c r="E29" s="3461"/>
      <c r="F29" s="3454"/>
      <c r="G29" s="3217">
        <v>118.8</v>
      </c>
      <c r="H29" s="3174">
        <v>1</v>
      </c>
      <c r="I29" s="3174">
        <f>I28</f>
        <v>0.5</v>
      </c>
      <c r="J29" s="3174">
        <v>0.8</v>
      </c>
      <c r="K29" s="3174">
        <f t="shared" ca="1" si="9"/>
        <v>2.8</v>
      </c>
      <c r="L29" s="3174">
        <f t="shared" ca="1" si="0"/>
        <v>12.14</v>
      </c>
      <c r="M29" s="3466"/>
      <c r="N29" s="3173">
        <f t="shared" ca="1" si="1"/>
        <v>2.1</v>
      </c>
      <c r="O29" s="3204">
        <f t="shared" ca="1" si="2"/>
        <v>249.48</v>
      </c>
      <c r="W29" s="3171" t="s">
        <v>1319</v>
      </c>
      <c r="X29" s="3171">
        <f ca="1">K2</f>
        <v>6.9</v>
      </c>
      <c r="Y29" s="3171">
        <f ca="1">ROUND($X$29*Y27,1)</f>
        <v>5.5</v>
      </c>
      <c r="Z29" s="3171">
        <f t="shared" ref="Z29:AD29" ca="1" si="10">ROUND($X$29*Z27,1)</f>
        <v>4.0999999999999996</v>
      </c>
      <c r="AA29" s="3171">
        <f t="shared" ca="1" si="10"/>
        <v>3.5</v>
      </c>
      <c r="AB29" s="3171">
        <f t="shared" ca="1" si="10"/>
        <v>5.5</v>
      </c>
      <c r="AC29" s="3171">
        <f t="shared" ca="1" si="10"/>
        <v>4.8</v>
      </c>
      <c r="AD29" s="3171">
        <f t="shared" ca="1" si="10"/>
        <v>3.5</v>
      </c>
      <c r="AE29" s="3171">
        <f ca="1">K39</f>
        <v>1.5</v>
      </c>
    </row>
    <row r="30" spans="1:32">
      <c r="A30" s="3453"/>
      <c r="B30" s="3207" t="s">
        <v>3379</v>
      </c>
      <c r="C30" s="3207"/>
      <c r="D30" s="3206" t="s">
        <v>3348</v>
      </c>
      <c r="E30" s="3461"/>
      <c r="F30" s="3454"/>
      <c r="G30" s="3217">
        <v>56.77</v>
      </c>
      <c r="H30" s="3174">
        <v>1.02</v>
      </c>
      <c r="I30" s="3174">
        <f>I28</f>
        <v>0.5</v>
      </c>
      <c r="J30" s="3174">
        <v>0.8</v>
      </c>
      <c r="K30" s="3174">
        <f t="shared" ca="1" si="9"/>
        <v>2.8</v>
      </c>
      <c r="L30" s="3174">
        <f t="shared" ca="1" si="0"/>
        <v>5.8</v>
      </c>
      <c r="M30" s="3466"/>
      <c r="N30" s="3173">
        <f t="shared" ca="1" si="1"/>
        <v>2.1</v>
      </c>
      <c r="O30" s="3204">
        <f t="shared" ca="1" si="2"/>
        <v>119.22</v>
      </c>
      <c r="W30" s="3168" t="s">
        <v>3417</v>
      </c>
      <c r="X30" s="3168">
        <f>G2+G3+G5+G6+G7+G8</f>
        <v>593.91</v>
      </c>
      <c r="Y30" s="3168">
        <f>G4+G9+G10+G11</f>
        <v>354.11</v>
      </c>
      <c r="Z30" s="3168">
        <f>G26+G27</f>
        <v>198.49</v>
      </c>
      <c r="AA30" s="3168">
        <f>G28+G29+G30+G31+G32</f>
        <v>513.91999999999996</v>
      </c>
      <c r="AC30" s="3168">
        <f>G12+G13+G14+G15+G16+G17+G18+G19+G20+G21+G22+G23+G24+G25</f>
        <v>3383.73</v>
      </c>
      <c r="AD30" s="3168">
        <f>SUM(G33:G38)</f>
        <v>1701.5299999999997</v>
      </c>
      <c r="AE30" s="3168">
        <f>SUM(G39:G53)</f>
        <v>2039.01</v>
      </c>
      <c r="AF30" s="3168">
        <f>SUM(X30:AE30)</f>
        <v>8784.6999999999989</v>
      </c>
    </row>
    <row r="31" spans="1:32">
      <c r="A31" s="3453"/>
      <c r="B31" s="3207" t="s">
        <v>3380</v>
      </c>
      <c r="C31" s="3207"/>
      <c r="D31" s="3206" t="s">
        <v>3348</v>
      </c>
      <c r="E31" s="3461"/>
      <c r="F31" s="3454"/>
      <c r="G31" s="3217">
        <v>112.15</v>
      </c>
      <c r="H31" s="3174">
        <v>1</v>
      </c>
      <c r="I31" s="3174">
        <f>I30</f>
        <v>0.5</v>
      </c>
      <c r="J31" s="3174">
        <v>0.8</v>
      </c>
      <c r="K31" s="3174">
        <f t="shared" ca="1" si="9"/>
        <v>2.8</v>
      </c>
      <c r="L31" s="3174">
        <f t="shared" ca="1" si="0"/>
        <v>11.46</v>
      </c>
      <c r="M31" s="3466"/>
      <c r="N31" s="3173">
        <f t="shared" ca="1" si="1"/>
        <v>2.1</v>
      </c>
      <c r="O31" s="3204">
        <f t="shared" ca="1" si="2"/>
        <v>235.52</v>
      </c>
      <c r="X31" s="3168">
        <f ca="1">X29*X30</f>
        <v>4097.9790000000003</v>
      </c>
      <c r="Y31" s="3168">
        <f t="shared" ref="Y31:AE31" ca="1" si="11">Y29*Y30</f>
        <v>1947.605</v>
      </c>
      <c r="Z31" s="3168">
        <f t="shared" ca="1" si="11"/>
        <v>813.80899999999997</v>
      </c>
      <c r="AA31" s="3168">
        <f t="shared" ca="1" si="11"/>
        <v>1798.7199999999998</v>
      </c>
      <c r="AB31" s="3168">
        <f t="shared" ca="1" si="11"/>
        <v>0</v>
      </c>
      <c r="AC31" s="3168">
        <f t="shared" ca="1" si="11"/>
        <v>16241.903999999999</v>
      </c>
      <c r="AD31" s="3168">
        <f t="shared" ca="1" si="11"/>
        <v>5955.3549999999996</v>
      </c>
      <c r="AE31" s="3168">
        <f t="shared" ca="1" si="11"/>
        <v>3058.5149999999999</v>
      </c>
      <c r="AF31" s="3168">
        <f ca="1">SUM(X31:AE31)</f>
        <v>33913.887000000002</v>
      </c>
    </row>
    <row r="32" spans="1:32">
      <c r="A32" s="3453"/>
      <c r="B32" s="3207" t="s">
        <v>3381</v>
      </c>
      <c r="C32" s="3207"/>
      <c r="D32" s="3206" t="s">
        <v>3348</v>
      </c>
      <c r="E32" s="3461"/>
      <c r="F32" s="3454"/>
      <c r="G32" s="3217">
        <v>109.14</v>
      </c>
      <c r="H32" s="3174">
        <v>1</v>
      </c>
      <c r="I32" s="3174">
        <f>I31</f>
        <v>0.5</v>
      </c>
      <c r="J32" s="3174">
        <v>0.8</v>
      </c>
      <c r="K32" s="3174">
        <f t="shared" ca="1" si="9"/>
        <v>2.8</v>
      </c>
      <c r="L32" s="3174">
        <f t="shared" ca="1" si="0"/>
        <v>11.15</v>
      </c>
      <c r="M32" s="3466"/>
      <c r="N32" s="3173">
        <f t="shared" ca="1" si="1"/>
        <v>2.1</v>
      </c>
      <c r="O32" s="3204">
        <f t="shared" ca="1" si="2"/>
        <v>229.19</v>
      </c>
      <c r="P32" s="3199">
        <f>SUM(G26:G32)</f>
        <v>712.41</v>
      </c>
      <c r="Q32" s="3199">
        <f ca="1">ROUND(R32*10000/365/P32,2)</f>
        <v>2.89</v>
      </c>
      <c r="R32" s="3199">
        <f ca="1">SUM(L26:L32)</f>
        <v>75.260000000000005</v>
      </c>
      <c r="AF32" s="3168">
        <f ca="1">ROUND(AF31/AF30,1)</f>
        <v>3.9</v>
      </c>
    </row>
    <row r="33" spans="1:24">
      <c r="A33" s="3453"/>
      <c r="B33" s="3200" t="s">
        <v>3382</v>
      </c>
      <c r="C33" s="3201"/>
      <c r="D33" s="3206" t="s">
        <v>3348</v>
      </c>
      <c r="E33" s="3458" t="s">
        <v>3278</v>
      </c>
      <c r="F33" s="3455" t="s">
        <v>3283</v>
      </c>
      <c r="G33" s="3215">
        <v>291.33</v>
      </c>
      <c r="H33" s="3171">
        <v>0.98</v>
      </c>
      <c r="I33" s="3205">
        <v>0.6</v>
      </c>
      <c r="J33" s="3205">
        <v>0.8</v>
      </c>
      <c r="K33" s="3205">
        <f ca="1">ROUND($K$2*H33*I33*J33,1)</f>
        <v>3.2</v>
      </c>
      <c r="L33" s="3205">
        <f t="shared" ca="1" si="0"/>
        <v>34.03</v>
      </c>
      <c r="M33" s="3466"/>
      <c r="N33" s="3173">
        <f t="shared" ca="1" si="1"/>
        <v>2.4</v>
      </c>
      <c r="O33" s="3204">
        <f t="shared" ca="1" si="2"/>
        <v>699.19</v>
      </c>
    </row>
    <row r="34" spans="1:24">
      <c r="A34" s="3453"/>
      <c r="B34" s="3200" t="s">
        <v>3383</v>
      </c>
      <c r="C34" s="3202"/>
      <c r="D34" s="3206" t="s">
        <v>3348</v>
      </c>
      <c r="E34" s="3459"/>
      <c r="F34" s="3455"/>
      <c r="G34" s="3215">
        <v>280.91000000000003</v>
      </c>
      <c r="H34" s="3171">
        <v>0.98</v>
      </c>
      <c r="I34" s="3205">
        <f>I33</f>
        <v>0.6</v>
      </c>
      <c r="J34" s="3205">
        <v>0.8</v>
      </c>
      <c r="K34" s="3205">
        <f t="shared" ref="K34:K38" ca="1" si="12">ROUND($K$2*H34*I34*J34,1)</f>
        <v>3.2</v>
      </c>
      <c r="L34" s="3205">
        <f t="shared" ref="L34:L53" ca="1" si="13">ROUND(K34*G34/10000*365,2)</f>
        <v>32.81</v>
      </c>
      <c r="M34" s="3466"/>
      <c r="N34" s="3173">
        <f t="shared" ca="1" si="1"/>
        <v>2.4</v>
      </c>
      <c r="O34" s="3204">
        <f t="shared" ca="1" si="2"/>
        <v>674.18</v>
      </c>
    </row>
    <row r="35" spans="1:24">
      <c r="A35" s="3453"/>
      <c r="B35" s="3200" t="s">
        <v>3384</v>
      </c>
      <c r="C35" s="3202"/>
      <c r="D35" s="3206" t="s">
        <v>3348</v>
      </c>
      <c r="E35" s="3459"/>
      <c r="F35" s="3455"/>
      <c r="G35" s="3215">
        <v>186.02</v>
      </c>
      <c r="H35" s="3171">
        <v>1</v>
      </c>
      <c r="I35" s="3205">
        <f>I34</f>
        <v>0.6</v>
      </c>
      <c r="J35" s="3205">
        <v>0.8</v>
      </c>
      <c r="K35" s="3205">
        <f t="shared" ca="1" si="12"/>
        <v>3.3</v>
      </c>
      <c r="L35" s="3205">
        <f t="shared" ca="1" si="13"/>
        <v>22.41</v>
      </c>
      <c r="M35" s="3466"/>
      <c r="N35" s="3173">
        <f t="shared" ca="1" si="1"/>
        <v>2.5</v>
      </c>
      <c r="O35" s="3204">
        <f t="shared" ca="1" si="2"/>
        <v>465.05</v>
      </c>
      <c r="V35" s="3221" t="s">
        <v>3418</v>
      </c>
      <c r="W35" s="3221" t="s">
        <v>3419</v>
      </c>
      <c r="X35" s="3221" t="s">
        <v>3417</v>
      </c>
    </row>
    <row r="36" spans="1:24">
      <c r="A36" s="3453"/>
      <c r="B36" s="3200" t="s">
        <v>3385</v>
      </c>
      <c r="C36" s="3202"/>
      <c r="D36" s="3206" t="s">
        <v>3348</v>
      </c>
      <c r="E36" s="3459"/>
      <c r="F36" s="3455"/>
      <c r="G36" s="3215">
        <v>359.07</v>
      </c>
      <c r="H36" s="3171">
        <v>0.96</v>
      </c>
      <c r="I36" s="3205">
        <f>I35</f>
        <v>0.6</v>
      </c>
      <c r="J36" s="3205">
        <v>1</v>
      </c>
      <c r="K36" s="3205">
        <f t="shared" ca="1" si="12"/>
        <v>4</v>
      </c>
      <c r="L36" s="3205">
        <f t="shared" ca="1" si="13"/>
        <v>52.42</v>
      </c>
      <c r="M36" s="3466"/>
      <c r="N36" s="3173">
        <f t="shared" ca="1" si="1"/>
        <v>3</v>
      </c>
      <c r="O36" s="3204">
        <f t="shared" ca="1" si="2"/>
        <v>1077.21</v>
      </c>
      <c r="V36" s="3468" t="s">
        <v>3420</v>
      </c>
      <c r="W36" s="3221" t="s">
        <v>3426</v>
      </c>
      <c r="X36" s="3221">
        <f>SUM(G8:G11)</f>
        <v>360.45</v>
      </c>
    </row>
    <row r="37" spans="1:24">
      <c r="A37" s="3453"/>
      <c r="B37" s="3200" t="s">
        <v>3386</v>
      </c>
      <c r="C37" s="3202"/>
      <c r="D37" s="3206" t="s">
        <v>3348</v>
      </c>
      <c r="E37" s="3459"/>
      <c r="F37" s="3455"/>
      <c r="G37" s="3215">
        <v>320.08999999999997</v>
      </c>
      <c r="H37" s="3171">
        <v>0.96</v>
      </c>
      <c r="I37" s="3205">
        <f>I36</f>
        <v>0.6</v>
      </c>
      <c r="J37" s="3205">
        <v>1</v>
      </c>
      <c r="K37" s="3205">
        <f t="shared" ca="1" si="12"/>
        <v>4</v>
      </c>
      <c r="L37" s="3205">
        <f t="shared" ca="1" si="13"/>
        <v>46.73</v>
      </c>
      <c r="M37" s="3466"/>
      <c r="N37" s="3173">
        <f t="shared" ca="1" si="1"/>
        <v>3</v>
      </c>
      <c r="O37" s="3204">
        <f t="shared" ca="1" si="2"/>
        <v>960.27</v>
      </c>
      <c r="P37" s="3199">
        <f>SUM(G33:G38)</f>
        <v>1701.5299999999997</v>
      </c>
      <c r="Q37" s="3199">
        <f ca="1">ROUND(R37*10000/P37/365,2)</f>
        <v>3.67</v>
      </c>
      <c r="R37" s="3199">
        <f ca="1">SUM(L33:L38)</f>
        <v>227.92000000000002</v>
      </c>
      <c r="V37" s="3468"/>
      <c r="W37" s="3221" t="s">
        <v>3427</v>
      </c>
      <c r="X37" s="3221">
        <f>SUM(G16:G25)</f>
        <v>2608.1</v>
      </c>
    </row>
    <row r="38" spans="1:24">
      <c r="A38" s="3453"/>
      <c r="B38" s="3200" t="s">
        <v>3387</v>
      </c>
      <c r="C38" s="3203"/>
      <c r="D38" s="3206" t="s">
        <v>3348</v>
      </c>
      <c r="E38" s="3460"/>
      <c r="F38" s="3455"/>
      <c r="G38" s="3215">
        <v>264.11</v>
      </c>
      <c r="H38" s="3171">
        <v>0.98</v>
      </c>
      <c r="I38" s="3205">
        <f>I37</f>
        <v>0.6</v>
      </c>
      <c r="J38" s="3205">
        <v>1</v>
      </c>
      <c r="K38" s="3205">
        <f t="shared" ca="1" si="12"/>
        <v>4.0999999999999996</v>
      </c>
      <c r="L38" s="3205">
        <f t="shared" ca="1" si="13"/>
        <v>39.520000000000003</v>
      </c>
      <c r="M38" s="3466"/>
      <c r="N38" s="3173">
        <f t="shared" ca="1" si="1"/>
        <v>3.1</v>
      </c>
      <c r="O38" s="3204">
        <f t="shared" ca="1" si="2"/>
        <v>818.74</v>
      </c>
      <c r="P38" s="3198">
        <f>SUM(G2:G38)</f>
        <v>6745.6900000000005</v>
      </c>
      <c r="Q38" s="3198">
        <f ca="1">ROUND(R38*10000/365/P38,2)</f>
        <v>4.07</v>
      </c>
      <c r="R38" s="3198">
        <f ca="1">SUM(L2:L38)</f>
        <v>1001.3999999999999</v>
      </c>
      <c r="V38" s="3468"/>
      <c r="W38" s="3221" t="s">
        <v>3428</v>
      </c>
      <c r="X38" s="3221">
        <f>SUM(G26:G32)</f>
        <v>712.41</v>
      </c>
    </row>
    <row r="39" spans="1:24">
      <c r="A39" s="3453"/>
      <c r="B39" s="3208" t="s">
        <v>3388</v>
      </c>
      <c r="C39" s="3209"/>
      <c r="D39" s="3206" t="s">
        <v>3348</v>
      </c>
      <c r="E39" s="3462" t="s">
        <v>3281</v>
      </c>
      <c r="F39" s="3456" t="s">
        <v>3282</v>
      </c>
      <c r="G39" s="3218">
        <v>131.88</v>
      </c>
      <c r="H39" s="3175">
        <v>1</v>
      </c>
      <c r="I39" s="3175">
        <v>1</v>
      </c>
      <c r="J39" s="3175"/>
      <c r="K39" s="3175">
        <f ca="1">ROUND('结果一览表-库房'!D37,1)</f>
        <v>1.5</v>
      </c>
      <c r="L39" s="3175">
        <f t="shared" ca="1" si="13"/>
        <v>7.22</v>
      </c>
      <c r="M39" s="3466"/>
      <c r="N39" s="3173">
        <f t="shared" ca="1" si="1"/>
        <v>1.1000000000000001</v>
      </c>
      <c r="O39" s="3204">
        <f t="shared" ca="1" si="2"/>
        <v>145.07</v>
      </c>
      <c r="V39" s="3468"/>
      <c r="W39" s="3222" t="s">
        <v>3424</v>
      </c>
      <c r="X39" s="3221">
        <f>SUM(G39:G53)</f>
        <v>2039.01</v>
      </c>
    </row>
    <row r="40" spans="1:24">
      <c r="A40" s="3453"/>
      <c r="B40" s="3208" t="s">
        <v>3389</v>
      </c>
      <c r="C40" s="3210"/>
      <c r="D40" s="3206" t="s">
        <v>3348</v>
      </c>
      <c r="E40" s="3463"/>
      <c r="F40" s="3456"/>
      <c r="G40" s="3218">
        <v>134.19</v>
      </c>
      <c r="H40" s="3175">
        <v>1</v>
      </c>
      <c r="I40" s="3175">
        <v>1</v>
      </c>
      <c r="J40" s="3175"/>
      <c r="K40" s="3175">
        <f ca="1">ROUND($K$39*H40*I40,1)</f>
        <v>1.5</v>
      </c>
      <c r="L40" s="3175">
        <f t="shared" ca="1" si="13"/>
        <v>7.35</v>
      </c>
      <c r="M40" s="3466"/>
      <c r="N40" s="3173">
        <f t="shared" ca="1" si="1"/>
        <v>1.1000000000000001</v>
      </c>
      <c r="O40" s="3204">
        <f t="shared" ca="1" si="2"/>
        <v>147.61000000000001</v>
      </c>
      <c r="V40" s="3221" t="s">
        <v>3421</v>
      </c>
      <c r="W40" s="3221" t="s">
        <v>3426</v>
      </c>
      <c r="X40" s="3221"/>
    </row>
    <row r="41" spans="1:24">
      <c r="A41" s="3453"/>
      <c r="B41" s="3208" t="s">
        <v>3390</v>
      </c>
      <c r="C41" s="3210"/>
      <c r="D41" s="3206" t="s">
        <v>3348</v>
      </c>
      <c r="E41" s="3463"/>
      <c r="F41" s="3456"/>
      <c r="G41" s="3218">
        <v>137.80000000000001</v>
      </c>
      <c r="H41" s="3175">
        <v>1</v>
      </c>
      <c r="I41" s="3175">
        <v>1</v>
      </c>
      <c r="J41" s="3175"/>
      <c r="K41" s="3175">
        <f t="shared" ref="K41:K53" ca="1" si="14">ROUND($K$39*H41*I41,1)</f>
        <v>1.5</v>
      </c>
      <c r="L41" s="3175">
        <f t="shared" ca="1" si="13"/>
        <v>7.54</v>
      </c>
      <c r="M41" s="3466"/>
      <c r="N41" s="3173">
        <f t="shared" ca="1" si="1"/>
        <v>1.1000000000000001</v>
      </c>
      <c r="O41" s="3204">
        <f t="shared" ca="1" si="2"/>
        <v>151.58000000000001</v>
      </c>
      <c r="V41" s="3468" t="s">
        <v>3422</v>
      </c>
      <c r="W41" s="3221" t="s">
        <v>3426</v>
      </c>
      <c r="X41" s="3221"/>
    </row>
    <row r="42" spans="1:24">
      <c r="A42" s="3453"/>
      <c r="B42" s="3208" t="s">
        <v>3391</v>
      </c>
      <c r="C42" s="3210"/>
      <c r="D42" s="3206" t="s">
        <v>3348</v>
      </c>
      <c r="E42" s="3463"/>
      <c r="F42" s="3456"/>
      <c r="G42" s="3218">
        <v>153.52000000000001</v>
      </c>
      <c r="H42" s="3175">
        <v>1</v>
      </c>
      <c r="I42" s="3175">
        <v>1</v>
      </c>
      <c r="J42" s="3175"/>
      <c r="K42" s="3175">
        <f t="shared" ca="1" si="14"/>
        <v>1.5</v>
      </c>
      <c r="L42" s="3175">
        <f t="shared" ca="1" si="13"/>
        <v>8.41</v>
      </c>
      <c r="M42" s="3466"/>
      <c r="N42" s="3173">
        <f t="shared" ca="1" si="1"/>
        <v>1.1000000000000001</v>
      </c>
      <c r="O42" s="3204">
        <f t="shared" ca="1" si="2"/>
        <v>168.87</v>
      </c>
      <c r="V42" s="3468"/>
      <c r="W42" s="3221" t="s">
        <v>3427</v>
      </c>
      <c r="X42" s="3221"/>
    </row>
    <row r="43" spans="1:24">
      <c r="A43" s="3453"/>
      <c r="B43" s="3208" t="s">
        <v>3392</v>
      </c>
      <c r="C43" s="3210"/>
      <c r="D43" s="3206" t="s">
        <v>3348</v>
      </c>
      <c r="E43" s="3463"/>
      <c r="F43" s="3456"/>
      <c r="G43" s="3218">
        <v>91.97</v>
      </c>
      <c r="H43" s="3175">
        <v>1.02</v>
      </c>
      <c r="I43" s="3175">
        <v>1</v>
      </c>
      <c r="J43" s="3175"/>
      <c r="K43" s="3175">
        <f ca="1">ROUND($K$39*H43*I43,1)</f>
        <v>1.5</v>
      </c>
      <c r="L43" s="3175">
        <f t="shared" ca="1" si="13"/>
        <v>5.04</v>
      </c>
      <c r="M43" s="3466"/>
      <c r="N43" s="3173">
        <f t="shared" ca="1" si="1"/>
        <v>1.1000000000000001</v>
      </c>
      <c r="O43" s="3204">
        <f t="shared" ca="1" si="2"/>
        <v>101.17</v>
      </c>
      <c r="V43" s="3468"/>
      <c r="W43" s="3222" t="s">
        <v>3425</v>
      </c>
      <c r="X43" s="3221"/>
    </row>
    <row r="44" spans="1:24">
      <c r="A44" s="3453"/>
      <c r="B44" s="3208" t="s">
        <v>3393</v>
      </c>
      <c r="C44" s="3210"/>
      <c r="D44" s="3206" t="s">
        <v>3348</v>
      </c>
      <c r="E44" s="3463"/>
      <c r="F44" s="3456"/>
      <c r="G44" s="3218">
        <v>124.97</v>
      </c>
      <c r="H44" s="3175">
        <v>1</v>
      </c>
      <c r="I44" s="3175">
        <v>1</v>
      </c>
      <c r="J44" s="3175"/>
      <c r="K44" s="3175">
        <f t="shared" ca="1" si="14"/>
        <v>1.5</v>
      </c>
      <c r="L44" s="3175">
        <f t="shared" ca="1" si="13"/>
        <v>6.84</v>
      </c>
      <c r="M44" s="3466"/>
      <c r="N44" s="3173">
        <f t="shared" ca="1" si="1"/>
        <v>1.1000000000000001</v>
      </c>
      <c r="O44" s="3204">
        <f t="shared" ca="1" si="2"/>
        <v>137.47</v>
      </c>
      <c r="V44" s="3168" t="s">
        <v>3423</v>
      </c>
    </row>
    <row r="45" spans="1:24">
      <c r="A45" s="3453"/>
      <c r="B45" s="3208" t="s">
        <v>3394</v>
      </c>
      <c r="C45" s="3210"/>
      <c r="D45" s="3206" t="s">
        <v>3348</v>
      </c>
      <c r="E45" s="3463"/>
      <c r="F45" s="3456"/>
      <c r="G45" s="3218">
        <v>123.94</v>
      </c>
      <c r="H45" s="3175">
        <v>1</v>
      </c>
      <c r="I45" s="3175">
        <v>1</v>
      </c>
      <c r="J45" s="3175"/>
      <c r="K45" s="3175">
        <f t="shared" ca="1" si="14"/>
        <v>1.5</v>
      </c>
      <c r="L45" s="3175">
        <f t="shared" ca="1" si="13"/>
        <v>6.79</v>
      </c>
      <c r="M45" s="3466"/>
      <c r="N45" s="3173">
        <f t="shared" ca="1" si="1"/>
        <v>1.1000000000000001</v>
      </c>
      <c r="O45" s="3204">
        <f t="shared" ca="1" si="2"/>
        <v>136.33000000000001</v>
      </c>
    </row>
    <row r="46" spans="1:24">
      <c r="A46" s="3453"/>
      <c r="B46" s="3208" t="s">
        <v>3395</v>
      </c>
      <c r="C46" s="3210"/>
      <c r="D46" s="3206" t="s">
        <v>3348</v>
      </c>
      <c r="E46" s="3463"/>
      <c r="F46" s="3456"/>
      <c r="G46" s="3218">
        <v>124.97</v>
      </c>
      <c r="H46" s="3175">
        <v>1</v>
      </c>
      <c r="I46" s="3175">
        <v>1</v>
      </c>
      <c r="J46" s="3175"/>
      <c r="K46" s="3175">
        <f t="shared" ca="1" si="14"/>
        <v>1.5</v>
      </c>
      <c r="L46" s="3175">
        <f t="shared" ca="1" si="13"/>
        <v>6.84</v>
      </c>
      <c r="M46" s="3466"/>
      <c r="N46" s="3173">
        <f t="shared" ca="1" si="1"/>
        <v>1.1000000000000001</v>
      </c>
      <c r="O46" s="3204">
        <f t="shared" ca="1" si="2"/>
        <v>137.47</v>
      </c>
    </row>
    <row r="47" spans="1:24">
      <c r="A47" s="3453"/>
      <c r="B47" s="3208" t="s">
        <v>3396</v>
      </c>
      <c r="C47" s="3210"/>
      <c r="D47" s="3206" t="s">
        <v>3348</v>
      </c>
      <c r="E47" s="3463"/>
      <c r="F47" s="3456"/>
      <c r="G47" s="3218">
        <v>97.68</v>
      </c>
      <c r="H47" s="3175">
        <v>1.02</v>
      </c>
      <c r="I47" s="3175">
        <v>1</v>
      </c>
      <c r="J47" s="3175"/>
      <c r="K47" s="3175">
        <f t="shared" ca="1" si="14"/>
        <v>1.5</v>
      </c>
      <c r="L47" s="3175">
        <f t="shared" ca="1" si="13"/>
        <v>5.35</v>
      </c>
      <c r="M47" s="3466"/>
      <c r="N47" s="3173">
        <f t="shared" ca="1" si="1"/>
        <v>1.1000000000000001</v>
      </c>
      <c r="O47" s="3204">
        <f t="shared" ca="1" si="2"/>
        <v>107.45</v>
      </c>
    </row>
    <row r="48" spans="1:24">
      <c r="A48" s="3453"/>
      <c r="B48" s="3208" t="s">
        <v>3397</v>
      </c>
      <c r="C48" s="3210"/>
      <c r="D48" s="3206" t="s">
        <v>3348</v>
      </c>
      <c r="E48" s="3463"/>
      <c r="F48" s="3456"/>
      <c r="G48" s="3218">
        <v>137.05000000000001</v>
      </c>
      <c r="H48" s="3175">
        <v>1</v>
      </c>
      <c r="I48" s="3175">
        <v>1</v>
      </c>
      <c r="J48" s="3175"/>
      <c r="K48" s="3175">
        <f t="shared" ca="1" si="14"/>
        <v>1.5</v>
      </c>
      <c r="L48" s="3175">
        <f t="shared" ca="1" si="13"/>
        <v>7.5</v>
      </c>
      <c r="M48" s="3466"/>
      <c r="N48" s="3173">
        <f t="shared" ca="1" si="1"/>
        <v>1.1000000000000001</v>
      </c>
      <c r="O48" s="3204">
        <f t="shared" ca="1" si="2"/>
        <v>150.76</v>
      </c>
    </row>
    <row r="49" spans="1:18">
      <c r="A49" s="3453"/>
      <c r="B49" s="3208" t="s">
        <v>3398</v>
      </c>
      <c r="C49" s="3210"/>
      <c r="D49" s="3206" t="s">
        <v>3348</v>
      </c>
      <c r="E49" s="3463"/>
      <c r="F49" s="3456"/>
      <c r="G49" s="3218">
        <v>166.32</v>
      </c>
      <c r="H49" s="3175">
        <v>1</v>
      </c>
      <c r="I49" s="3175">
        <v>1</v>
      </c>
      <c r="J49" s="3175"/>
      <c r="K49" s="3175">
        <f t="shared" ca="1" si="14"/>
        <v>1.5</v>
      </c>
      <c r="L49" s="3175">
        <f t="shared" ca="1" si="13"/>
        <v>9.11</v>
      </c>
      <c r="M49" s="3466"/>
      <c r="N49" s="3173">
        <f t="shared" ca="1" si="1"/>
        <v>1.1000000000000001</v>
      </c>
      <c r="O49" s="3204">
        <f t="shared" ca="1" si="2"/>
        <v>182.95</v>
      </c>
    </row>
    <row r="50" spans="1:18">
      <c r="A50" s="3453"/>
      <c r="B50" s="3208" t="s">
        <v>3399</v>
      </c>
      <c r="C50" s="3210"/>
      <c r="D50" s="3206" t="s">
        <v>3348</v>
      </c>
      <c r="E50" s="3463"/>
      <c r="F50" s="3456"/>
      <c r="G50" s="3218">
        <v>164.96</v>
      </c>
      <c r="H50" s="3175">
        <v>1</v>
      </c>
      <c r="I50" s="3175">
        <v>1</v>
      </c>
      <c r="J50" s="3175"/>
      <c r="K50" s="3175">
        <f t="shared" ca="1" si="14"/>
        <v>1.5</v>
      </c>
      <c r="L50" s="3175">
        <f t="shared" ca="1" si="13"/>
        <v>9.0299999999999994</v>
      </c>
      <c r="M50" s="3466"/>
      <c r="N50" s="3173">
        <f t="shared" ca="1" si="1"/>
        <v>1.1000000000000001</v>
      </c>
      <c r="O50" s="3204">
        <f t="shared" ca="1" si="2"/>
        <v>181.46</v>
      </c>
    </row>
    <row r="51" spans="1:18">
      <c r="A51" s="3453"/>
      <c r="B51" s="3208" t="s">
        <v>3400</v>
      </c>
      <c r="C51" s="3210"/>
      <c r="D51" s="3206" t="s">
        <v>3348</v>
      </c>
      <c r="E51" s="3463"/>
      <c r="F51" s="3456"/>
      <c r="G51" s="3218">
        <v>168.1</v>
      </c>
      <c r="H51" s="3175">
        <v>1</v>
      </c>
      <c r="I51" s="3175">
        <v>1</v>
      </c>
      <c r="J51" s="3175"/>
      <c r="K51" s="3175">
        <f t="shared" ca="1" si="14"/>
        <v>1.5</v>
      </c>
      <c r="L51" s="3175">
        <f t="shared" ca="1" si="13"/>
        <v>9.1999999999999993</v>
      </c>
      <c r="M51" s="3466"/>
      <c r="N51" s="3173">
        <f t="shared" ca="1" si="1"/>
        <v>1.1000000000000001</v>
      </c>
      <c r="O51" s="3204">
        <f t="shared" ca="1" si="2"/>
        <v>184.91</v>
      </c>
    </row>
    <row r="52" spans="1:18">
      <c r="A52" s="3453"/>
      <c r="B52" s="3208" t="s">
        <v>3401</v>
      </c>
      <c r="C52" s="3210"/>
      <c r="D52" s="3206" t="s">
        <v>3348</v>
      </c>
      <c r="E52" s="3463"/>
      <c r="F52" s="3456"/>
      <c r="G52" s="3218">
        <v>157.13</v>
      </c>
      <c r="H52" s="3175">
        <v>1</v>
      </c>
      <c r="I52" s="3175">
        <v>1</v>
      </c>
      <c r="J52" s="3175"/>
      <c r="K52" s="3175">
        <f t="shared" ca="1" si="14"/>
        <v>1.5</v>
      </c>
      <c r="L52" s="3175">
        <f t="shared" ca="1" si="13"/>
        <v>8.6</v>
      </c>
      <c r="M52" s="3466"/>
      <c r="N52" s="3173">
        <f t="shared" ca="1" si="1"/>
        <v>1.1000000000000001</v>
      </c>
      <c r="O52" s="3204">
        <f t="shared" ca="1" si="2"/>
        <v>172.84</v>
      </c>
    </row>
    <row r="53" spans="1:18">
      <c r="A53" s="3453"/>
      <c r="B53" s="3208" t="s">
        <v>3402</v>
      </c>
      <c r="C53" s="3211"/>
      <c r="D53" s="3206" t="s">
        <v>3348</v>
      </c>
      <c r="E53" s="3464"/>
      <c r="F53" s="3456"/>
      <c r="G53" s="3218">
        <v>124.53</v>
      </c>
      <c r="H53" s="3175">
        <v>1</v>
      </c>
      <c r="I53" s="3175">
        <v>1</v>
      </c>
      <c r="J53" s="3175"/>
      <c r="K53" s="3175">
        <f t="shared" ca="1" si="14"/>
        <v>1.5</v>
      </c>
      <c r="L53" s="3175">
        <f t="shared" ca="1" si="13"/>
        <v>6.82</v>
      </c>
      <c r="M53" s="3467"/>
      <c r="N53" s="3173">
        <f t="shared" ca="1" si="1"/>
        <v>1.1000000000000001</v>
      </c>
      <c r="O53" s="3204">
        <f t="shared" ca="1" si="2"/>
        <v>136.97999999999999</v>
      </c>
    </row>
    <row r="54" spans="1:18">
      <c r="E54" s="3212"/>
      <c r="F54" s="3212"/>
      <c r="G54" s="3168">
        <f>SUM(G2:G53)</f>
        <v>8784.7000000000007</v>
      </c>
      <c r="K54" s="3168">
        <f ca="1">ROUND(L54/G54*10000/365,1)</f>
        <v>3.5</v>
      </c>
      <c r="L54" s="3168">
        <f ca="1">SUM(L2:L53)</f>
        <v>1113.0399999999993</v>
      </c>
      <c r="N54" s="3168">
        <f ca="1">ROUND(O54/G54,1)</f>
        <v>2.6</v>
      </c>
      <c r="O54" s="3168">
        <f ca="1">SUM(O2:O53)</f>
        <v>22876.630000000005</v>
      </c>
      <c r="P54" s="3198">
        <f>SUM(G39:G53)</f>
        <v>2039.01</v>
      </c>
      <c r="Q54" s="3198">
        <f ca="1">ROUND(R54*10000/365/P54,2)</f>
        <v>1.5</v>
      </c>
      <c r="R54" s="3198">
        <f ca="1">SUM(L39:L53)</f>
        <v>111.63999999999999</v>
      </c>
    </row>
    <row r="55" spans="1:18">
      <c r="E55" s="3212"/>
      <c r="F55" s="3212"/>
      <c r="O55" s="3204"/>
      <c r="P55" s="3168">
        <f>P38+P54</f>
        <v>8784.7000000000007</v>
      </c>
      <c r="Q55" s="3168">
        <f ca="1">R55*10000/365/P55</f>
        <v>3.4712906047266796</v>
      </c>
      <c r="R55" s="3168">
        <f ca="1">R38+R54</f>
        <v>1113.04</v>
      </c>
    </row>
    <row r="56" spans="1:18">
      <c r="E56" s="3212"/>
      <c r="F56" s="3212"/>
    </row>
    <row r="57" spans="1:18">
      <c r="E57" s="3212"/>
      <c r="F57" s="3212"/>
    </row>
    <row r="58" spans="1:18">
      <c r="E58" s="3212"/>
      <c r="F58" s="3212"/>
    </row>
    <row r="59" spans="1:18">
      <c r="E59" s="3212"/>
      <c r="F59" s="3212"/>
    </row>
    <row r="60" spans="1:18">
      <c r="E60" s="3212"/>
      <c r="F60" s="3212"/>
    </row>
    <row r="61" spans="1:18">
      <c r="E61" s="3212"/>
      <c r="F61" s="3212"/>
    </row>
    <row r="62" spans="1:18">
      <c r="E62" s="3212"/>
      <c r="F62" s="3212"/>
    </row>
    <row r="63" spans="1:18">
      <c r="E63" s="3212"/>
      <c r="F63" s="3212"/>
    </row>
    <row r="64" spans="1:18">
      <c r="E64" s="3212"/>
      <c r="F64" s="3212"/>
    </row>
    <row r="65" spans="5:6">
      <c r="E65" s="3212"/>
      <c r="F65" s="3212"/>
    </row>
    <row r="66" spans="5:6">
      <c r="E66" s="3212"/>
      <c r="F66" s="3212"/>
    </row>
    <row r="67" spans="5:6">
      <c r="E67" s="3212"/>
      <c r="F67" s="3212"/>
    </row>
    <row r="68" spans="5:6">
      <c r="E68" s="3212"/>
      <c r="F68" s="3212"/>
    </row>
    <row r="69" spans="5:6">
      <c r="E69" s="3212"/>
      <c r="F69" s="3212"/>
    </row>
    <row r="70" spans="5:6">
      <c r="E70" s="3212"/>
      <c r="F70" s="3212"/>
    </row>
    <row r="71" spans="5:6">
      <c r="E71" s="3212"/>
      <c r="F71" s="3212"/>
    </row>
    <row r="72" spans="5:6">
      <c r="E72" s="3212"/>
      <c r="F72" s="3212"/>
    </row>
    <row r="73" spans="5:6">
      <c r="E73" s="3212"/>
      <c r="F73" s="3212"/>
    </row>
    <row r="74" spans="5:6">
      <c r="E74" s="3212"/>
      <c r="F74" s="3212"/>
    </row>
    <row r="75" spans="5:6">
      <c r="E75" s="3212"/>
      <c r="F75" s="3212"/>
    </row>
    <row r="76" spans="5:6">
      <c r="E76" s="3212"/>
      <c r="F76" s="3212"/>
    </row>
    <row r="77" spans="5:6">
      <c r="E77" s="3212"/>
      <c r="F77" s="3212"/>
    </row>
    <row r="78" spans="5:6">
      <c r="E78" s="3212"/>
      <c r="F78" s="3212"/>
    </row>
    <row r="79" spans="5:6">
      <c r="E79" s="3212"/>
      <c r="F79" s="3212"/>
    </row>
    <row r="80" spans="5:6">
      <c r="E80" s="3212"/>
      <c r="F80" s="3212"/>
    </row>
    <row r="81" spans="1:6">
      <c r="E81" s="3212"/>
      <c r="F81" s="3212"/>
    </row>
    <row r="82" spans="1:6">
      <c r="E82" s="3212"/>
      <c r="F82" s="3212"/>
    </row>
    <row r="83" spans="1:6">
      <c r="E83" s="3212"/>
      <c r="F83" s="3212"/>
    </row>
    <row r="84" spans="1:6">
      <c r="E84" s="3212"/>
      <c r="F84" s="3212"/>
    </row>
    <row r="85" spans="1:6">
      <c r="E85" s="3212"/>
      <c r="F85" s="3212"/>
    </row>
    <row r="86" spans="1:6">
      <c r="E86" s="3212"/>
      <c r="F86" s="3212"/>
    </row>
    <row r="87" spans="1:6">
      <c r="E87" s="3212"/>
      <c r="F87" s="3212"/>
    </row>
    <row r="88" spans="1:6">
      <c r="E88" s="3212"/>
      <c r="F88" s="3212"/>
    </row>
    <row r="89" spans="1:6">
      <c r="E89" s="3212"/>
      <c r="F89" s="3212"/>
    </row>
    <row r="90" spans="1:6">
      <c r="E90" s="3212"/>
      <c r="F90" s="3212"/>
    </row>
    <row r="91" spans="1:6">
      <c r="E91" s="3212"/>
      <c r="F91" s="3212"/>
    </row>
    <row r="92" spans="1:6">
      <c r="E92" s="3212"/>
      <c r="F92" s="3212"/>
    </row>
    <row r="93" spans="1:6">
      <c r="A93" s="3169"/>
      <c r="B93" s="3213"/>
      <c r="E93" s="3212"/>
      <c r="F93" s="3212"/>
    </row>
    <row r="94" spans="1:6">
      <c r="E94" s="3212"/>
      <c r="F94" s="3212"/>
    </row>
    <row r="95" spans="1:6">
      <c r="E95" s="3212"/>
      <c r="F95" s="3212"/>
    </row>
    <row r="96" spans="1:6">
      <c r="E96" s="3212"/>
      <c r="F96" s="3212"/>
    </row>
    <row r="97" spans="5:27">
      <c r="E97" s="3212"/>
      <c r="F97" s="3212"/>
    </row>
    <row r="98" spans="5:27">
      <c r="E98" s="3212"/>
      <c r="F98" s="3212"/>
      <c r="AA98" s="3168" t="s">
        <v>3213</v>
      </c>
    </row>
    <row r="99" spans="5:27">
      <c r="E99" s="3212"/>
      <c r="F99" s="3212"/>
    </row>
    <row r="100" spans="5:27">
      <c r="E100" s="3212"/>
      <c r="F100" s="3212"/>
    </row>
    <row r="101" spans="5:27">
      <c r="E101" s="3212"/>
      <c r="F101" s="3212"/>
    </row>
    <row r="102" spans="5:27">
      <c r="E102" s="3212"/>
      <c r="F102" s="3212"/>
    </row>
    <row r="103" spans="5:27">
      <c r="E103" s="3212"/>
      <c r="F103" s="3212"/>
    </row>
    <row r="121" spans="1:4">
      <c r="A121" s="3169" t="s">
        <v>3212</v>
      </c>
      <c r="B121" s="3213"/>
      <c r="C121" s="3213"/>
      <c r="D121" s="3213"/>
    </row>
  </sheetData>
  <mergeCells count="17">
    <mergeCell ref="M2:M53"/>
    <mergeCell ref="V36:V39"/>
    <mergeCell ref="V41:V43"/>
    <mergeCell ref="V21:V24"/>
    <mergeCell ref="T2:T8"/>
    <mergeCell ref="U2:U8"/>
    <mergeCell ref="R2:R8"/>
    <mergeCell ref="A2:A53"/>
    <mergeCell ref="F26:F32"/>
    <mergeCell ref="F33:F38"/>
    <mergeCell ref="F39:F53"/>
    <mergeCell ref="E2:E11"/>
    <mergeCell ref="E12:E25"/>
    <mergeCell ref="E33:E38"/>
    <mergeCell ref="E26:E32"/>
    <mergeCell ref="E39:E53"/>
    <mergeCell ref="F12:F25"/>
  </mergeCells>
  <phoneticPr fontId="140" type="noConversion"/>
  <hyperlinks>
    <hyperlink ref="A121" r:id="rId1" xr:uid="{00000000-0004-0000-1300-000000000000}"/>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dimension ref="A1:P45"/>
  <sheetViews>
    <sheetView topLeftCell="A21" workbookViewId="0">
      <selection activeCell="C35" sqref="C3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73" t="s">
        <v>3057</v>
      </c>
      <c r="B1" s="3473"/>
      <c r="C1" s="3473"/>
      <c r="D1" s="3473"/>
      <c r="E1" s="3473"/>
      <c r="F1" s="3473"/>
      <c r="G1" s="3473"/>
      <c r="H1" s="3473"/>
      <c r="I1" s="3473"/>
      <c r="K1" s="3474" t="s">
        <v>3058</v>
      </c>
      <c r="L1" s="3055" t="s">
        <v>3059</v>
      </c>
      <c r="M1" s="3056">
        <v>0</v>
      </c>
      <c r="N1" s="1407"/>
      <c r="O1" s="1407"/>
    </row>
    <row r="2" spans="1:16" ht="15.75" customHeight="1">
      <c r="A2" s="3058" t="s">
        <v>608</v>
      </c>
      <c r="B2" s="3059" t="s">
        <v>3061</v>
      </c>
      <c r="C2" s="3475" t="s">
        <v>3062</v>
      </c>
      <c r="D2" s="3476"/>
      <c r="E2" s="3476"/>
      <c r="F2" s="3477"/>
      <c r="G2" s="3154" t="s">
        <v>3063</v>
      </c>
      <c r="H2" s="3478" t="s">
        <v>1048</v>
      </c>
      <c r="I2" s="3478"/>
      <c r="K2" s="3474"/>
      <c r="L2" s="3055" t="s">
        <v>3065</v>
      </c>
      <c r="M2" s="3061" t="s">
        <v>3204</v>
      </c>
      <c r="N2" s="3062">
        <v>2011</v>
      </c>
      <c r="O2" s="3062"/>
    </row>
    <row r="3" spans="1:16">
      <c r="A3" s="3155" t="s">
        <v>3066</v>
      </c>
      <c r="B3" s="3156" t="s">
        <v>3067</v>
      </c>
      <c r="C3" s="3475">
        <f>'比较法-商业铂郡'!B3*面积表!G2</f>
        <v>6204741.8800000008</v>
      </c>
      <c r="D3" s="3476"/>
      <c r="E3" s="3476"/>
      <c r="F3" s="3477"/>
      <c r="G3" s="3155" t="s">
        <v>3068</v>
      </c>
      <c r="H3" s="3065" t="s">
        <v>3069</v>
      </c>
      <c r="I3" s="3066">
        <f>'数据-取费表'!K8</f>
        <v>94.89</v>
      </c>
      <c r="K3" s="3474"/>
      <c r="L3" s="3055" t="s">
        <v>3070</v>
      </c>
      <c r="M3" s="3061" t="s">
        <v>3071</v>
      </c>
      <c r="N3" s="3062"/>
      <c r="O3" s="3067"/>
    </row>
    <row r="4" spans="1:16">
      <c r="A4" s="3479" t="s">
        <v>3072</v>
      </c>
      <c r="B4" s="3480" t="s">
        <v>3073</v>
      </c>
      <c r="C4" s="3481">
        <f>ROUND(C3*(I4-I6)/(1-((1+I6)/(1+I4))^I5),0)</f>
        <v>322386</v>
      </c>
      <c r="D4" s="3482"/>
      <c r="E4" s="3482"/>
      <c r="F4" s="3483"/>
      <c r="G4" s="3479" t="s">
        <v>3074</v>
      </c>
      <c r="H4" s="3068" t="s">
        <v>3075</v>
      </c>
      <c r="I4" s="3069">
        <f>'数据-取费表'!J8</f>
        <v>0.06</v>
      </c>
      <c r="K4" s="3474"/>
      <c r="L4" s="3055" t="s">
        <v>1049</v>
      </c>
      <c r="M4" s="3070">
        <f>ROUND(1-(1-M1)*M2/M3,2)</f>
        <v>0.83</v>
      </c>
      <c r="N4" s="3062"/>
      <c r="O4" s="3062"/>
    </row>
    <row r="5" spans="1:16" s="3074" customFormat="1" ht="18" customHeight="1">
      <c r="A5" s="3479"/>
      <c r="B5" s="3480"/>
      <c r="C5" s="3484"/>
      <c r="D5" s="3485"/>
      <c r="E5" s="3485"/>
      <c r="F5" s="3486"/>
      <c r="G5" s="3479"/>
      <c r="H5" s="3156" t="s">
        <v>3077</v>
      </c>
      <c r="I5" s="3071">
        <f>'数据-取费表'!F8</f>
        <v>30</v>
      </c>
      <c r="J5" s="3072"/>
      <c r="K5" s="3474"/>
      <c r="L5" s="3055" t="s">
        <v>3078</v>
      </c>
      <c r="M5" s="3073">
        <v>0.5</v>
      </c>
      <c r="N5" s="3062"/>
      <c r="O5" s="3062"/>
    </row>
    <row r="6" spans="1:16" s="3074" customFormat="1" ht="18" customHeight="1">
      <c r="A6" s="3479"/>
      <c r="B6" s="3480"/>
      <c r="C6" s="3487"/>
      <c r="D6" s="3488"/>
      <c r="E6" s="3488"/>
      <c r="F6" s="3489"/>
      <c r="G6" s="3479"/>
      <c r="H6" s="3156" t="s">
        <v>3079</v>
      </c>
      <c r="I6" s="3069">
        <f>'数据-取费表'!V8</f>
        <v>0.03</v>
      </c>
      <c r="J6" s="3075"/>
      <c r="K6" s="3490" t="s">
        <v>3080</v>
      </c>
      <c r="L6" s="3076" t="s">
        <v>3081</v>
      </c>
      <c r="M6" s="3077" t="s">
        <v>3082</v>
      </c>
      <c r="N6" s="3077" t="s">
        <v>3083</v>
      </c>
      <c r="O6" s="3077" t="s">
        <v>3084</v>
      </c>
      <c r="P6" s="3077" t="s">
        <v>3085</v>
      </c>
    </row>
    <row r="7" spans="1:16" s="3074" customFormat="1" ht="18" customHeight="1">
      <c r="A7" s="3155" t="s">
        <v>3086</v>
      </c>
      <c r="B7" s="3156" t="s">
        <v>3087</v>
      </c>
      <c r="C7" s="3475">
        <f ca="1">ROUND(C23*I7,0)</f>
        <v>492140</v>
      </c>
      <c r="D7" s="3476"/>
      <c r="E7" s="3476"/>
      <c r="F7" s="3477"/>
      <c r="G7" s="3154" t="s">
        <v>3088</v>
      </c>
      <c r="H7" s="3156" t="s">
        <v>3089</v>
      </c>
      <c r="I7" s="3078">
        <f>'数据-取费表'!N8</f>
        <v>0.85</v>
      </c>
      <c r="K7" s="3490"/>
      <c r="L7" s="3076" t="s">
        <v>3090</v>
      </c>
      <c r="M7" s="3077">
        <v>100</v>
      </c>
      <c r="N7" s="3077" t="s">
        <v>3091</v>
      </c>
      <c r="O7" s="3077">
        <v>90</v>
      </c>
      <c r="P7" s="3079">
        <v>0.3</v>
      </c>
    </row>
    <row r="8" spans="1:16" s="3074" customFormat="1" ht="18" customHeight="1">
      <c r="A8" s="3058" t="s">
        <v>3092</v>
      </c>
      <c r="B8" s="3156" t="s">
        <v>3093</v>
      </c>
      <c r="C8" s="3475">
        <f>ROUND(I8*I3,0)</f>
        <v>379560</v>
      </c>
      <c r="D8" s="3476"/>
      <c r="E8" s="3476"/>
      <c r="F8" s="3477"/>
      <c r="G8" s="3154" t="s">
        <v>3094</v>
      </c>
      <c r="H8" s="3156" t="s">
        <v>3095</v>
      </c>
      <c r="I8" s="3154">
        <f>'数据-取费表'!L8</f>
        <v>4000</v>
      </c>
      <c r="J8" s="3080">
        <f>D35</f>
        <v>9.8000000000000007</v>
      </c>
      <c r="K8" s="3490"/>
      <c r="L8" s="3076" t="s">
        <v>3096</v>
      </c>
      <c r="M8" s="3077">
        <v>100</v>
      </c>
      <c r="N8" s="3077" t="s">
        <v>3091</v>
      </c>
      <c r="O8" s="3077">
        <v>90</v>
      </c>
      <c r="P8" s="3079">
        <v>0.5</v>
      </c>
    </row>
    <row r="9" spans="1:16" s="3074" customFormat="1" ht="18" customHeight="1">
      <c r="A9" s="3058" t="s">
        <v>3098</v>
      </c>
      <c r="B9" s="3156" t="s">
        <v>3099</v>
      </c>
      <c r="C9" s="3475">
        <f>ROUND(C8*H9,0)</f>
        <v>15182</v>
      </c>
      <c r="D9" s="3476"/>
      <c r="E9" s="3476"/>
      <c r="F9" s="3477"/>
      <c r="G9" s="3154" t="s">
        <v>3100</v>
      </c>
      <c r="H9" s="3491">
        <f>'数据-取费表'!B33</f>
        <v>0.04</v>
      </c>
      <c r="I9" s="3491"/>
      <c r="J9" s="3080">
        <f ca="1">D36</f>
        <v>12.12</v>
      </c>
      <c r="K9" s="3490"/>
      <c r="L9" s="3076" t="s">
        <v>3101</v>
      </c>
      <c r="M9" s="3077">
        <v>100</v>
      </c>
      <c r="N9" s="3077" t="s">
        <v>3091</v>
      </c>
      <c r="O9" s="3077">
        <v>90</v>
      </c>
      <c r="P9" s="3079">
        <f>1-P7-P8</f>
        <v>0.19999999999999996</v>
      </c>
    </row>
    <row r="10" spans="1:16" s="3074" customFormat="1" ht="18" customHeight="1">
      <c r="A10" s="3058" t="s">
        <v>3102</v>
      </c>
      <c r="B10" s="3156" t="s">
        <v>3103</v>
      </c>
      <c r="C10" s="3475">
        <f>ROUND(C8*H10,0)</f>
        <v>0</v>
      </c>
      <c r="D10" s="3476"/>
      <c r="E10" s="3476"/>
      <c r="F10" s="3477"/>
      <c r="G10" s="3154" t="s">
        <v>3100</v>
      </c>
      <c r="H10" s="3491">
        <f>'数据-取费表'!B34</f>
        <v>0</v>
      </c>
      <c r="I10" s="3491"/>
      <c r="J10" s="3080">
        <f ca="1">D37</f>
        <v>10.5</v>
      </c>
      <c r="K10" s="3490"/>
      <c r="L10" s="3081" t="s">
        <v>3078</v>
      </c>
      <c r="M10" s="3082">
        <f>1-M5</f>
        <v>0.5</v>
      </c>
      <c r="N10" s="3077" t="s">
        <v>1049</v>
      </c>
      <c r="O10" s="3083">
        <f>ROUND((O7*P7+O8*P8+O9*P9)/100,2)</f>
        <v>0.9</v>
      </c>
      <c r="P10" s="3084"/>
    </row>
    <row r="11" spans="1:16" s="3074" customFormat="1" ht="29.25" customHeight="1">
      <c r="A11" s="3058" t="s">
        <v>3106</v>
      </c>
      <c r="B11" s="3156" t="s">
        <v>3107</v>
      </c>
      <c r="C11" s="3475">
        <f>ROUND(I11*I3,0)</f>
        <v>18978</v>
      </c>
      <c r="D11" s="3476"/>
      <c r="E11" s="3476"/>
      <c r="F11" s="3477"/>
      <c r="G11" s="3154" t="s">
        <v>3108</v>
      </c>
      <c r="H11" s="3156" t="s">
        <v>3109</v>
      </c>
      <c r="I11" s="3154">
        <f>'数据-取费表'!B28</f>
        <v>200</v>
      </c>
      <c r="J11" s="3072"/>
      <c r="K11" s="3085"/>
      <c r="L11" s="3085"/>
    </row>
    <row r="12" spans="1:16" s="3074" customFormat="1" ht="18" customHeight="1">
      <c r="A12" s="3058" t="s">
        <v>3110</v>
      </c>
      <c r="B12" s="3156" t="s">
        <v>3111</v>
      </c>
      <c r="C12" s="3475">
        <f>ROUND(C8*H12,0)</f>
        <v>5693</v>
      </c>
      <c r="D12" s="3476"/>
      <c r="E12" s="3476"/>
      <c r="F12" s="3477"/>
      <c r="G12" s="3154" t="s">
        <v>3100</v>
      </c>
      <c r="H12" s="3491">
        <f>'数据-取费表'!B36</f>
        <v>1.4999999999999999E-2</v>
      </c>
      <c r="I12" s="3491"/>
      <c r="J12" s="3086" t="s">
        <v>3113</v>
      </c>
      <c r="L12" s="3087"/>
    </row>
    <row r="13" spans="1:16" s="3074" customFormat="1" ht="18" customHeight="1">
      <c r="A13" s="3058" t="s">
        <v>1103</v>
      </c>
      <c r="B13" s="3156" t="s">
        <v>3115</v>
      </c>
      <c r="C13" s="3475">
        <f>SUM(C8:F12)</f>
        <v>419413</v>
      </c>
      <c r="D13" s="3476"/>
      <c r="E13" s="3476"/>
      <c r="F13" s="3477"/>
      <c r="G13" s="3478" t="s">
        <v>3116</v>
      </c>
      <c r="H13" s="3478"/>
      <c r="I13" s="3478"/>
      <c r="J13" s="3086" t="s">
        <v>3117</v>
      </c>
      <c r="L13" s="3087"/>
    </row>
    <row r="14" spans="1:16" s="3074" customFormat="1" ht="18" customHeight="1">
      <c r="A14" s="3058" t="s">
        <v>3118</v>
      </c>
      <c r="B14" s="3156" t="s">
        <v>3119</v>
      </c>
      <c r="C14" s="3475">
        <f>ROUND(C13*H14,0)</f>
        <v>8388</v>
      </c>
      <c r="D14" s="3476"/>
      <c r="E14" s="3476"/>
      <c r="F14" s="3477"/>
      <c r="G14" s="3154" t="s">
        <v>3120</v>
      </c>
      <c r="H14" s="3491">
        <f>'数据-取费表'!B37</f>
        <v>0.02</v>
      </c>
      <c r="I14" s="3491"/>
      <c r="J14" s="3072"/>
      <c r="L14" s="3087"/>
    </row>
    <row r="15" spans="1:16" s="3074" customFormat="1" ht="18" customHeight="1">
      <c r="A15" s="3058" t="s">
        <v>998</v>
      </c>
      <c r="B15" s="3156" t="s">
        <v>3122</v>
      </c>
      <c r="C15" s="3496">
        <f>H15</f>
        <v>0.02</v>
      </c>
      <c r="D15" s="3497"/>
      <c r="E15" s="3494" t="str">
        <f>E18</f>
        <v>V</v>
      </c>
      <c r="F15" s="3495"/>
      <c r="G15" s="3154" t="s">
        <v>3123</v>
      </c>
      <c r="H15" s="3491">
        <f>'数据-取费表'!B38</f>
        <v>0.02</v>
      </c>
      <c r="I15" s="3491"/>
      <c r="J15" s="3088"/>
      <c r="K15" s="3089"/>
    </row>
    <row r="16" spans="1:16" s="3074" customFormat="1" ht="18" customHeight="1">
      <c r="A16" s="3090" t="s">
        <v>999</v>
      </c>
      <c r="B16" s="3091" t="s">
        <v>3125</v>
      </c>
      <c r="C16" s="3152">
        <f ca="1">C17</f>
        <v>20321</v>
      </c>
      <c r="D16" s="3153" t="s">
        <v>3126</v>
      </c>
      <c r="E16" s="3094">
        <f ca="1">C18</f>
        <v>9.5E-4</v>
      </c>
      <c r="F16" s="3157" t="str">
        <f>E18</f>
        <v>V</v>
      </c>
      <c r="G16" s="3475" t="s">
        <v>3127</v>
      </c>
      <c r="H16" s="3476"/>
      <c r="I16" s="3477"/>
      <c r="J16" s="3072"/>
      <c r="K16" s="3085"/>
    </row>
    <row r="17" spans="1:12" s="3074" customFormat="1" ht="18" customHeight="1">
      <c r="A17" s="3058" t="s">
        <v>3128</v>
      </c>
      <c r="B17" s="3156" t="s">
        <v>3129</v>
      </c>
      <c r="C17" s="3475">
        <f ca="1">ROUND((C13+C14)*I18*(I17/2),0)</f>
        <v>20321</v>
      </c>
      <c r="D17" s="3476"/>
      <c r="E17" s="3476"/>
      <c r="F17" s="3477"/>
      <c r="G17" s="3152" t="s">
        <v>3130</v>
      </c>
      <c r="H17" s="3156" t="s">
        <v>3131</v>
      </c>
      <c r="I17" s="3096">
        <f>'数据-取费表'!B20</f>
        <v>2</v>
      </c>
      <c r="J17" s="3086" t="s">
        <v>3132</v>
      </c>
      <c r="K17" s="3085"/>
      <c r="L17" s="3085"/>
    </row>
    <row r="18" spans="1:12" s="3074" customFormat="1" ht="18" customHeight="1">
      <c r="A18" s="3058" t="s">
        <v>3133</v>
      </c>
      <c r="B18" s="3156" t="s">
        <v>3134</v>
      </c>
      <c r="C18" s="3492">
        <f ca="1">H15*I18*I17/2</f>
        <v>9.5E-4</v>
      </c>
      <c r="D18" s="3493"/>
      <c r="E18" s="3494" t="s">
        <v>3135</v>
      </c>
      <c r="F18" s="3495"/>
      <c r="G18" s="3152" t="s">
        <v>3136</v>
      </c>
      <c r="H18" s="3156" t="s">
        <v>3137</v>
      </c>
      <c r="I18" s="3160">
        <f ca="1">'数据-取费表'!B40</f>
        <v>4.7500000000000001E-2</v>
      </c>
      <c r="J18" s="3086" t="s">
        <v>3138</v>
      </c>
      <c r="K18" s="3085"/>
      <c r="L18" s="3085"/>
    </row>
    <row r="19" spans="1:12" s="3074" customFormat="1" ht="27" customHeight="1">
      <c r="A19" s="3058" t="s">
        <v>1000</v>
      </c>
      <c r="B19" s="3156" t="s">
        <v>3140</v>
      </c>
      <c r="C19" s="3152">
        <f>C20</f>
        <v>85560</v>
      </c>
      <c r="D19" s="3153" t="s">
        <v>3126</v>
      </c>
      <c r="E19" s="3153">
        <f>C21</f>
        <v>4.0000000000000001E-3</v>
      </c>
      <c r="F19" s="3157" t="str">
        <f>E21</f>
        <v>V</v>
      </c>
      <c r="G19" s="3475" t="s">
        <v>3141</v>
      </c>
      <c r="H19" s="3476"/>
      <c r="I19" s="3477"/>
      <c r="J19" s="3072"/>
      <c r="K19" s="3085"/>
      <c r="L19" s="3085"/>
    </row>
    <row r="20" spans="1:12" s="3074" customFormat="1" ht="26.25" customHeight="1">
      <c r="A20" s="3058" t="s">
        <v>3142</v>
      </c>
      <c r="B20" s="3156" t="s">
        <v>3143</v>
      </c>
      <c r="C20" s="3475">
        <f>ROUND((C13+C14)*I20,0)</f>
        <v>85560</v>
      </c>
      <c r="D20" s="3476"/>
      <c r="E20" s="3476"/>
      <c r="F20" s="3477"/>
      <c r="G20" s="3154" t="s">
        <v>3144</v>
      </c>
      <c r="H20" s="3500" t="s">
        <v>3145</v>
      </c>
      <c r="I20" s="3502">
        <f>'数据-取费表'!Q8</f>
        <v>0.2</v>
      </c>
      <c r="J20" s="3086" t="s">
        <v>3146</v>
      </c>
      <c r="K20" s="3085"/>
      <c r="L20" s="3085"/>
    </row>
    <row r="21" spans="1:12" s="3074" customFormat="1" ht="27" customHeight="1">
      <c r="A21" s="3058" t="s">
        <v>3142</v>
      </c>
      <c r="B21" s="3156" t="s">
        <v>3147</v>
      </c>
      <c r="C21" s="3503">
        <f>H15*I20</f>
        <v>4.0000000000000001E-3</v>
      </c>
      <c r="D21" s="3504"/>
      <c r="E21" s="3494" t="s">
        <v>3135</v>
      </c>
      <c r="F21" s="3495"/>
      <c r="G21" s="3154" t="s">
        <v>3149</v>
      </c>
      <c r="H21" s="3501"/>
      <c r="I21" s="3502"/>
      <c r="J21" s="3072"/>
      <c r="K21" s="3085"/>
      <c r="L21" s="3085"/>
    </row>
    <row r="22" spans="1:12" s="3074" customFormat="1" ht="18" customHeight="1">
      <c r="A22" s="3058" t="s">
        <v>1001</v>
      </c>
      <c r="B22" s="3156" t="s">
        <v>3151</v>
      </c>
      <c r="C22" s="3503">
        <f>ROUND(H22/1.05,4)</f>
        <v>5.33E-2</v>
      </c>
      <c r="D22" s="3504"/>
      <c r="E22" s="3494" t="s">
        <v>3135</v>
      </c>
      <c r="F22" s="3495"/>
      <c r="G22" s="3154" t="s">
        <v>3152</v>
      </c>
      <c r="H22" s="3491">
        <v>5.6000000000000001E-2</v>
      </c>
      <c r="I22" s="3491"/>
      <c r="J22" s="3098"/>
      <c r="K22" s="3085"/>
      <c r="L22" s="3085"/>
    </row>
    <row r="23" spans="1:12" s="3074" customFormat="1" ht="18" customHeight="1">
      <c r="A23" s="3058" t="s">
        <v>3153</v>
      </c>
      <c r="B23" s="3156" t="s">
        <v>3154</v>
      </c>
      <c r="C23" s="3475">
        <f ca="1">ROUND((C13+C14+C17+C20)/(1-H15-C18-C21-C22),0)</f>
        <v>578988</v>
      </c>
      <c r="D23" s="3476"/>
      <c r="E23" s="3476"/>
      <c r="F23" s="3477"/>
      <c r="G23" s="3475" t="s">
        <v>3155</v>
      </c>
      <c r="H23" s="3476"/>
      <c r="I23" s="3477"/>
      <c r="J23" s="3098"/>
      <c r="K23" s="3085"/>
      <c r="L23" s="3085"/>
    </row>
    <row r="24" spans="1:12" s="3074" customFormat="1" ht="18" customHeight="1">
      <c r="A24" s="3058" t="s">
        <v>3156</v>
      </c>
      <c r="B24" s="3156" t="s">
        <v>3157</v>
      </c>
      <c r="C24" s="3158">
        <f ca="1">C26+C27</f>
        <v>6282</v>
      </c>
      <c r="D24" s="3100" t="s">
        <v>3158</v>
      </c>
      <c r="E24" s="3498">
        <f>H25+H28</f>
        <v>0.13</v>
      </c>
      <c r="F24" s="3499"/>
      <c r="G24" s="3478" t="s">
        <v>3159</v>
      </c>
      <c r="H24" s="3478"/>
      <c r="I24" s="3478"/>
      <c r="J24" s="3098"/>
      <c r="K24" s="3085"/>
      <c r="L24" s="3085"/>
    </row>
    <row r="25" spans="1:12" s="3074" customFormat="1" ht="18" customHeight="1">
      <c r="A25" s="3058" t="s">
        <v>1103</v>
      </c>
      <c r="B25" s="3156" t="s">
        <v>3161</v>
      </c>
      <c r="C25" s="3496" t="s">
        <v>3162</v>
      </c>
      <c r="D25" s="3497"/>
      <c r="E25" s="3498">
        <f>H25</f>
        <v>0.12</v>
      </c>
      <c r="F25" s="3499"/>
      <c r="G25" s="3154" t="s">
        <v>3163</v>
      </c>
      <c r="H25" s="3505">
        <v>0.12</v>
      </c>
      <c r="I25" s="3505"/>
      <c r="J25" s="3088"/>
      <c r="K25" s="3085"/>
      <c r="L25" s="3085"/>
    </row>
    <row r="26" spans="1:12" s="3074" customFormat="1" ht="18" customHeight="1">
      <c r="A26" s="3058" t="s">
        <v>3118</v>
      </c>
      <c r="B26" s="3156" t="s">
        <v>1100</v>
      </c>
      <c r="C26" s="3475">
        <f ca="1">ROUND(C23*H26,0)</f>
        <v>5790</v>
      </c>
      <c r="D26" s="3476"/>
      <c r="E26" s="3476"/>
      <c r="F26" s="3477"/>
      <c r="G26" s="3154" t="s">
        <v>3166</v>
      </c>
      <c r="H26" s="3505">
        <f>'数据-取费表'!AK8</f>
        <v>0.01</v>
      </c>
      <c r="I26" s="3505"/>
      <c r="J26" s="3088"/>
      <c r="K26" s="3085"/>
      <c r="L26" s="3085"/>
    </row>
    <row r="27" spans="1:12" s="3074" customFormat="1" ht="18" customHeight="1">
      <c r="A27" s="3058" t="s">
        <v>998</v>
      </c>
      <c r="B27" s="3156" t="s">
        <v>3168</v>
      </c>
      <c r="C27" s="3475">
        <f ca="1">ROUND(C7*H27,0)</f>
        <v>492</v>
      </c>
      <c r="D27" s="3476"/>
      <c r="E27" s="3476"/>
      <c r="F27" s="3477"/>
      <c r="G27" s="3154" t="s">
        <v>3169</v>
      </c>
      <c r="H27" s="3506">
        <f>'数据-取费表'!AL8</f>
        <v>1E-3</v>
      </c>
      <c r="I27" s="3506"/>
      <c r="J27" s="3072"/>
      <c r="K27" s="3085"/>
      <c r="L27" s="3085"/>
    </row>
    <row r="28" spans="1:12" s="3074" customFormat="1" ht="18" customHeight="1">
      <c r="A28" s="3058" t="s">
        <v>999</v>
      </c>
      <c r="B28" s="3156" t="s">
        <v>3171</v>
      </c>
      <c r="C28" s="3496" t="s">
        <v>3162</v>
      </c>
      <c r="D28" s="3497"/>
      <c r="E28" s="3498">
        <f>H28</f>
        <v>0.01</v>
      </c>
      <c r="F28" s="3499"/>
      <c r="G28" s="3154" t="s">
        <v>3172</v>
      </c>
      <c r="H28" s="3505">
        <f>'数据-取费表'!AM8</f>
        <v>0.01</v>
      </c>
      <c r="I28" s="3505"/>
      <c r="J28" s="3101"/>
      <c r="K28" s="3085"/>
      <c r="L28" s="3085"/>
    </row>
    <row r="29" spans="1:12" s="3074" customFormat="1" ht="18" customHeight="1">
      <c r="A29" s="3155" t="s">
        <v>3173</v>
      </c>
      <c r="B29" s="3156" t="s">
        <v>3174</v>
      </c>
      <c r="C29" s="3475">
        <f ca="1">ROUND((C4+C24)/(1-E24),0)</f>
        <v>377779</v>
      </c>
      <c r="D29" s="3476"/>
      <c r="E29" s="3476"/>
      <c r="F29" s="3477"/>
      <c r="G29" s="3479" t="s">
        <v>3175</v>
      </c>
      <c r="H29" s="3479"/>
      <c r="I29" s="3479"/>
      <c r="J29" s="3102" t="s">
        <v>3176</v>
      </c>
      <c r="K29" s="3085"/>
      <c r="L29" s="3085"/>
    </row>
    <row r="30" spans="1:12" s="3074" customFormat="1" ht="21" customHeight="1">
      <c r="A30" s="3479" t="s">
        <v>3177</v>
      </c>
      <c r="B30" s="3480" t="s">
        <v>3178</v>
      </c>
      <c r="C30" s="3507">
        <f ca="1">ROUND(C29/I30/I31/I3,2)</f>
        <v>12.12</v>
      </c>
      <c r="D30" s="3508"/>
      <c r="E30" s="3508"/>
      <c r="F30" s="3509"/>
      <c r="G30" s="3478" t="s">
        <v>3179</v>
      </c>
      <c r="H30" s="3156" t="s">
        <v>3180</v>
      </c>
      <c r="I30" s="3154">
        <v>365</v>
      </c>
      <c r="J30" s="3103"/>
      <c r="K30" s="3085"/>
      <c r="L30" s="3085"/>
    </row>
    <row r="31" spans="1:12" s="3074" customFormat="1" ht="18" customHeight="1">
      <c r="A31" s="3479"/>
      <c r="B31" s="3480"/>
      <c r="C31" s="3510"/>
      <c r="D31" s="3511"/>
      <c r="E31" s="3511"/>
      <c r="F31" s="3512"/>
      <c r="G31" s="3478"/>
      <c r="H31" s="3156" t="s">
        <v>3181</v>
      </c>
      <c r="I31" s="3159">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14" t="s">
        <v>3182</v>
      </c>
      <c r="C33" s="3514"/>
      <c r="D33" s="3514"/>
      <c r="E33" s="3514"/>
      <c r="F33" s="3514"/>
      <c r="G33" s="3110"/>
      <c r="H33" s="3111"/>
      <c r="I33" s="3057"/>
      <c r="J33" s="3072"/>
      <c r="K33" s="3085"/>
      <c r="L33" s="3085"/>
      <c r="M33" s="3057"/>
    </row>
    <row r="34" spans="1:13" s="3074" customFormat="1" ht="18" customHeight="1">
      <c r="A34" s="3057"/>
      <c r="B34" s="3162" t="s">
        <v>3183</v>
      </c>
      <c r="C34" s="3161" t="s">
        <v>3085</v>
      </c>
      <c r="D34" s="3515" t="s">
        <v>3184</v>
      </c>
      <c r="E34" s="3515"/>
      <c r="F34" s="3515"/>
      <c r="G34" s="3110"/>
      <c r="H34" s="3111"/>
      <c r="I34" s="3057"/>
      <c r="J34" s="3098"/>
      <c r="K34" s="3057"/>
      <c r="L34" s="3057"/>
      <c r="M34" s="3057"/>
    </row>
    <row r="35" spans="1:13">
      <c r="B35" s="3162" t="s">
        <v>3185</v>
      </c>
      <c r="C35" s="3114">
        <v>0.7</v>
      </c>
      <c r="D35" s="3513">
        <f>'比较法-商业铂郡租金'!C48</f>
        <v>9.8000000000000007</v>
      </c>
      <c r="E35" s="3513"/>
      <c r="F35" s="3513"/>
      <c r="G35" s="3110">
        <f ca="1">(D35-D36)/D36</f>
        <v>-0.19141914191419132</v>
      </c>
      <c r="H35" s="3111"/>
      <c r="K35" s="3057"/>
      <c r="L35" s="3057"/>
    </row>
    <row r="36" spans="1:13" ht="20.100000000000001" customHeight="1">
      <c r="B36" s="3162" t="s">
        <v>3186</v>
      </c>
      <c r="C36" s="3114">
        <f>1-C35</f>
        <v>0.30000000000000004</v>
      </c>
      <c r="D36" s="3513">
        <f ca="1">C30</f>
        <v>12.12</v>
      </c>
      <c r="E36" s="3513"/>
      <c r="F36" s="3513"/>
      <c r="G36" s="3110"/>
      <c r="H36" s="3111"/>
      <c r="J36" s="3057"/>
      <c r="K36" s="3057"/>
      <c r="L36" s="3057"/>
    </row>
    <row r="37" spans="1:13" ht="22.5" customHeight="1">
      <c r="B37" s="3516" t="s">
        <v>3187</v>
      </c>
      <c r="C37" s="3516"/>
      <c r="D37" s="3513">
        <f ca="1">ROUND(C35*D35+C36*D36,2)</f>
        <v>10.5</v>
      </c>
      <c r="E37" s="3513"/>
      <c r="F37" s="3513"/>
      <c r="G37" s="3110">
        <f ca="1">ROUND(D37*I3/10000,2)</f>
        <v>0.1</v>
      </c>
      <c r="H37" s="3111"/>
      <c r="J37" s="3057"/>
      <c r="K37" s="3057"/>
      <c r="L37" s="3057"/>
    </row>
    <row r="38" spans="1:13" ht="22.5" customHeight="1">
      <c r="B38" s="3162" t="s">
        <v>3188</v>
      </c>
      <c r="C38" s="3162">
        <f ca="1">ROUND(D37*0.9,2)</f>
        <v>9.4499999999999993</v>
      </c>
      <c r="D38" s="3115" t="s">
        <v>3189</v>
      </c>
      <c r="E38" s="3513">
        <f ca="1">ROUND(D37*1.1,2)</f>
        <v>11.55</v>
      </c>
      <c r="F38" s="3513"/>
      <c r="G38" s="3110" t="s">
        <v>3190</v>
      </c>
      <c r="H38" s="3116">
        <v>12</v>
      </c>
      <c r="J38" s="3057"/>
      <c r="K38" s="3057"/>
      <c r="L38" s="3057"/>
    </row>
    <row r="39" spans="1:13" ht="18" customHeight="1">
      <c r="B39" s="3162" t="s">
        <v>3191</v>
      </c>
      <c r="C39" s="3162">
        <f ca="1">ROUND(C38+H39,2)</f>
        <v>9.5</v>
      </c>
      <c r="D39" s="3115" t="s">
        <v>3189</v>
      </c>
      <c r="E39" s="3513">
        <f ca="1">ROUND(E38+H39,2)</f>
        <v>11.6</v>
      </c>
      <c r="F39" s="3513"/>
      <c r="G39" s="3117" t="s">
        <v>3192</v>
      </c>
      <c r="H39" s="3117">
        <v>0.05</v>
      </c>
      <c r="J39" s="3057"/>
      <c r="K39" s="3057"/>
      <c r="L39" s="3057"/>
    </row>
    <row r="40" spans="1:13" ht="18" customHeight="1">
      <c r="B40" s="3118"/>
      <c r="C40" s="3119"/>
      <c r="D40" s="3120"/>
      <c r="E40" s="3120"/>
      <c r="F40" s="3120"/>
      <c r="G40" s="3110"/>
      <c r="H40" s="3111"/>
      <c r="J40" s="3057"/>
    </row>
    <row r="41" spans="1:13" ht="18" customHeight="1">
      <c r="B41" s="3110" t="s">
        <v>3193</v>
      </c>
      <c r="C41" s="3120"/>
      <c r="D41" s="3120"/>
      <c r="E41" s="3110" t="s">
        <v>3194</v>
      </c>
      <c r="F41" s="3120"/>
      <c r="G41" s="3110"/>
      <c r="H41" s="3110" t="s">
        <v>3195</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3202</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620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42212</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0" t="s">
        <v>2356</v>
      </c>
      <c r="D4" s="3521"/>
      <c r="E4" s="3522" t="s">
        <v>2357</v>
      </c>
      <c r="F4" s="3523"/>
      <c r="G4" s="3520" t="s">
        <v>2358</v>
      </c>
      <c r="H4" s="3521"/>
      <c r="I4" s="3520" t="s">
        <v>2359</v>
      </c>
      <c r="J4" s="3521"/>
      <c r="K4" s="567" t="s">
        <v>2360</v>
      </c>
      <c r="L4" s="2932"/>
      <c r="M4" s="2933"/>
      <c r="N4" s="2933"/>
      <c r="O4" s="2933"/>
      <c r="P4" s="3524" t="s">
        <v>2361</v>
      </c>
      <c r="Q4" s="3525"/>
      <c r="R4" s="3530" t="s">
        <v>2357</v>
      </c>
      <c r="S4" s="3531"/>
      <c r="T4" s="3530" t="s">
        <v>2358</v>
      </c>
      <c r="U4" s="3531"/>
      <c r="V4" s="3544" t="s">
        <v>2359</v>
      </c>
      <c r="W4" s="3544"/>
      <c r="X4" s="3166"/>
      <c r="Y4" s="3530" t="s">
        <v>2361</v>
      </c>
      <c r="Z4" s="3531"/>
      <c r="AA4" s="3517" t="s">
        <v>2357</v>
      </c>
      <c r="AB4" s="3544" t="s">
        <v>2358</v>
      </c>
      <c r="AC4" s="3517" t="s">
        <v>2359</v>
      </c>
    </row>
    <row r="5" spans="1:29" ht="15">
      <c r="A5" s="364"/>
      <c r="B5" s="365"/>
      <c r="C5" s="3534" t="s">
        <v>3214</v>
      </c>
      <c r="D5" s="3535"/>
      <c r="E5" s="3536" t="s">
        <v>3298</v>
      </c>
      <c r="F5" s="3537"/>
      <c r="G5" s="3534" t="s">
        <v>3298</v>
      </c>
      <c r="H5" s="3535"/>
      <c r="I5" s="3534" t="s">
        <v>3297</v>
      </c>
      <c r="J5" s="3535"/>
      <c r="K5" s="567"/>
      <c r="L5" s="2932"/>
      <c r="M5" s="2933"/>
      <c r="N5" s="2933"/>
      <c r="O5" s="2933"/>
      <c r="P5" s="3526"/>
      <c r="Q5" s="3527"/>
      <c r="R5" s="3532"/>
      <c r="S5" s="3533"/>
      <c r="T5" s="3532"/>
      <c r="U5" s="3533"/>
      <c r="V5" s="3544"/>
      <c r="W5" s="3544"/>
      <c r="X5" s="3166"/>
      <c r="Y5" s="3532"/>
      <c r="Z5" s="3533"/>
      <c r="AA5" s="3518"/>
      <c r="AB5" s="3544"/>
      <c r="AC5" s="3518"/>
    </row>
    <row r="6" spans="1:29" ht="15.75" thickBot="1">
      <c r="A6" s="366"/>
      <c r="B6" s="367"/>
      <c r="C6" s="3538" t="s">
        <v>2366</v>
      </c>
      <c r="D6" s="3539"/>
      <c r="E6" s="3540" t="s">
        <v>2366</v>
      </c>
      <c r="F6" s="3541"/>
      <c r="G6" s="3538" t="s">
        <v>2366</v>
      </c>
      <c r="H6" s="3539"/>
      <c r="I6" s="3538" t="s">
        <v>2366</v>
      </c>
      <c r="J6" s="3539"/>
      <c r="K6" s="567" t="s">
        <v>2367</v>
      </c>
      <c r="L6" s="2932"/>
      <c r="M6" s="2933"/>
      <c r="N6" s="2933"/>
      <c r="O6" s="2933"/>
      <c r="P6" s="3528"/>
      <c r="Q6" s="3529"/>
      <c r="R6" s="3532"/>
      <c r="S6" s="3533"/>
      <c r="T6" s="3542"/>
      <c r="U6" s="3543"/>
      <c r="V6" s="3544"/>
      <c r="W6" s="3544"/>
      <c r="X6" s="3166"/>
      <c r="Y6" s="3542"/>
      <c r="Z6" s="3543"/>
      <c r="AA6" s="3519"/>
      <c r="AB6" s="3544"/>
      <c r="AC6" s="3519"/>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45" t="s">
        <v>2369</v>
      </c>
      <c r="Q7" s="3546"/>
      <c r="R7" s="710" t="s">
        <v>17</v>
      </c>
      <c r="S7" s="711">
        <f t="shared" ref="S7:S15" si="0">F7</f>
        <v>100</v>
      </c>
      <c r="T7" s="710" t="s">
        <v>17</v>
      </c>
      <c r="U7" s="711">
        <f t="shared" ref="U7:U15" si="1">H7</f>
        <v>100</v>
      </c>
      <c r="V7" s="710" t="s">
        <v>17</v>
      </c>
      <c r="W7" s="711">
        <f t="shared" ref="W7:W15" si="2">J7</f>
        <v>100</v>
      </c>
      <c r="X7" s="712"/>
      <c r="Y7" s="3545" t="s">
        <v>2369</v>
      </c>
      <c r="Z7" s="3547"/>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100</v>
      </c>
      <c r="G8" s="374" t="s">
        <v>3216</v>
      </c>
      <c r="H8" s="371">
        <f>SUMIF(61:61,G8,62:62)-SUMIF(61:61,C8,62:62)+100</f>
        <v>100</v>
      </c>
      <c r="I8" s="374" t="s">
        <v>3216</v>
      </c>
      <c r="J8" s="371">
        <f>SUMIF(61:61,I8,62:62)-SUMIF(61:61,C8,62:62)+100</f>
        <v>100</v>
      </c>
      <c r="K8" s="568"/>
      <c r="L8" s="2934"/>
      <c r="M8" s="2935"/>
      <c r="N8" s="2935"/>
      <c r="O8" s="2935"/>
      <c r="P8" s="3545" t="s">
        <v>2372</v>
      </c>
      <c r="Q8" s="3547"/>
      <c r="R8" s="710" t="s">
        <v>17</v>
      </c>
      <c r="S8" s="711">
        <f t="shared" si="0"/>
        <v>100</v>
      </c>
      <c r="T8" s="710" t="s">
        <v>17</v>
      </c>
      <c r="U8" s="711">
        <f t="shared" si="1"/>
        <v>100</v>
      </c>
      <c r="V8" s="710" t="s">
        <v>17</v>
      </c>
      <c r="W8" s="711">
        <f t="shared" si="2"/>
        <v>100</v>
      </c>
      <c r="X8" s="712"/>
      <c r="Y8" s="3545" t="s">
        <v>2372</v>
      </c>
      <c r="Z8" s="3547"/>
      <c r="AA8" s="713">
        <f t="shared" ref="AA8:AA46" si="3">D8/F8</f>
        <v>1</v>
      </c>
      <c r="AB8" s="713">
        <f t="shared" ref="AB8:AB46" si="4">D8/H8</f>
        <v>1</v>
      </c>
      <c r="AC8" s="713">
        <f t="shared" ref="AC8:AC46" si="5">D8/J8</f>
        <v>1</v>
      </c>
    </row>
    <row r="9" spans="1:29" s="113" customFormat="1">
      <c r="A9" s="375" t="s">
        <v>2373</v>
      </c>
      <c r="B9" s="67" t="s">
        <v>2374</v>
      </c>
      <c r="C9" s="3127" t="s">
        <v>3218</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48" t="s">
        <v>2375</v>
      </c>
      <c r="Q9" s="3151" t="str">
        <f t="shared" ref="Q9:Q15" si="6">B9</f>
        <v>用途</v>
      </c>
      <c r="R9" s="710" t="s">
        <v>17</v>
      </c>
      <c r="S9" s="711">
        <f t="shared" si="0"/>
        <v>100</v>
      </c>
      <c r="T9" s="710" t="s">
        <v>17</v>
      </c>
      <c r="U9" s="711">
        <f t="shared" si="1"/>
        <v>100</v>
      </c>
      <c r="V9" s="710" t="s">
        <v>17</v>
      </c>
      <c r="W9" s="711">
        <f t="shared" si="2"/>
        <v>100</v>
      </c>
      <c r="X9" s="712"/>
      <c r="Y9" s="3427" t="s">
        <v>2376</v>
      </c>
      <c r="Z9" s="3150" t="str">
        <f t="shared" ref="Z9:Z15" si="7">Q9</f>
        <v>用途</v>
      </c>
      <c r="AA9" s="713">
        <f t="shared" si="3"/>
        <v>1</v>
      </c>
      <c r="AB9" s="713">
        <f t="shared" si="4"/>
        <v>1</v>
      </c>
      <c r="AC9" s="713">
        <f t="shared" si="5"/>
        <v>1</v>
      </c>
    </row>
    <row r="10" spans="1:29" s="386" customFormat="1" ht="27">
      <c r="A10" s="380"/>
      <c r="B10" s="381" t="s">
        <v>2377</v>
      </c>
      <c r="C10" s="382" t="s">
        <v>3248</v>
      </c>
      <c r="D10" s="132">
        <v>100</v>
      </c>
      <c r="E10" s="383" t="s">
        <v>3248</v>
      </c>
      <c r="F10" s="384">
        <f>SUMIF(65:65,E10,66:66)-SUMIF(65:65,C10,66:66)+100</f>
        <v>100</v>
      </c>
      <c r="G10" s="383" t="s">
        <v>3248</v>
      </c>
      <c r="H10" s="132">
        <f>SUMIF(65:65,G10,66:66)-SUMIF(65:65,C10,66:66)+100</f>
        <v>100</v>
      </c>
      <c r="I10" s="383" t="s">
        <v>3248</v>
      </c>
      <c r="J10" s="132">
        <f>SUMIF(65:65,I10,66:66)-SUMIF(65:65,C10,66:66)+100</f>
        <v>100</v>
      </c>
      <c r="K10" s="569">
        <v>1</v>
      </c>
      <c r="L10" s="2936"/>
      <c r="M10" s="2937"/>
      <c r="N10" s="2937"/>
      <c r="O10" s="2937"/>
      <c r="P10" s="3548"/>
      <c r="Q10" s="3151" t="str">
        <f t="shared" si="6"/>
        <v>土地使用年限（年）</v>
      </c>
      <c r="R10" s="710" t="s">
        <v>17</v>
      </c>
      <c r="S10" s="711">
        <f t="shared" si="0"/>
        <v>100</v>
      </c>
      <c r="T10" s="710" t="s">
        <v>17</v>
      </c>
      <c r="U10" s="711">
        <f t="shared" si="1"/>
        <v>100</v>
      </c>
      <c r="V10" s="710" t="s">
        <v>17</v>
      </c>
      <c r="W10" s="711">
        <f t="shared" si="2"/>
        <v>100</v>
      </c>
      <c r="X10" s="712"/>
      <c r="Y10" s="3427"/>
      <c r="Z10" s="3150"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48"/>
      <c r="Q11" s="3151" t="str">
        <f t="shared" si="6"/>
        <v>容积率</v>
      </c>
      <c r="R11" s="710" t="s">
        <v>17</v>
      </c>
      <c r="S11" s="711">
        <f t="shared" si="0"/>
        <v>100</v>
      </c>
      <c r="T11" s="710" t="s">
        <v>17</v>
      </c>
      <c r="U11" s="711">
        <f t="shared" si="1"/>
        <v>100</v>
      </c>
      <c r="V11" s="710" t="s">
        <v>17</v>
      </c>
      <c r="W11" s="711">
        <f t="shared" si="2"/>
        <v>100</v>
      </c>
      <c r="X11" s="712"/>
      <c r="Y11" s="3427"/>
      <c r="Z11" s="3150"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48"/>
      <c r="Q12" s="3151">
        <f t="shared" si="6"/>
        <v>111</v>
      </c>
      <c r="R12" s="710" t="s">
        <v>17</v>
      </c>
      <c r="S12" s="711">
        <f t="shared" si="0"/>
        <v>100</v>
      </c>
      <c r="T12" s="710" t="s">
        <v>17</v>
      </c>
      <c r="U12" s="711">
        <f t="shared" si="1"/>
        <v>100</v>
      </c>
      <c r="V12" s="710" t="s">
        <v>17</v>
      </c>
      <c r="W12" s="711">
        <f t="shared" si="2"/>
        <v>100</v>
      </c>
      <c r="X12" s="712"/>
      <c r="Y12" s="3427"/>
      <c r="Z12" s="3150">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48"/>
      <c r="Q13" s="3151">
        <f t="shared" si="6"/>
        <v>111</v>
      </c>
      <c r="R13" s="710" t="s">
        <v>17</v>
      </c>
      <c r="S13" s="711">
        <f t="shared" si="0"/>
        <v>100</v>
      </c>
      <c r="T13" s="710" t="s">
        <v>17</v>
      </c>
      <c r="U13" s="711">
        <f t="shared" si="1"/>
        <v>100</v>
      </c>
      <c r="V13" s="710" t="s">
        <v>17</v>
      </c>
      <c r="W13" s="711">
        <f t="shared" si="2"/>
        <v>100</v>
      </c>
      <c r="X13" s="712"/>
      <c r="Y13" s="3427"/>
      <c r="Z13" s="3150">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48"/>
      <c r="Q14" s="3151">
        <f t="shared" si="6"/>
        <v>111</v>
      </c>
      <c r="R14" s="710" t="s">
        <v>17</v>
      </c>
      <c r="S14" s="711">
        <f t="shared" si="0"/>
        <v>100</v>
      </c>
      <c r="T14" s="710" t="s">
        <v>17</v>
      </c>
      <c r="U14" s="711">
        <f t="shared" si="1"/>
        <v>100</v>
      </c>
      <c r="V14" s="710" t="s">
        <v>17</v>
      </c>
      <c r="W14" s="711">
        <f t="shared" si="2"/>
        <v>100</v>
      </c>
      <c r="X14" s="712"/>
      <c r="Y14" s="3427"/>
      <c r="Z14" s="3150">
        <f t="shared" si="7"/>
        <v>111</v>
      </c>
      <c r="AA14" s="713">
        <f t="shared" si="3"/>
        <v>1</v>
      </c>
      <c r="AB14" s="713">
        <f t="shared" si="4"/>
        <v>1</v>
      </c>
      <c r="AC14" s="713">
        <f t="shared" si="5"/>
        <v>1</v>
      </c>
    </row>
    <row r="15" spans="1:29" ht="81"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39"/>
      <c r="M15" s="2933"/>
      <c r="N15" s="2933"/>
      <c r="O15" s="2933"/>
      <c r="P15" s="3549" t="s">
        <v>2380</v>
      </c>
      <c r="Q15" s="3164" t="str">
        <f t="shared" si="6"/>
        <v>商业繁华度</v>
      </c>
      <c r="R15" s="714" t="s">
        <v>17</v>
      </c>
      <c r="S15" s="715">
        <f t="shared" si="0"/>
        <v>103</v>
      </c>
      <c r="T15" s="714" t="s">
        <v>17</v>
      </c>
      <c r="U15" s="715">
        <f t="shared" si="1"/>
        <v>103</v>
      </c>
      <c r="V15" s="714" t="s">
        <v>17</v>
      </c>
      <c r="W15" s="715">
        <f t="shared" si="2"/>
        <v>103</v>
      </c>
      <c r="X15" s="3166"/>
      <c r="Y15" s="3551" t="s">
        <v>2380</v>
      </c>
      <c r="Z15" s="3167" t="str">
        <f t="shared" si="7"/>
        <v>商业繁华度</v>
      </c>
      <c r="AA15" s="3165">
        <f t="shared" si="3"/>
        <v>0.970873786407767</v>
      </c>
      <c r="AB15" s="3165">
        <f t="shared" si="4"/>
        <v>0.970873786407767</v>
      </c>
      <c r="AC15" s="3165">
        <f t="shared" si="5"/>
        <v>0.970873786407767</v>
      </c>
    </row>
    <row r="16" spans="1:29" ht="15">
      <c r="A16" s="387"/>
      <c r="B16" s="405"/>
      <c r="C16" s="406" t="s">
        <v>3240</v>
      </c>
      <c r="D16" s="407"/>
      <c r="E16" s="406" t="s">
        <v>3243</v>
      </c>
      <c r="F16" s="408"/>
      <c r="G16" s="406" t="s">
        <v>3243</v>
      </c>
      <c r="H16" s="409"/>
      <c r="I16" s="406" t="s">
        <v>3243</v>
      </c>
      <c r="J16" s="407"/>
      <c r="K16" s="572"/>
      <c r="L16" s="2939"/>
      <c r="M16" s="2933"/>
      <c r="N16" s="2933"/>
      <c r="O16" s="2933"/>
      <c r="P16" s="3550"/>
      <c r="Q16" s="3164"/>
      <c r="R16" s="714"/>
      <c r="S16" s="715"/>
      <c r="T16" s="714"/>
      <c r="U16" s="715"/>
      <c r="V16" s="714"/>
      <c r="W16" s="715"/>
      <c r="X16" s="3166"/>
      <c r="Y16" s="3552"/>
      <c r="Z16" s="3167"/>
      <c r="AA16" s="3165">
        <v>1</v>
      </c>
      <c r="AB16" s="3165">
        <v>1</v>
      </c>
      <c r="AC16" s="3165">
        <v>1</v>
      </c>
    </row>
    <row r="17" spans="1:29" ht="5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50"/>
      <c r="Q17" s="3164" t="str">
        <f>B17</f>
        <v>交通便捷度</v>
      </c>
      <c r="R17" s="714" t="s">
        <v>17</v>
      </c>
      <c r="S17" s="715">
        <f>F17</f>
        <v>100</v>
      </c>
      <c r="T17" s="714" t="s">
        <v>17</v>
      </c>
      <c r="U17" s="715">
        <f>H17</f>
        <v>100</v>
      </c>
      <c r="V17" s="714" t="s">
        <v>17</v>
      </c>
      <c r="W17" s="715">
        <f>J17</f>
        <v>100</v>
      </c>
      <c r="X17" s="3166"/>
      <c r="Y17" s="3552"/>
      <c r="Z17" s="3167" t="str">
        <f>Q17</f>
        <v>交通便捷度</v>
      </c>
      <c r="AA17" s="3165">
        <f t="shared" si="3"/>
        <v>1</v>
      </c>
      <c r="AB17" s="3165">
        <f t="shared" si="4"/>
        <v>1</v>
      </c>
      <c r="AC17" s="3165">
        <f t="shared" si="5"/>
        <v>1</v>
      </c>
    </row>
    <row r="18" spans="1:29" ht="15">
      <c r="A18" s="387"/>
      <c r="B18" s="415"/>
      <c r="C18" s="2086" t="s">
        <v>3243</v>
      </c>
      <c r="D18" s="409"/>
      <c r="E18" s="406" t="s">
        <v>3243</v>
      </c>
      <c r="F18" s="412"/>
      <c r="G18" s="406" t="s">
        <v>3243</v>
      </c>
      <c r="H18" s="407"/>
      <c r="I18" s="406" t="s">
        <v>3243</v>
      </c>
      <c r="J18" s="407"/>
      <c r="K18" s="572"/>
      <c r="L18" s="2939"/>
      <c r="M18" s="2933"/>
      <c r="N18" s="2933"/>
      <c r="O18" s="2933"/>
      <c r="P18" s="3550"/>
      <c r="Q18" s="3164"/>
      <c r="R18" s="714"/>
      <c r="S18" s="715"/>
      <c r="T18" s="714"/>
      <c r="U18" s="715"/>
      <c r="V18" s="714"/>
      <c r="W18" s="715"/>
      <c r="X18" s="3166"/>
      <c r="Y18" s="3552"/>
      <c r="Z18" s="3167"/>
      <c r="AA18" s="3165">
        <v>1</v>
      </c>
      <c r="AB18" s="3165">
        <v>1</v>
      </c>
      <c r="AC18" s="3165">
        <v>1</v>
      </c>
    </row>
    <row r="19" spans="1:29" ht="93.7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0"/>
      <c r="Q19" s="3164" t="str">
        <f>B19</f>
        <v>公共配套设施</v>
      </c>
      <c r="R19" s="714" t="s">
        <v>17</v>
      </c>
      <c r="S19" s="715">
        <f>F19</f>
        <v>100</v>
      </c>
      <c r="T19" s="714" t="s">
        <v>17</v>
      </c>
      <c r="U19" s="715">
        <f>H19</f>
        <v>100</v>
      </c>
      <c r="V19" s="714" t="s">
        <v>17</v>
      </c>
      <c r="W19" s="715">
        <f>J19</f>
        <v>100</v>
      </c>
      <c r="X19" s="3166"/>
      <c r="Y19" s="3552"/>
      <c r="Z19" s="3167" t="str">
        <f>Q19</f>
        <v>公共配套设施</v>
      </c>
      <c r="AA19" s="3165">
        <f t="shared" si="3"/>
        <v>1</v>
      </c>
      <c r="AB19" s="3165">
        <f t="shared" si="4"/>
        <v>1</v>
      </c>
      <c r="AC19" s="3165">
        <f t="shared" si="5"/>
        <v>1</v>
      </c>
    </row>
    <row r="20" spans="1:29" ht="13.5" customHeight="1">
      <c r="A20" s="387"/>
      <c r="B20" s="415"/>
      <c r="C20" s="406" t="s">
        <v>3243</v>
      </c>
      <c r="D20" s="407"/>
      <c r="E20" s="406" t="s">
        <v>3243</v>
      </c>
      <c r="F20" s="408"/>
      <c r="G20" s="406" t="s">
        <v>3243</v>
      </c>
      <c r="H20" s="407"/>
      <c r="I20" s="406" t="s">
        <v>3243</v>
      </c>
      <c r="J20" s="407"/>
      <c r="K20" s="572"/>
      <c r="L20" s="2939"/>
      <c r="M20" s="2933"/>
      <c r="N20" s="2933"/>
      <c r="O20" s="2933"/>
      <c r="P20" s="3550"/>
      <c r="Q20" s="3164"/>
      <c r="R20" s="714"/>
      <c r="S20" s="715"/>
      <c r="T20" s="714"/>
      <c r="U20" s="715"/>
      <c r="V20" s="714"/>
      <c r="W20" s="715"/>
      <c r="X20" s="3166"/>
      <c r="Y20" s="3552"/>
      <c r="Z20" s="3167"/>
      <c r="AA20" s="3165">
        <v>1</v>
      </c>
      <c r="AB20" s="3165">
        <v>1</v>
      </c>
      <c r="AC20" s="3165">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0"/>
      <c r="Q21" s="3164" t="str">
        <f>B21</f>
        <v>基础设施水平</v>
      </c>
      <c r="R21" s="714" t="s">
        <v>17</v>
      </c>
      <c r="S21" s="715">
        <f>F21</f>
        <v>100</v>
      </c>
      <c r="T21" s="714" t="s">
        <v>17</v>
      </c>
      <c r="U21" s="715">
        <f>H21</f>
        <v>100</v>
      </c>
      <c r="V21" s="714" t="s">
        <v>17</v>
      </c>
      <c r="W21" s="715">
        <f>J21</f>
        <v>100</v>
      </c>
      <c r="X21" s="3166"/>
      <c r="Y21" s="3552"/>
      <c r="Z21" s="3167" t="str">
        <f>Q21</f>
        <v>基础设施水平</v>
      </c>
      <c r="AA21" s="3165">
        <f t="shared" ref="AA21" si="8">D21/F21</f>
        <v>1</v>
      </c>
      <c r="AB21" s="3165">
        <f t="shared" ref="AB21" si="9">D21/H21</f>
        <v>1</v>
      </c>
      <c r="AC21" s="3165">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50"/>
      <c r="Q22" s="3164"/>
      <c r="R22" s="714"/>
      <c r="S22" s="715"/>
      <c r="T22" s="714"/>
      <c r="U22" s="715"/>
      <c r="V22" s="714"/>
      <c r="W22" s="715"/>
      <c r="X22" s="3166"/>
      <c r="Y22" s="3552"/>
      <c r="Z22" s="3167"/>
      <c r="AA22" s="3165">
        <v>1</v>
      </c>
      <c r="AB22" s="3165">
        <v>1</v>
      </c>
      <c r="AC22" s="3165">
        <v>1</v>
      </c>
    </row>
    <row r="23" spans="1:29" ht="77.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0"/>
      <c r="Q23" s="3164" t="str">
        <f>B23</f>
        <v>自然及人文环境</v>
      </c>
      <c r="R23" s="714" t="s">
        <v>17</v>
      </c>
      <c r="S23" s="715">
        <f>F23</f>
        <v>100</v>
      </c>
      <c r="T23" s="714" t="s">
        <v>17</v>
      </c>
      <c r="U23" s="715">
        <f>H23</f>
        <v>100</v>
      </c>
      <c r="V23" s="714" t="s">
        <v>17</v>
      </c>
      <c r="W23" s="715">
        <f>J23</f>
        <v>100</v>
      </c>
      <c r="X23" s="3166"/>
      <c r="Y23" s="3552"/>
      <c r="Z23" s="3167" t="str">
        <f>Q23</f>
        <v>自然及人文环境</v>
      </c>
      <c r="AA23" s="3165">
        <f t="shared" si="3"/>
        <v>1</v>
      </c>
      <c r="AB23" s="3165">
        <f t="shared" si="4"/>
        <v>1</v>
      </c>
      <c r="AC23" s="3165">
        <f t="shared" si="5"/>
        <v>1</v>
      </c>
    </row>
    <row r="24" spans="1:29" ht="15">
      <c r="A24" s="387"/>
      <c r="B24" s="415"/>
      <c r="C24" s="406" t="s">
        <v>3243</v>
      </c>
      <c r="D24" s="407"/>
      <c r="E24" s="406" t="s">
        <v>3243</v>
      </c>
      <c r="F24" s="408"/>
      <c r="G24" s="406" t="s">
        <v>3243</v>
      </c>
      <c r="H24" s="407"/>
      <c r="I24" s="406" t="s">
        <v>3243</v>
      </c>
      <c r="J24" s="407"/>
      <c r="K24" s="572"/>
      <c r="L24" s="2939"/>
      <c r="M24" s="2933"/>
      <c r="N24" s="2933"/>
      <c r="O24" s="2933"/>
      <c r="P24" s="3550"/>
      <c r="Q24" s="3164"/>
      <c r="R24" s="714"/>
      <c r="S24" s="715"/>
      <c r="T24" s="714"/>
      <c r="U24" s="715"/>
      <c r="V24" s="714"/>
      <c r="W24" s="715"/>
      <c r="X24" s="3166"/>
      <c r="Y24" s="3552"/>
      <c r="Z24" s="3167"/>
      <c r="AA24" s="3165">
        <v>1</v>
      </c>
      <c r="AB24" s="3165">
        <v>1</v>
      </c>
      <c r="AC24" s="3165">
        <v>1</v>
      </c>
    </row>
    <row r="25" spans="1:29" ht="15">
      <c r="A25" s="387"/>
      <c r="B25" s="381" t="s">
        <v>2476</v>
      </c>
      <c r="C25" s="573" t="s">
        <v>3235</v>
      </c>
      <c r="D25" s="394">
        <v>100</v>
      </c>
      <c r="E25" s="573" t="s">
        <v>3235</v>
      </c>
      <c r="F25" s="420">
        <f>SUMIF(86:86,E25,87:87)-SUMIF(86:86,C25,87:87)+100</f>
        <v>100</v>
      </c>
      <c r="G25" s="573" t="s">
        <v>3235</v>
      </c>
      <c r="H25" s="394">
        <f>SUMIF(86:86,G25,87:87)-SUMIF(86:86,C25,87:87)+100</f>
        <v>100</v>
      </c>
      <c r="I25" s="573" t="s">
        <v>3235</v>
      </c>
      <c r="J25" s="394">
        <f>SUMIF(86:86,I25,87:87)-SUMIF(86:86,C25,87:87)+100</f>
        <v>100</v>
      </c>
      <c r="K25" s="569">
        <v>3</v>
      </c>
      <c r="L25" s="2939"/>
      <c r="M25" s="2933"/>
      <c r="N25" s="2933"/>
      <c r="O25" s="2933"/>
      <c r="P25" s="3550"/>
      <c r="Q25" s="3164" t="str">
        <f t="shared" ref="Q25:Q46" si="11">B25</f>
        <v>临街状况</v>
      </c>
      <c r="R25" s="714" t="s">
        <v>17</v>
      </c>
      <c r="S25" s="715">
        <f>F25</f>
        <v>100</v>
      </c>
      <c r="T25" s="714" t="s">
        <v>17</v>
      </c>
      <c r="U25" s="715">
        <f>H25</f>
        <v>100</v>
      </c>
      <c r="V25" s="714" t="s">
        <v>17</v>
      </c>
      <c r="W25" s="715">
        <f>J25</f>
        <v>100</v>
      </c>
      <c r="X25" s="3166"/>
      <c r="Y25" s="3552"/>
      <c r="Z25" s="3167" t="str">
        <f>Q25</f>
        <v>临街状况</v>
      </c>
      <c r="AA25" s="3165">
        <f t="shared" si="3"/>
        <v>1</v>
      </c>
      <c r="AB25" s="3165">
        <f t="shared" si="4"/>
        <v>1</v>
      </c>
      <c r="AC25" s="3165">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0"/>
      <c r="Q26" s="3164" t="str">
        <f t="shared" si="11"/>
        <v>平面位置/可视性</v>
      </c>
      <c r="R26" s="714" t="s">
        <v>17</v>
      </c>
      <c r="S26" s="715">
        <f>F26</f>
        <v>100</v>
      </c>
      <c r="T26" s="714" t="s">
        <v>17</v>
      </c>
      <c r="U26" s="715">
        <f>H26</f>
        <v>100</v>
      </c>
      <c r="V26" s="714" t="s">
        <v>17</v>
      </c>
      <c r="W26" s="715">
        <f>J26</f>
        <v>100</v>
      </c>
      <c r="X26" s="3166"/>
      <c r="Y26" s="3552"/>
      <c r="Z26" s="3167" t="str">
        <f>Q26</f>
        <v>平面位置/可视性</v>
      </c>
      <c r="AA26" s="3165">
        <f t="shared" si="3"/>
        <v>1</v>
      </c>
      <c r="AB26" s="3165">
        <f t="shared" si="4"/>
        <v>1</v>
      </c>
      <c r="AC26" s="3165">
        <f t="shared" si="5"/>
        <v>1</v>
      </c>
    </row>
    <row r="27" spans="1:29" s="113" customFormat="1" ht="15">
      <c r="A27" s="390"/>
      <c r="B27" s="410" t="s">
        <v>2478</v>
      </c>
      <c r="C27" s="2141" t="s">
        <v>3239</v>
      </c>
      <c r="D27" s="421">
        <v>100</v>
      </c>
      <c r="E27" s="2141" t="s">
        <v>3244</v>
      </c>
      <c r="F27" s="423">
        <f>SUMIF(90:90,E27,91:91)-SUMIF(90:90,C27,91:91)+100</f>
        <v>115</v>
      </c>
      <c r="G27" s="2141" t="s">
        <v>3244</v>
      </c>
      <c r="H27" s="421">
        <f>SUMIF(90:90,G27,91:91)-SUMIF(90:90,C27,91:91)+100</f>
        <v>115</v>
      </c>
      <c r="I27" s="2141" t="s">
        <v>3244</v>
      </c>
      <c r="J27" s="421">
        <f>SUMIF(90:90,I27,91:91)-SUMIF(90:90,C27,91:91)+100</f>
        <v>115</v>
      </c>
      <c r="K27" s="569">
        <v>15</v>
      </c>
      <c r="L27" s="2934"/>
      <c r="M27" s="2935"/>
      <c r="N27" s="2935"/>
      <c r="O27" s="2935"/>
      <c r="P27" s="3550"/>
      <c r="Q27" s="3151" t="str">
        <f t="shared" si="11"/>
        <v>人流量</v>
      </c>
      <c r="R27" s="710" t="s">
        <v>17</v>
      </c>
      <c r="S27" s="711">
        <f>F27</f>
        <v>115</v>
      </c>
      <c r="T27" s="710" t="s">
        <v>17</v>
      </c>
      <c r="U27" s="711">
        <f>H27</f>
        <v>115</v>
      </c>
      <c r="V27" s="710" t="s">
        <v>17</v>
      </c>
      <c r="W27" s="711">
        <f>J27</f>
        <v>115</v>
      </c>
      <c r="X27" s="712"/>
      <c r="Y27" s="3552"/>
      <c r="Z27" s="3150" t="str">
        <f>Q27</f>
        <v>人流量</v>
      </c>
      <c r="AA27" s="3165">
        <f>D27/F27</f>
        <v>0.86956521739130432</v>
      </c>
      <c r="AB27" s="3165">
        <f>D27/H27</f>
        <v>0.86956521739130432</v>
      </c>
      <c r="AC27" s="3165">
        <f>D27/J27</f>
        <v>0.86956521739130432</v>
      </c>
    </row>
    <row r="28" spans="1:29" ht="15">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50"/>
      <c r="Q28" s="3164" t="str">
        <f t="shared" si="11"/>
        <v>楼层</v>
      </c>
      <c r="R28" s="714" t="s">
        <v>17</v>
      </c>
      <c r="S28" s="715">
        <f t="shared" ref="S28:S46" si="12">F28</f>
        <v>100</v>
      </c>
      <c r="T28" s="714" t="s">
        <v>17</v>
      </c>
      <c r="U28" s="715">
        <f t="shared" ref="U28:U46" si="13">H28</f>
        <v>100</v>
      </c>
      <c r="V28" s="714" t="s">
        <v>17</v>
      </c>
      <c r="W28" s="715">
        <f t="shared" ref="W28:W46" si="14">J28</f>
        <v>100</v>
      </c>
      <c r="X28" s="3166"/>
      <c r="Y28" s="3552"/>
      <c r="Z28" s="3167" t="str">
        <f t="shared" ref="Z28:Z46" si="15">Q28</f>
        <v>楼层</v>
      </c>
      <c r="AA28" s="3165">
        <f t="shared" si="3"/>
        <v>1</v>
      </c>
      <c r="AB28" s="3165">
        <f t="shared" si="4"/>
        <v>1</v>
      </c>
      <c r="AC28" s="3165">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0"/>
      <c r="Q29" s="3164">
        <f t="shared" si="11"/>
        <v>111</v>
      </c>
      <c r="R29" s="714" t="s">
        <v>17</v>
      </c>
      <c r="S29" s="715">
        <f t="shared" si="12"/>
        <v>100</v>
      </c>
      <c r="T29" s="714" t="s">
        <v>17</v>
      </c>
      <c r="U29" s="715">
        <f t="shared" si="13"/>
        <v>100</v>
      </c>
      <c r="V29" s="714" t="s">
        <v>17</v>
      </c>
      <c r="W29" s="715">
        <f t="shared" si="14"/>
        <v>100</v>
      </c>
      <c r="X29" s="3166"/>
      <c r="Y29" s="3552"/>
      <c r="Z29" s="3167">
        <f t="shared" si="15"/>
        <v>111</v>
      </c>
      <c r="AA29" s="3165">
        <f t="shared" si="3"/>
        <v>1</v>
      </c>
      <c r="AB29" s="3165">
        <f t="shared" si="4"/>
        <v>1</v>
      </c>
      <c r="AC29" s="3165">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0"/>
      <c r="Q30" s="3164">
        <f t="shared" si="11"/>
        <v>111</v>
      </c>
      <c r="R30" s="714" t="s">
        <v>17</v>
      </c>
      <c r="S30" s="715">
        <f t="shared" si="12"/>
        <v>100</v>
      </c>
      <c r="T30" s="714" t="s">
        <v>17</v>
      </c>
      <c r="U30" s="715">
        <f t="shared" si="13"/>
        <v>100</v>
      </c>
      <c r="V30" s="714" t="s">
        <v>17</v>
      </c>
      <c r="W30" s="715">
        <f t="shared" si="14"/>
        <v>100</v>
      </c>
      <c r="X30" s="3166"/>
      <c r="Y30" s="3552"/>
      <c r="Z30" s="3167">
        <f t="shared" si="15"/>
        <v>111</v>
      </c>
      <c r="AA30" s="3165">
        <f t="shared" si="3"/>
        <v>1</v>
      </c>
      <c r="AB30" s="3165">
        <f t="shared" si="4"/>
        <v>1</v>
      </c>
      <c r="AC30" s="3165">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0"/>
      <c r="Q31" s="3164">
        <f t="shared" si="11"/>
        <v>111</v>
      </c>
      <c r="R31" s="714" t="s">
        <v>17</v>
      </c>
      <c r="S31" s="715">
        <f t="shared" si="12"/>
        <v>100</v>
      </c>
      <c r="T31" s="714" t="s">
        <v>17</v>
      </c>
      <c r="U31" s="715">
        <f t="shared" si="13"/>
        <v>100</v>
      </c>
      <c r="V31" s="714" t="s">
        <v>17</v>
      </c>
      <c r="W31" s="715">
        <f t="shared" si="14"/>
        <v>100</v>
      </c>
      <c r="X31" s="3166"/>
      <c r="Y31" s="3552"/>
      <c r="Z31" s="3167">
        <f t="shared" si="15"/>
        <v>111</v>
      </c>
      <c r="AA31" s="3165">
        <f t="shared" si="3"/>
        <v>1</v>
      </c>
      <c r="AB31" s="3165">
        <f t="shared" si="4"/>
        <v>1</v>
      </c>
      <c r="AC31" s="3165">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v>3</v>
      </c>
      <c r="L32" s="2939"/>
      <c r="M32" s="2933"/>
      <c r="N32" s="2933"/>
      <c r="O32" s="2933"/>
      <c r="P32" s="3553" t="s">
        <v>2385</v>
      </c>
      <c r="Q32" s="3164" t="str">
        <f t="shared" si="11"/>
        <v>商业类型</v>
      </c>
      <c r="R32" s="714" t="s">
        <v>17</v>
      </c>
      <c r="S32" s="715">
        <f t="shared" si="12"/>
        <v>100</v>
      </c>
      <c r="T32" s="714" t="s">
        <v>17</v>
      </c>
      <c r="U32" s="715">
        <f t="shared" si="13"/>
        <v>100</v>
      </c>
      <c r="V32" s="714" t="s">
        <v>17</v>
      </c>
      <c r="W32" s="715">
        <f t="shared" si="14"/>
        <v>100</v>
      </c>
      <c r="X32" s="3166"/>
      <c r="Y32" s="3556" t="s">
        <v>2385</v>
      </c>
      <c r="Z32" s="3167" t="str">
        <f t="shared" si="15"/>
        <v>商业类型</v>
      </c>
      <c r="AA32" s="3165">
        <f t="shared" si="3"/>
        <v>1</v>
      </c>
      <c r="AB32" s="3165">
        <f t="shared" si="4"/>
        <v>1</v>
      </c>
      <c r="AC32" s="3165">
        <f t="shared" si="5"/>
        <v>1</v>
      </c>
    </row>
    <row r="33" spans="1:29" s="430" customFormat="1" ht="15">
      <c r="A33" s="427"/>
      <c r="B33" s="381" t="s">
        <v>2386</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8"/>
      <c r="M33" s="2940"/>
      <c r="N33" s="2940"/>
      <c r="O33" s="2940"/>
      <c r="P33" s="3554"/>
      <c r="Q33" s="716" t="str">
        <f t="shared" si="11"/>
        <v>项目建筑规模</v>
      </c>
      <c r="R33" s="717" t="s">
        <v>17</v>
      </c>
      <c r="S33" s="718">
        <f t="shared" si="12"/>
        <v>100</v>
      </c>
      <c r="T33" s="717" t="s">
        <v>17</v>
      </c>
      <c r="U33" s="718">
        <f t="shared" si="13"/>
        <v>100</v>
      </c>
      <c r="V33" s="717" t="s">
        <v>17</v>
      </c>
      <c r="W33" s="718">
        <f t="shared" si="14"/>
        <v>100</v>
      </c>
      <c r="X33" s="719"/>
      <c r="Y33" s="3556"/>
      <c r="Z33" s="720" t="str">
        <f t="shared" si="15"/>
        <v>项目建筑规模</v>
      </c>
      <c r="AA33" s="3165">
        <f t="shared" si="3"/>
        <v>1</v>
      </c>
      <c r="AB33" s="3165">
        <f t="shared" si="4"/>
        <v>1</v>
      </c>
      <c r="AC33" s="3165">
        <f t="shared" si="5"/>
        <v>1</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v>2</v>
      </c>
      <c r="L34" s="2939"/>
      <c r="M34" s="2933"/>
      <c r="N34" s="2933"/>
      <c r="O34" s="2933"/>
      <c r="P34" s="3554"/>
      <c r="Q34" s="3164" t="str">
        <f t="shared" si="11"/>
        <v>建筑结构</v>
      </c>
      <c r="R34" s="714" t="s">
        <v>17</v>
      </c>
      <c r="S34" s="715">
        <f t="shared" si="12"/>
        <v>100</v>
      </c>
      <c r="T34" s="714" t="s">
        <v>17</v>
      </c>
      <c r="U34" s="715">
        <f t="shared" si="13"/>
        <v>100</v>
      </c>
      <c r="V34" s="714" t="s">
        <v>17</v>
      </c>
      <c r="W34" s="715">
        <f t="shared" si="14"/>
        <v>100</v>
      </c>
      <c r="X34" s="3166"/>
      <c r="Y34" s="3556"/>
      <c r="Z34" s="3167" t="str">
        <f t="shared" si="15"/>
        <v>建筑结构</v>
      </c>
      <c r="AA34" s="3165">
        <f t="shared" si="3"/>
        <v>1</v>
      </c>
      <c r="AB34" s="3165">
        <f t="shared" si="4"/>
        <v>1</v>
      </c>
      <c r="AC34" s="3165">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v>2</v>
      </c>
      <c r="L35" s="2939"/>
      <c r="M35" s="2933"/>
      <c r="N35" s="2933"/>
      <c r="O35" s="2933"/>
      <c r="P35" s="3554"/>
      <c r="Q35" s="3164" t="str">
        <f t="shared" si="11"/>
        <v>公共部分装修</v>
      </c>
      <c r="R35" s="714" t="s">
        <v>17</v>
      </c>
      <c r="S35" s="715">
        <f t="shared" si="12"/>
        <v>100</v>
      </c>
      <c r="T35" s="714" t="s">
        <v>17</v>
      </c>
      <c r="U35" s="715">
        <f t="shared" si="13"/>
        <v>100</v>
      </c>
      <c r="V35" s="714" t="s">
        <v>17</v>
      </c>
      <c r="W35" s="715">
        <f t="shared" si="14"/>
        <v>100</v>
      </c>
      <c r="X35" s="3166"/>
      <c r="Y35" s="3556"/>
      <c r="Z35" s="3167" t="str">
        <f t="shared" si="15"/>
        <v>公共部分装修</v>
      </c>
      <c r="AA35" s="3165">
        <f t="shared" si="3"/>
        <v>1</v>
      </c>
      <c r="AB35" s="3165">
        <f t="shared" si="4"/>
        <v>1</v>
      </c>
      <c r="AC35" s="3165">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39"/>
      <c r="M36" s="2933"/>
      <c r="N36" s="2933"/>
      <c r="O36" s="2933"/>
      <c r="P36" s="3554"/>
      <c r="Q36" s="3164" t="str">
        <f t="shared" si="11"/>
        <v>成新度</v>
      </c>
      <c r="R36" s="714" t="s">
        <v>17</v>
      </c>
      <c r="S36" s="715">
        <f t="shared" si="12"/>
        <v>100</v>
      </c>
      <c r="T36" s="714" t="s">
        <v>17</v>
      </c>
      <c r="U36" s="715">
        <f t="shared" si="13"/>
        <v>100</v>
      </c>
      <c r="V36" s="714" t="s">
        <v>17</v>
      </c>
      <c r="W36" s="715">
        <f t="shared" si="14"/>
        <v>100</v>
      </c>
      <c r="X36" s="3166"/>
      <c r="Y36" s="3556"/>
      <c r="Z36" s="3167" t="str">
        <f t="shared" si="15"/>
        <v>成新度</v>
      </c>
      <c r="AA36" s="3165">
        <f t="shared" si="3"/>
        <v>1</v>
      </c>
      <c r="AB36" s="3165">
        <f t="shared" si="4"/>
        <v>1</v>
      </c>
      <c r="AC36" s="3165">
        <f t="shared" si="5"/>
        <v>1</v>
      </c>
    </row>
    <row r="37" spans="1:29" s="113" customFormat="1" ht="15">
      <c r="A37" s="432"/>
      <c r="B37" s="381" t="s">
        <v>2483</v>
      </c>
      <c r="C37" s="3137" t="s">
        <v>3223</v>
      </c>
      <c r="D37" s="132">
        <v>100</v>
      </c>
      <c r="E37" s="3137" t="s">
        <v>3223</v>
      </c>
      <c r="F37" s="420">
        <f>SUMIF(112:112,E37,113:113)-SUMIF(112:112,C37,113:113)+100</f>
        <v>100</v>
      </c>
      <c r="G37" s="3137" t="s">
        <v>3223</v>
      </c>
      <c r="H37" s="394">
        <f>SUMIF(112:112,G37,113:113)-SUMIF(112:112,C37,113:113)+100</f>
        <v>100</v>
      </c>
      <c r="I37" s="3137" t="s">
        <v>3223</v>
      </c>
      <c r="J37" s="394">
        <f>SUMIF(112:112,I37,113:113)-SUMIF(112:112,C37,113:113)+100</f>
        <v>100</v>
      </c>
      <c r="K37" s="569">
        <v>2</v>
      </c>
      <c r="L37" s="2934"/>
      <c r="M37" s="2935"/>
      <c r="N37" s="2935"/>
      <c r="O37" s="2935"/>
      <c r="P37" s="3554"/>
      <c r="Q37" s="3151" t="str">
        <f t="shared" si="11"/>
        <v>市政基础设施</v>
      </c>
      <c r="R37" s="710" t="s">
        <v>17</v>
      </c>
      <c r="S37" s="711">
        <f t="shared" si="12"/>
        <v>100</v>
      </c>
      <c r="T37" s="710" t="s">
        <v>17</v>
      </c>
      <c r="U37" s="711">
        <f t="shared" si="13"/>
        <v>100</v>
      </c>
      <c r="V37" s="710" t="s">
        <v>17</v>
      </c>
      <c r="W37" s="711">
        <f t="shared" si="14"/>
        <v>100</v>
      </c>
      <c r="X37" s="712"/>
      <c r="Y37" s="3556"/>
      <c r="Z37" s="3150"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54" t="s">
        <v>2385</v>
      </c>
      <c r="Q38" s="3164" t="str">
        <f t="shared" si="11"/>
        <v>业态</v>
      </c>
      <c r="R38" s="714" t="s">
        <v>17</v>
      </c>
      <c r="S38" s="715">
        <f t="shared" si="12"/>
        <v>100</v>
      </c>
      <c r="T38" s="714" t="s">
        <v>17</v>
      </c>
      <c r="U38" s="715">
        <f t="shared" si="13"/>
        <v>100</v>
      </c>
      <c r="V38" s="714" t="s">
        <v>17</v>
      </c>
      <c r="W38" s="715">
        <f t="shared" si="14"/>
        <v>100</v>
      </c>
      <c r="X38" s="3166"/>
      <c r="Y38" s="3556" t="s">
        <v>2385</v>
      </c>
      <c r="Z38" s="3167" t="str">
        <f t="shared" si="15"/>
        <v>业态</v>
      </c>
      <c r="AA38" s="3165">
        <f t="shared" si="3"/>
        <v>1</v>
      </c>
      <c r="AB38" s="3165">
        <f t="shared" si="4"/>
        <v>1</v>
      </c>
      <c r="AC38" s="3165">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v>2</v>
      </c>
      <c r="L39" s="2939"/>
      <c r="M39" s="2933"/>
      <c r="N39" s="2933"/>
      <c r="O39" s="2933"/>
      <c r="P39" s="3554"/>
      <c r="Q39" s="3164" t="str">
        <f t="shared" si="11"/>
        <v>层高</v>
      </c>
      <c r="R39" s="714" t="s">
        <v>17</v>
      </c>
      <c r="S39" s="715">
        <f t="shared" si="12"/>
        <v>100</v>
      </c>
      <c r="T39" s="714" t="s">
        <v>17</v>
      </c>
      <c r="U39" s="715">
        <f t="shared" si="13"/>
        <v>100</v>
      </c>
      <c r="V39" s="714" t="s">
        <v>17</v>
      </c>
      <c r="W39" s="715">
        <f t="shared" si="14"/>
        <v>100</v>
      </c>
      <c r="X39" s="3166"/>
      <c r="Y39" s="3556"/>
      <c r="Z39" s="3167" t="str">
        <f t="shared" si="15"/>
        <v>层高</v>
      </c>
      <c r="AA39" s="3165">
        <f t="shared" si="3"/>
        <v>1</v>
      </c>
      <c r="AB39" s="3165">
        <f t="shared" si="4"/>
        <v>1</v>
      </c>
      <c r="AC39" s="3165">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54"/>
      <c r="Q40" s="3164" t="str">
        <f t="shared" si="11"/>
        <v>单套建筑面积</v>
      </c>
      <c r="R40" s="714" t="s">
        <v>17</v>
      </c>
      <c r="S40" s="715">
        <f t="shared" si="12"/>
        <v>100</v>
      </c>
      <c r="T40" s="714" t="s">
        <v>17</v>
      </c>
      <c r="U40" s="715">
        <f t="shared" si="13"/>
        <v>100</v>
      </c>
      <c r="V40" s="714" t="s">
        <v>17</v>
      </c>
      <c r="W40" s="715">
        <f t="shared" si="14"/>
        <v>100</v>
      </c>
      <c r="X40" s="3166"/>
      <c r="Y40" s="3556"/>
      <c r="Z40" s="3167" t="str">
        <f t="shared" si="15"/>
        <v>单套建筑面积</v>
      </c>
      <c r="AA40" s="3165">
        <f t="shared" si="3"/>
        <v>1</v>
      </c>
      <c r="AB40" s="3165">
        <f t="shared" si="4"/>
        <v>1</v>
      </c>
      <c r="AC40" s="3165">
        <f t="shared" si="5"/>
        <v>1</v>
      </c>
    </row>
    <row r="41" spans="1:29" s="430" customFormat="1" ht="15">
      <c r="A41" s="427"/>
      <c r="B41" s="316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54"/>
      <c r="Q41" s="716" t="str">
        <f t="shared" si="11"/>
        <v>进深比</v>
      </c>
      <c r="R41" s="717" t="s">
        <v>17</v>
      </c>
      <c r="S41" s="718">
        <f t="shared" si="12"/>
        <v>100</v>
      </c>
      <c r="T41" s="717" t="s">
        <v>17</v>
      </c>
      <c r="U41" s="718">
        <f t="shared" si="13"/>
        <v>100</v>
      </c>
      <c r="V41" s="717" t="s">
        <v>17</v>
      </c>
      <c r="W41" s="718">
        <f t="shared" si="14"/>
        <v>100</v>
      </c>
      <c r="X41" s="719"/>
      <c r="Y41" s="3556"/>
      <c r="Z41" s="720" t="str">
        <f t="shared" si="15"/>
        <v>进深比</v>
      </c>
      <c r="AA41" s="3165">
        <f t="shared" si="3"/>
        <v>1</v>
      </c>
      <c r="AB41" s="3165">
        <f t="shared" si="4"/>
        <v>1</v>
      </c>
      <c r="AC41" s="3165">
        <f t="shared" si="5"/>
        <v>1</v>
      </c>
    </row>
    <row r="42" spans="1:29" ht="15">
      <c r="A42" s="431"/>
      <c r="B42" s="381" t="s">
        <v>2488</v>
      </c>
      <c r="C42" s="2091" t="s">
        <v>3241</v>
      </c>
      <c r="D42" s="394">
        <v>100</v>
      </c>
      <c r="E42" s="2091" t="s">
        <v>3241</v>
      </c>
      <c r="F42" s="420">
        <f>SUMIF(122:122,E42,123:123)-SUMIF(122:122,C42,123:123)+100</f>
        <v>100</v>
      </c>
      <c r="G42" s="2091" t="s">
        <v>3241</v>
      </c>
      <c r="H42" s="394">
        <f>SUMIF(122:122,G42,123:123)-SUMIF(122:122,C42,123:123)+100</f>
        <v>100</v>
      </c>
      <c r="I42" s="2091" t="s">
        <v>3241</v>
      </c>
      <c r="J42" s="394">
        <f>SUMIF(122:122,I42,123:123)-SUMIF(122:122,C42,123:123)+100</f>
        <v>100</v>
      </c>
      <c r="K42" s="569">
        <v>3</v>
      </c>
      <c r="L42" s="2939"/>
      <c r="M42" s="2933"/>
      <c r="N42" s="2933"/>
      <c r="O42" s="2933"/>
      <c r="P42" s="3554"/>
      <c r="Q42" s="3164" t="str">
        <f t="shared" si="11"/>
        <v>内部装修</v>
      </c>
      <c r="R42" s="714" t="s">
        <v>17</v>
      </c>
      <c r="S42" s="715">
        <f t="shared" si="12"/>
        <v>100</v>
      </c>
      <c r="T42" s="714" t="s">
        <v>17</v>
      </c>
      <c r="U42" s="715">
        <f t="shared" si="13"/>
        <v>100</v>
      </c>
      <c r="V42" s="714" t="s">
        <v>17</v>
      </c>
      <c r="W42" s="715">
        <f t="shared" si="14"/>
        <v>100</v>
      </c>
      <c r="X42" s="3166"/>
      <c r="Y42" s="3556"/>
      <c r="Z42" s="3167" t="str">
        <f t="shared" si="15"/>
        <v>内部装修</v>
      </c>
      <c r="AA42" s="3165">
        <f t="shared" si="3"/>
        <v>1</v>
      </c>
      <c r="AB42" s="3165">
        <f t="shared" si="4"/>
        <v>1</v>
      </c>
      <c r="AC42" s="3165">
        <f t="shared" si="5"/>
        <v>1</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v>2</v>
      </c>
      <c r="L43" s="2939"/>
      <c r="M43" s="2933"/>
      <c r="N43" s="2933"/>
      <c r="O43" s="2933"/>
      <c r="P43" s="3554"/>
      <c r="Q43" s="3164" t="str">
        <f t="shared" si="11"/>
        <v>内部装修维护情况</v>
      </c>
      <c r="R43" s="714" t="s">
        <v>17</v>
      </c>
      <c r="S43" s="715">
        <f t="shared" si="12"/>
        <v>100</v>
      </c>
      <c r="T43" s="714" t="s">
        <v>17</v>
      </c>
      <c r="U43" s="715">
        <f t="shared" si="13"/>
        <v>100</v>
      </c>
      <c r="V43" s="714" t="s">
        <v>17</v>
      </c>
      <c r="W43" s="715">
        <f t="shared" si="14"/>
        <v>100</v>
      </c>
      <c r="X43" s="3166"/>
      <c r="Y43" s="3556"/>
      <c r="Z43" s="3167" t="str">
        <f t="shared" si="15"/>
        <v>内部装修维护情况</v>
      </c>
      <c r="AA43" s="3165">
        <f t="shared" si="3"/>
        <v>1</v>
      </c>
      <c r="AB43" s="3165">
        <f t="shared" si="4"/>
        <v>1</v>
      </c>
      <c r="AC43" s="3165">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54"/>
      <c r="Q44" s="3151">
        <f t="shared" si="11"/>
        <v>111</v>
      </c>
      <c r="R44" s="710" t="s">
        <v>17</v>
      </c>
      <c r="S44" s="711">
        <f t="shared" si="12"/>
        <v>100</v>
      </c>
      <c r="T44" s="710" t="s">
        <v>17</v>
      </c>
      <c r="U44" s="711">
        <f t="shared" si="13"/>
        <v>100</v>
      </c>
      <c r="V44" s="710" t="s">
        <v>17</v>
      </c>
      <c r="W44" s="711">
        <f t="shared" si="14"/>
        <v>100</v>
      </c>
      <c r="X44" s="712"/>
      <c r="Y44" s="3556"/>
      <c r="Z44" s="3150">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54"/>
      <c r="Q45" s="3164">
        <f t="shared" si="11"/>
        <v>111</v>
      </c>
      <c r="R45" s="714" t="s">
        <v>17</v>
      </c>
      <c r="S45" s="715">
        <f t="shared" si="12"/>
        <v>100</v>
      </c>
      <c r="T45" s="714" t="s">
        <v>17</v>
      </c>
      <c r="U45" s="715">
        <f t="shared" si="13"/>
        <v>100</v>
      </c>
      <c r="V45" s="714" t="s">
        <v>17</v>
      </c>
      <c r="W45" s="715">
        <f t="shared" si="14"/>
        <v>100</v>
      </c>
      <c r="X45" s="3166"/>
      <c r="Y45" s="3556"/>
      <c r="Z45" s="3167">
        <f t="shared" si="15"/>
        <v>111</v>
      </c>
      <c r="AA45" s="3165">
        <f t="shared" si="3"/>
        <v>1</v>
      </c>
      <c r="AB45" s="3165">
        <f t="shared" si="4"/>
        <v>1</v>
      </c>
      <c r="AC45" s="3165">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55"/>
      <c r="Q46" s="3164">
        <f t="shared" si="11"/>
        <v>111</v>
      </c>
      <c r="R46" s="714" t="s">
        <v>17</v>
      </c>
      <c r="S46" s="715">
        <f t="shared" si="12"/>
        <v>100</v>
      </c>
      <c r="T46" s="714" t="s">
        <v>17</v>
      </c>
      <c r="U46" s="715">
        <f t="shared" si="13"/>
        <v>100</v>
      </c>
      <c r="V46" s="714" t="s">
        <v>17</v>
      </c>
      <c r="W46" s="715">
        <f t="shared" si="14"/>
        <v>100</v>
      </c>
      <c r="X46" s="3166"/>
      <c r="Y46" s="3557"/>
      <c r="Z46" s="3167">
        <f t="shared" si="15"/>
        <v>111</v>
      </c>
      <c r="AA46" s="3165">
        <f t="shared" si="3"/>
        <v>1</v>
      </c>
      <c r="AB46" s="3165">
        <f t="shared" si="4"/>
        <v>1</v>
      </c>
      <c r="AC46" s="3165">
        <f t="shared" si="5"/>
        <v>1</v>
      </c>
    </row>
    <row r="47" spans="1:29" ht="15">
      <c r="A47" s="438" t="s">
        <v>2397</v>
      </c>
      <c r="B47" s="439"/>
      <c r="C47" s="1316" t="s">
        <v>1</v>
      </c>
      <c r="D47" s="1317"/>
      <c r="E47" s="1318">
        <v>50000</v>
      </c>
      <c r="F47" s="1319"/>
      <c r="G47" s="1320">
        <v>50000</v>
      </c>
      <c r="H47" s="1321"/>
      <c r="I47" s="1318">
        <v>50000</v>
      </c>
      <c r="J47" s="1321"/>
      <c r="K47" s="723"/>
      <c r="L47" s="2941"/>
      <c r="M47" s="2942"/>
      <c r="N47" s="2933"/>
      <c r="O47" s="2942"/>
      <c r="P47" s="3558" t="str">
        <f>A47</f>
        <v>成交单价（元/平方米）</v>
      </c>
      <c r="Q47" s="3558"/>
      <c r="R47" s="3544">
        <f>E47</f>
        <v>50000</v>
      </c>
      <c r="S47" s="3544"/>
      <c r="T47" s="3544">
        <f>G47</f>
        <v>50000</v>
      </c>
      <c r="U47" s="3544"/>
      <c r="V47" s="3544">
        <f>I47</f>
        <v>50000</v>
      </c>
      <c r="W47" s="3544"/>
      <c r="X47" s="699"/>
      <c r="Y47" s="721"/>
      <c r="Z47" s="699"/>
      <c r="AA47" s="699"/>
      <c r="AB47" s="699"/>
      <c r="AC47" s="699"/>
    </row>
    <row r="48" spans="1:29" ht="15.75" thickBot="1">
      <c r="A48" s="445" t="s">
        <v>2398</v>
      </c>
      <c r="B48" s="446"/>
      <c r="C48" s="1322">
        <f>R49</f>
        <v>42212</v>
      </c>
      <c r="D48" s="2528" t="s">
        <v>2878</v>
      </c>
      <c r="E48" s="1323">
        <f>R48</f>
        <v>42212</v>
      </c>
      <c r="F48" s="2529"/>
      <c r="G48" s="1322">
        <f>T48</f>
        <v>42212</v>
      </c>
      <c r="H48" s="2529"/>
      <c r="I48" s="1323">
        <f>V48</f>
        <v>42212</v>
      </c>
      <c r="J48" s="2529"/>
      <c r="K48" s="2531">
        <f>F48+H48+J48</f>
        <v>0</v>
      </c>
      <c r="L48" s="2941"/>
      <c r="M48" s="2942"/>
      <c r="N48" s="2933"/>
      <c r="O48" s="2942"/>
      <c r="P48" s="3558" t="str">
        <f>A48</f>
        <v>比较价值（元/平方米）</v>
      </c>
      <c r="Q48" s="3558"/>
      <c r="R48" s="3559">
        <f>IF(F1="售价",ROUND(PRODUCT(R47,AA7:AA46),0),ROUND(PRODUCT(R47,AA7:AA46),1))</f>
        <v>42212</v>
      </c>
      <c r="S48" s="3559"/>
      <c r="T48" s="3559">
        <f>IF(F1="售价",ROUND(PRODUCT(T47,AB7:AB46),0),ROUND(PRODUCT(T47,AB7:AB46),1))</f>
        <v>42212</v>
      </c>
      <c r="U48" s="3559"/>
      <c r="V48" s="3559">
        <f>IF(F1="售价",ROUND(PRODUCT(V47,AC7:AC46),0),ROUND(PRODUCT(V47,AC7:AC46),1))</f>
        <v>42212</v>
      </c>
      <c r="W48" s="3559"/>
      <c r="X48" s="699"/>
      <c r="Y48" s="699"/>
      <c r="Z48" s="699"/>
      <c r="AA48" s="699"/>
      <c r="AB48" s="699"/>
      <c r="AC48" s="699"/>
    </row>
    <row r="49" spans="1:29" ht="15.75" thickBot="1">
      <c r="A49" s="449" t="s">
        <v>2399</v>
      </c>
      <c r="B49" s="450"/>
      <c r="C49" s="1325">
        <f>R49</f>
        <v>42212</v>
      </c>
      <c r="D49" s="1325"/>
      <c r="E49" s="1325"/>
      <c r="F49" s="1325"/>
      <c r="G49" s="1325"/>
      <c r="H49" s="1325"/>
      <c r="I49" s="1325"/>
      <c r="J49" s="1325"/>
      <c r="K49" s="724"/>
      <c r="L49" s="2941"/>
      <c r="M49" s="2942"/>
      <c r="N49" s="2933"/>
      <c r="O49" s="2942"/>
      <c r="P49" s="3560" t="str">
        <f>A49</f>
        <v>估价对象XX用房的比较价值（楼面单价，元/平方米）</v>
      </c>
      <c r="Q49" s="3561"/>
      <c r="R49" s="3562">
        <f>IF(F1="售价",ROUND(IF(D48="简单平均",AVERAGE(R48:V48),R48*F48+T48*H48+V48*J48),0),ROUND(IF(D48="简单平均",AVERAGE(R48:V48),R48*F48+T48*H48+V48*J48),1))</f>
        <v>42212</v>
      </c>
      <c r="S49" s="3562"/>
      <c r="T49" s="3562"/>
      <c r="U49" s="3562"/>
      <c r="V49" s="3562"/>
      <c r="W49" s="3562"/>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3217</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3260</v>
      </c>
      <c r="D90" s="3128" t="s">
        <v>3261</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3251</v>
      </c>
      <c r="D92" s="511" t="s">
        <v>3252</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3258</v>
      </c>
      <c r="D100" s="3129" t="s">
        <v>3259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3253</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3254</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3255</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3254</v>
      </c>
      <c r="D122" s="3128" t="s">
        <v>3256</v>
      </c>
      <c r="E122" s="3128" t="s">
        <v>3257</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25" priority="20"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E18 G18 I18 C18" xr:uid="{00000000-0002-0000-1500-000004000000}">
      <formula1>交通便捷度</formula1>
    </dataValidation>
    <dataValidation type="list" allowBlank="1" showInputMessage="1" showErrorMessage="1" sqref="E24 G24 I24 C24" xr:uid="{00000000-0002-0000-1500-000005000000}">
      <formula1>环境</formula1>
    </dataValidation>
    <dataValidation type="list" allowBlank="1" showInputMessage="1" showErrorMessage="1" sqref="C25 E25 G25 I25" xr:uid="{00000000-0002-0000-1500-000006000000}">
      <formula1>商业临街状况</formula1>
    </dataValidation>
    <dataValidation type="list" allowBlank="1" showInputMessage="1" showErrorMessage="1" sqref="C27 E27 G27 I27" xr:uid="{00000000-0002-0000-1500-000007000000}">
      <formula1>商业人流量</formula1>
    </dataValidation>
    <dataValidation type="list" allowBlank="1" showInputMessage="1" showErrorMessage="1" sqref="C28 E28 G28 I28" xr:uid="{00000000-0002-0000-1500-000008000000}">
      <formula1>商业楼层</formula1>
    </dataValidation>
    <dataValidation type="list" allowBlank="1" showInputMessage="1" showErrorMessage="1" sqref="C32 E32 G32 I32" xr:uid="{00000000-0002-0000-1500-000009000000}">
      <formula1>商业类型</formula1>
    </dataValidation>
    <dataValidation type="list" allowBlank="1" showInputMessage="1" showErrorMessage="1" sqref="C34 E34 G34 I34" xr:uid="{00000000-0002-0000-1500-00000A000000}">
      <formula1>商业建筑结构</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22 E22 G22 I22" xr:uid="{00000000-0002-0000-1500-000014000000}">
      <formula1>基础设施水平</formula1>
    </dataValidation>
    <dataValidation type="list" allowBlank="1" showInputMessage="1" showErrorMessage="1" sqref="F1" xr:uid="{00000000-0002-0000-1500-000015000000}">
      <formula1>"售价,租金"</formula1>
    </dataValidation>
    <dataValidation type="list" allowBlank="1" showInputMessage="1" showErrorMessage="1" sqref="C2" xr:uid="{00000000-0002-0000-1500-000016000000}">
      <formula1>"需扣减承租人权益,——"</formula1>
    </dataValidation>
    <dataValidation type="list" allowBlank="1" showInputMessage="1" showErrorMessage="1" sqref="F2" xr:uid="{00000000-0002-0000-1500-000017000000}">
      <formula1>估价方法</formula1>
    </dataValidation>
    <dataValidation type="list" allowBlank="1" showInputMessage="1" showErrorMessage="1" sqref="D48"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3203</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9.8000000000000007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0" t="s">
        <v>2356</v>
      </c>
      <c r="D4" s="3521"/>
      <c r="E4" s="3522" t="s">
        <v>2357</v>
      </c>
      <c r="F4" s="3523"/>
      <c r="G4" s="3520" t="s">
        <v>2358</v>
      </c>
      <c r="H4" s="3521"/>
      <c r="I4" s="3520" t="s">
        <v>2359</v>
      </c>
      <c r="J4" s="3521"/>
      <c r="K4" s="567" t="s">
        <v>2360</v>
      </c>
      <c r="L4" s="2932"/>
      <c r="M4" s="2933"/>
      <c r="N4" s="2933"/>
      <c r="O4" s="2933"/>
      <c r="P4" s="3524" t="s">
        <v>2361</v>
      </c>
      <c r="Q4" s="3525"/>
      <c r="R4" s="3530" t="s">
        <v>2357</v>
      </c>
      <c r="S4" s="3531"/>
      <c r="T4" s="3530" t="s">
        <v>2358</v>
      </c>
      <c r="U4" s="3531"/>
      <c r="V4" s="3544" t="s">
        <v>2359</v>
      </c>
      <c r="W4" s="3544"/>
      <c r="X4" s="3166"/>
      <c r="Y4" s="3530" t="s">
        <v>2361</v>
      </c>
      <c r="Z4" s="3531"/>
      <c r="AA4" s="3517" t="s">
        <v>2357</v>
      </c>
      <c r="AB4" s="3544" t="s">
        <v>2358</v>
      </c>
      <c r="AC4" s="3517" t="s">
        <v>2359</v>
      </c>
    </row>
    <row r="5" spans="1:29" ht="15">
      <c r="A5" s="364"/>
      <c r="B5" s="365"/>
      <c r="C5" s="3534" t="s">
        <v>3297</v>
      </c>
      <c r="D5" s="3535"/>
      <c r="E5" s="3536" t="s">
        <v>3324</v>
      </c>
      <c r="F5" s="3537"/>
      <c r="G5" s="3534" t="s">
        <v>3324</v>
      </c>
      <c r="H5" s="3535"/>
      <c r="I5" s="3534" t="s">
        <v>3324</v>
      </c>
      <c r="J5" s="3535"/>
      <c r="K5" s="567"/>
      <c r="L5" s="2932"/>
      <c r="M5" s="2933"/>
      <c r="N5" s="2933"/>
      <c r="O5" s="2933"/>
      <c r="P5" s="3526"/>
      <c r="Q5" s="3527"/>
      <c r="R5" s="3532"/>
      <c r="S5" s="3533"/>
      <c r="T5" s="3532"/>
      <c r="U5" s="3533"/>
      <c r="V5" s="3544"/>
      <c r="W5" s="3544"/>
      <c r="X5" s="3166"/>
      <c r="Y5" s="3532"/>
      <c r="Z5" s="3533"/>
      <c r="AA5" s="3518"/>
      <c r="AB5" s="3544"/>
      <c r="AC5" s="3518"/>
    </row>
    <row r="6" spans="1:29" ht="15.75" thickBot="1">
      <c r="A6" s="366"/>
      <c r="B6" s="367"/>
      <c r="C6" s="3538" t="s">
        <v>2366</v>
      </c>
      <c r="D6" s="3539"/>
      <c r="E6" s="3540" t="s">
        <v>2366</v>
      </c>
      <c r="F6" s="3541"/>
      <c r="G6" s="3538" t="s">
        <v>2366</v>
      </c>
      <c r="H6" s="3539"/>
      <c r="I6" s="3538" t="s">
        <v>2366</v>
      </c>
      <c r="J6" s="3539"/>
      <c r="K6" s="567" t="s">
        <v>2367</v>
      </c>
      <c r="L6" s="2932"/>
      <c r="M6" s="2933"/>
      <c r="N6" s="2933"/>
      <c r="O6" s="2933"/>
      <c r="P6" s="3528"/>
      <c r="Q6" s="3529"/>
      <c r="R6" s="3532"/>
      <c r="S6" s="3533"/>
      <c r="T6" s="3542"/>
      <c r="U6" s="3543"/>
      <c r="V6" s="3544"/>
      <c r="W6" s="3544"/>
      <c r="X6" s="3166"/>
      <c r="Y6" s="3542"/>
      <c r="Z6" s="3543"/>
      <c r="AA6" s="3519"/>
      <c r="AB6" s="3544"/>
      <c r="AC6" s="3519"/>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45" t="s">
        <v>2369</v>
      </c>
      <c r="Q7" s="3546"/>
      <c r="R7" s="710" t="s">
        <v>17</v>
      </c>
      <c r="S7" s="711">
        <f t="shared" ref="S7:S15" si="0">F7</f>
        <v>100</v>
      </c>
      <c r="T7" s="710" t="s">
        <v>17</v>
      </c>
      <c r="U7" s="711">
        <f t="shared" ref="U7:U15" si="1">H7</f>
        <v>100</v>
      </c>
      <c r="V7" s="710" t="s">
        <v>17</v>
      </c>
      <c r="W7" s="711">
        <f t="shared" ref="W7:W15" si="2">J7</f>
        <v>100</v>
      </c>
      <c r="X7" s="712"/>
      <c r="Y7" s="3545" t="s">
        <v>2369</v>
      </c>
      <c r="Z7" s="3547"/>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100</v>
      </c>
      <c r="G8" s="374" t="s">
        <v>3216</v>
      </c>
      <c r="H8" s="371">
        <f>SUMIF(61:61,G8,62:62)-SUMIF(61:61,C8,62:62)+100</f>
        <v>100</v>
      </c>
      <c r="I8" s="374" t="s">
        <v>3216</v>
      </c>
      <c r="J8" s="371">
        <f>SUMIF(61:61,I8,62:62)-SUMIF(61:61,C8,62:62)+100</f>
        <v>100</v>
      </c>
      <c r="K8" s="568"/>
      <c r="L8" s="2934"/>
      <c r="M8" s="2935"/>
      <c r="N8" s="2935"/>
      <c r="O8" s="2935"/>
      <c r="P8" s="3545" t="s">
        <v>2372</v>
      </c>
      <c r="Q8" s="3547"/>
      <c r="R8" s="710" t="s">
        <v>17</v>
      </c>
      <c r="S8" s="711">
        <f t="shared" si="0"/>
        <v>100</v>
      </c>
      <c r="T8" s="710" t="s">
        <v>17</v>
      </c>
      <c r="U8" s="711">
        <f t="shared" si="1"/>
        <v>100</v>
      </c>
      <c r="V8" s="710" t="s">
        <v>17</v>
      </c>
      <c r="W8" s="711">
        <f t="shared" si="2"/>
        <v>100</v>
      </c>
      <c r="X8" s="712"/>
      <c r="Y8" s="3545" t="s">
        <v>2372</v>
      </c>
      <c r="Z8" s="3547"/>
      <c r="AA8" s="713">
        <f t="shared" ref="AA8:AA46" si="3">D8/F8</f>
        <v>1</v>
      </c>
      <c r="AB8" s="713">
        <f t="shared" ref="AB8:AB46" si="4">D8/H8</f>
        <v>1</v>
      </c>
      <c r="AC8" s="713">
        <f t="shared" ref="AC8:AC46" si="5">D8/J8</f>
        <v>1</v>
      </c>
    </row>
    <row r="9" spans="1:29" s="113" customFormat="1">
      <c r="A9" s="375" t="s">
        <v>2373</v>
      </c>
      <c r="B9" s="67" t="s">
        <v>2374</v>
      </c>
      <c r="C9" s="3127" t="s">
        <v>3247</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48" t="s">
        <v>2375</v>
      </c>
      <c r="Q9" s="3151" t="str">
        <f t="shared" ref="Q9:Q15" si="6">B9</f>
        <v>用途</v>
      </c>
      <c r="R9" s="710" t="s">
        <v>17</v>
      </c>
      <c r="S9" s="711">
        <f t="shared" si="0"/>
        <v>100</v>
      </c>
      <c r="T9" s="710" t="s">
        <v>17</v>
      </c>
      <c r="U9" s="711">
        <f t="shared" si="1"/>
        <v>100</v>
      </c>
      <c r="V9" s="710" t="s">
        <v>17</v>
      </c>
      <c r="W9" s="711">
        <f t="shared" si="2"/>
        <v>100</v>
      </c>
      <c r="X9" s="712"/>
      <c r="Y9" s="3427" t="s">
        <v>2376</v>
      </c>
      <c r="Z9" s="3150" t="str">
        <f t="shared" ref="Z9:Z15" si="7">Q9</f>
        <v>用途</v>
      </c>
      <c r="AA9" s="713">
        <f t="shared" si="3"/>
        <v>1</v>
      </c>
      <c r="AB9" s="713">
        <f t="shared" si="4"/>
        <v>1</v>
      </c>
      <c r="AC9" s="713">
        <f t="shared" si="5"/>
        <v>1</v>
      </c>
    </row>
    <row r="10" spans="1:29" s="386" customFormat="1" ht="27">
      <c r="A10" s="380"/>
      <c r="B10" s="381" t="s">
        <v>2377</v>
      </c>
      <c r="C10" s="382" t="s">
        <v>3248</v>
      </c>
      <c r="D10" s="132">
        <v>100</v>
      </c>
      <c r="E10" s="383" t="s">
        <v>3248</v>
      </c>
      <c r="F10" s="384">
        <f>SUMIF(65:65,E10,66:66)-SUMIF(65:65,C10,66:66)+100</f>
        <v>100</v>
      </c>
      <c r="G10" s="382" t="s">
        <v>3248</v>
      </c>
      <c r="H10" s="132">
        <f>SUMIF(65:65,G10,66:66)-SUMIF(65:65,C10,66:66)+100</f>
        <v>100</v>
      </c>
      <c r="I10" s="3136" t="s">
        <v>3248</v>
      </c>
      <c r="J10" s="132">
        <f>SUMIF(65:65,I10,66:66)-SUMIF(65:65,C10,66:66)+100</f>
        <v>100</v>
      </c>
      <c r="K10" s="569">
        <v>2</v>
      </c>
      <c r="L10" s="2936"/>
      <c r="M10" s="2937"/>
      <c r="N10" s="2937"/>
      <c r="O10" s="2937"/>
      <c r="P10" s="3548"/>
      <c r="Q10" s="3151" t="str">
        <f t="shared" si="6"/>
        <v>土地使用年限（年）</v>
      </c>
      <c r="R10" s="710" t="s">
        <v>17</v>
      </c>
      <c r="S10" s="711">
        <f t="shared" si="0"/>
        <v>100</v>
      </c>
      <c r="T10" s="710" t="s">
        <v>17</v>
      </c>
      <c r="U10" s="711">
        <f t="shared" si="1"/>
        <v>100</v>
      </c>
      <c r="V10" s="710" t="s">
        <v>17</v>
      </c>
      <c r="W10" s="711">
        <f t="shared" si="2"/>
        <v>100</v>
      </c>
      <c r="X10" s="712"/>
      <c r="Y10" s="3427"/>
      <c r="Z10" s="3150"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48"/>
      <c r="Q11" s="3151" t="str">
        <f t="shared" si="6"/>
        <v>容积率</v>
      </c>
      <c r="R11" s="710" t="s">
        <v>17</v>
      </c>
      <c r="S11" s="711">
        <f t="shared" si="0"/>
        <v>100</v>
      </c>
      <c r="T11" s="710" t="s">
        <v>17</v>
      </c>
      <c r="U11" s="711">
        <f t="shared" si="1"/>
        <v>100</v>
      </c>
      <c r="V11" s="710" t="s">
        <v>17</v>
      </c>
      <c r="W11" s="711">
        <f t="shared" si="2"/>
        <v>100</v>
      </c>
      <c r="X11" s="712"/>
      <c r="Y11" s="3427"/>
      <c r="Z11" s="3150"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48"/>
      <c r="Q12" s="3151">
        <f t="shared" si="6"/>
        <v>111</v>
      </c>
      <c r="R12" s="710" t="s">
        <v>17</v>
      </c>
      <c r="S12" s="711">
        <f t="shared" si="0"/>
        <v>100</v>
      </c>
      <c r="T12" s="710" t="s">
        <v>17</v>
      </c>
      <c r="U12" s="711">
        <f t="shared" si="1"/>
        <v>100</v>
      </c>
      <c r="V12" s="710" t="s">
        <v>17</v>
      </c>
      <c r="W12" s="711">
        <f t="shared" si="2"/>
        <v>100</v>
      </c>
      <c r="X12" s="712"/>
      <c r="Y12" s="3427"/>
      <c r="Z12" s="3150">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48"/>
      <c r="Q13" s="3151">
        <f t="shared" si="6"/>
        <v>111</v>
      </c>
      <c r="R13" s="710" t="s">
        <v>17</v>
      </c>
      <c r="S13" s="711">
        <f t="shared" si="0"/>
        <v>100</v>
      </c>
      <c r="T13" s="710" t="s">
        <v>17</v>
      </c>
      <c r="U13" s="711">
        <f t="shared" si="1"/>
        <v>100</v>
      </c>
      <c r="V13" s="710" t="s">
        <v>17</v>
      </c>
      <c r="W13" s="711">
        <f t="shared" si="2"/>
        <v>100</v>
      </c>
      <c r="X13" s="712"/>
      <c r="Y13" s="3427"/>
      <c r="Z13" s="3150">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48"/>
      <c r="Q14" s="3151">
        <f t="shared" si="6"/>
        <v>111</v>
      </c>
      <c r="R14" s="710" t="s">
        <v>17</v>
      </c>
      <c r="S14" s="711">
        <f t="shared" si="0"/>
        <v>100</v>
      </c>
      <c r="T14" s="710" t="s">
        <v>17</v>
      </c>
      <c r="U14" s="711">
        <f t="shared" si="1"/>
        <v>100</v>
      </c>
      <c r="V14" s="710" t="s">
        <v>17</v>
      </c>
      <c r="W14" s="711">
        <f t="shared" si="2"/>
        <v>100</v>
      </c>
      <c r="X14" s="712"/>
      <c r="Y14" s="3427"/>
      <c r="Z14" s="3150">
        <f t="shared" si="7"/>
        <v>111</v>
      </c>
      <c r="AA14" s="713">
        <f t="shared" si="3"/>
        <v>1</v>
      </c>
      <c r="AB14" s="713">
        <f t="shared" si="4"/>
        <v>1</v>
      </c>
      <c r="AC14" s="713">
        <f t="shared" si="5"/>
        <v>1</v>
      </c>
    </row>
    <row r="15" spans="1:29" ht="73.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39"/>
      <c r="M15" s="2933"/>
      <c r="N15" s="2933"/>
      <c r="O15" s="2933"/>
      <c r="P15" s="3549" t="s">
        <v>2380</v>
      </c>
      <c r="Q15" s="3164" t="str">
        <f t="shared" si="6"/>
        <v>商业繁华度</v>
      </c>
      <c r="R15" s="714" t="s">
        <v>17</v>
      </c>
      <c r="S15" s="715">
        <f t="shared" si="0"/>
        <v>100</v>
      </c>
      <c r="T15" s="714" t="s">
        <v>17</v>
      </c>
      <c r="U15" s="715">
        <f t="shared" si="1"/>
        <v>100</v>
      </c>
      <c r="V15" s="714" t="s">
        <v>17</v>
      </c>
      <c r="W15" s="715">
        <f t="shared" si="2"/>
        <v>100</v>
      </c>
      <c r="X15" s="3166"/>
      <c r="Y15" s="3551" t="s">
        <v>2380</v>
      </c>
      <c r="Z15" s="3167" t="str">
        <f t="shared" si="7"/>
        <v>商业繁华度</v>
      </c>
      <c r="AA15" s="3165">
        <f t="shared" si="3"/>
        <v>1</v>
      </c>
      <c r="AB15" s="3165">
        <f t="shared" si="4"/>
        <v>1</v>
      </c>
      <c r="AC15" s="3165">
        <f t="shared" si="5"/>
        <v>1</v>
      </c>
    </row>
    <row r="16" spans="1:29" ht="15">
      <c r="A16" s="387"/>
      <c r="B16" s="405"/>
      <c r="C16" s="406" t="s">
        <v>3240</v>
      </c>
      <c r="D16" s="407"/>
      <c r="E16" s="406" t="s">
        <v>3240</v>
      </c>
      <c r="F16" s="408"/>
      <c r="G16" s="406" t="s">
        <v>3240</v>
      </c>
      <c r="H16" s="409"/>
      <c r="I16" s="406" t="s">
        <v>3240</v>
      </c>
      <c r="J16" s="407"/>
      <c r="K16" s="572"/>
      <c r="L16" s="2939"/>
      <c r="M16" s="2933"/>
      <c r="N16" s="2933"/>
      <c r="O16" s="2933"/>
      <c r="P16" s="3550"/>
      <c r="Q16" s="3164"/>
      <c r="R16" s="714"/>
      <c r="S16" s="715"/>
      <c r="T16" s="714"/>
      <c r="U16" s="715"/>
      <c r="V16" s="714"/>
      <c r="W16" s="715"/>
      <c r="X16" s="3166"/>
      <c r="Y16" s="3552"/>
      <c r="Z16" s="3167"/>
      <c r="AA16" s="3165">
        <v>1</v>
      </c>
      <c r="AB16" s="3165">
        <v>1</v>
      </c>
      <c r="AC16" s="3165">
        <v>1</v>
      </c>
    </row>
    <row r="17" spans="1:29" ht="94.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50"/>
      <c r="Q17" s="3164" t="str">
        <f>B17</f>
        <v>交通便捷度</v>
      </c>
      <c r="R17" s="714" t="s">
        <v>17</v>
      </c>
      <c r="S17" s="715">
        <f>F17</f>
        <v>100</v>
      </c>
      <c r="T17" s="714" t="s">
        <v>17</v>
      </c>
      <c r="U17" s="715">
        <f>H17</f>
        <v>100</v>
      </c>
      <c r="V17" s="714" t="s">
        <v>17</v>
      </c>
      <c r="W17" s="715">
        <f>J17</f>
        <v>100</v>
      </c>
      <c r="X17" s="3166"/>
      <c r="Y17" s="3552"/>
      <c r="Z17" s="3167" t="str">
        <f>Q17</f>
        <v>交通便捷度</v>
      </c>
      <c r="AA17" s="3165">
        <f t="shared" si="3"/>
        <v>1</v>
      </c>
      <c r="AB17" s="3165">
        <f t="shared" si="4"/>
        <v>1</v>
      </c>
      <c r="AC17" s="3165">
        <f t="shared" si="5"/>
        <v>1</v>
      </c>
    </row>
    <row r="18" spans="1:29" ht="15">
      <c r="A18" s="387"/>
      <c r="B18" s="415"/>
      <c r="C18" s="2086" t="s">
        <v>3243</v>
      </c>
      <c r="D18" s="409"/>
      <c r="E18" s="2086" t="s">
        <v>3243</v>
      </c>
      <c r="F18" s="412"/>
      <c r="G18" s="2086" t="s">
        <v>3243</v>
      </c>
      <c r="H18" s="407"/>
      <c r="I18" s="2086" t="s">
        <v>3243</v>
      </c>
      <c r="J18" s="407"/>
      <c r="K18" s="572"/>
      <c r="L18" s="2939"/>
      <c r="M18" s="2933"/>
      <c r="N18" s="2933"/>
      <c r="O18" s="2933"/>
      <c r="P18" s="3550"/>
      <c r="Q18" s="3164"/>
      <c r="R18" s="714"/>
      <c r="S18" s="715"/>
      <c r="T18" s="714"/>
      <c r="U18" s="715"/>
      <c r="V18" s="714"/>
      <c r="W18" s="715"/>
      <c r="X18" s="3166"/>
      <c r="Y18" s="3552"/>
      <c r="Z18" s="3167"/>
      <c r="AA18" s="3165">
        <v>1</v>
      </c>
      <c r="AB18" s="3165">
        <v>1</v>
      </c>
      <c r="AC18" s="3165">
        <v>1</v>
      </c>
    </row>
    <row r="19" spans="1:29" ht="70.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0"/>
      <c r="Q19" s="3164" t="str">
        <f>B19</f>
        <v>公共配套设施</v>
      </c>
      <c r="R19" s="714" t="s">
        <v>17</v>
      </c>
      <c r="S19" s="715">
        <f>F19</f>
        <v>100</v>
      </c>
      <c r="T19" s="714" t="s">
        <v>17</v>
      </c>
      <c r="U19" s="715">
        <f>H19</f>
        <v>100</v>
      </c>
      <c r="V19" s="714" t="s">
        <v>17</v>
      </c>
      <c r="W19" s="715">
        <f>J19</f>
        <v>100</v>
      </c>
      <c r="X19" s="3166"/>
      <c r="Y19" s="3552"/>
      <c r="Z19" s="3167" t="str">
        <f>Q19</f>
        <v>公共配套设施</v>
      </c>
      <c r="AA19" s="3165">
        <f t="shared" si="3"/>
        <v>1</v>
      </c>
      <c r="AB19" s="3165">
        <f t="shared" si="4"/>
        <v>1</v>
      </c>
      <c r="AC19" s="3165">
        <f t="shared" si="5"/>
        <v>1</v>
      </c>
    </row>
    <row r="20" spans="1:29" ht="15">
      <c r="A20" s="387"/>
      <c r="B20" s="415"/>
      <c r="C20" s="406" t="s">
        <v>3243</v>
      </c>
      <c r="D20" s="407"/>
      <c r="E20" s="2086" t="s">
        <v>3243</v>
      </c>
      <c r="F20" s="408"/>
      <c r="G20" s="2086" t="s">
        <v>3243</v>
      </c>
      <c r="H20" s="407"/>
      <c r="I20" s="2086" t="s">
        <v>3243</v>
      </c>
      <c r="J20" s="407"/>
      <c r="K20" s="572"/>
      <c r="L20" s="2939"/>
      <c r="M20" s="2933"/>
      <c r="N20" s="2933"/>
      <c r="O20" s="2933"/>
      <c r="P20" s="3550"/>
      <c r="Q20" s="3164"/>
      <c r="R20" s="714"/>
      <c r="S20" s="715"/>
      <c r="T20" s="714"/>
      <c r="U20" s="715"/>
      <c r="V20" s="714"/>
      <c r="W20" s="715"/>
      <c r="X20" s="3166"/>
      <c r="Y20" s="3552"/>
      <c r="Z20" s="3167"/>
      <c r="AA20" s="3165">
        <v>1</v>
      </c>
      <c r="AB20" s="3165">
        <v>1</v>
      </c>
      <c r="AC20" s="3165">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0"/>
      <c r="Q21" s="3164" t="str">
        <f>B21</f>
        <v>基础设施水平</v>
      </c>
      <c r="R21" s="714" t="s">
        <v>17</v>
      </c>
      <c r="S21" s="715">
        <f>F21</f>
        <v>100</v>
      </c>
      <c r="T21" s="714" t="s">
        <v>17</v>
      </c>
      <c r="U21" s="715">
        <f>H21</f>
        <v>100</v>
      </c>
      <c r="V21" s="714" t="s">
        <v>17</v>
      </c>
      <c r="W21" s="715">
        <f>J21</f>
        <v>100</v>
      </c>
      <c r="X21" s="3166"/>
      <c r="Y21" s="3552"/>
      <c r="Z21" s="3167" t="str">
        <f>Q21</f>
        <v>基础设施水平</v>
      </c>
      <c r="AA21" s="3165">
        <f t="shared" ref="AA21" si="8">D21/F21</f>
        <v>1</v>
      </c>
      <c r="AB21" s="3165">
        <f t="shared" ref="AB21" si="9">D21/H21</f>
        <v>1</v>
      </c>
      <c r="AC21" s="3165">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50"/>
      <c r="Q22" s="3164"/>
      <c r="R22" s="714"/>
      <c r="S22" s="715"/>
      <c r="T22" s="714"/>
      <c r="U22" s="715"/>
      <c r="V22" s="714"/>
      <c r="W22" s="715"/>
      <c r="X22" s="3166"/>
      <c r="Y22" s="3552"/>
      <c r="Z22" s="3167"/>
      <c r="AA22" s="3165">
        <v>1</v>
      </c>
      <c r="AB22" s="3165">
        <v>1</v>
      </c>
      <c r="AC22" s="3165">
        <v>1</v>
      </c>
    </row>
    <row r="23" spans="1:29" ht="94.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0"/>
      <c r="Q23" s="3164" t="str">
        <f>B23</f>
        <v>自然及人文环境</v>
      </c>
      <c r="R23" s="714" t="s">
        <v>17</v>
      </c>
      <c r="S23" s="715">
        <f>F23</f>
        <v>100</v>
      </c>
      <c r="T23" s="714" t="s">
        <v>17</v>
      </c>
      <c r="U23" s="715">
        <f>H23</f>
        <v>100</v>
      </c>
      <c r="V23" s="714" t="s">
        <v>17</v>
      </c>
      <c r="W23" s="715">
        <f>J23</f>
        <v>100</v>
      </c>
      <c r="X23" s="3166"/>
      <c r="Y23" s="3552"/>
      <c r="Z23" s="3167" t="str">
        <f>Q23</f>
        <v>自然及人文环境</v>
      </c>
      <c r="AA23" s="3165">
        <f t="shared" si="3"/>
        <v>1</v>
      </c>
      <c r="AB23" s="3165">
        <f t="shared" si="4"/>
        <v>1</v>
      </c>
      <c r="AC23" s="3165">
        <f t="shared" si="5"/>
        <v>1</v>
      </c>
    </row>
    <row r="24" spans="1:29" ht="15">
      <c r="A24" s="387"/>
      <c r="B24" s="415"/>
      <c r="C24" s="406" t="s">
        <v>3243</v>
      </c>
      <c r="D24" s="407"/>
      <c r="E24" s="406" t="s">
        <v>3243</v>
      </c>
      <c r="F24" s="408"/>
      <c r="G24" s="406" t="s">
        <v>3243</v>
      </c>
      <c r="H24" s="407"/>
      <c r="I24" s="406" t="s">
        <v>3243</v>
      </c>
      <c r="J24" s="407"/>
      <c r="K24" s="572"/>
      <c r="L24" s="2939"/>
      <c r="M24" s="2933"/>
      <c r="N24" s="2933"/>
      <c r="O24" s="2933"/>
      <c r="P24" s="3550"/>
      <c r="Q24" s="3164"/>
      <c r="R24" s="714"/>
      <c r="S24" s="715"/>
      <c r="T24" s="714"/>
      <c r="U24" s="715"/>
      <c r="V24" s="714"/>
      <c r="W24" s="715"/>
      <c r="X24" s="3166"/>
      <c r="Y24" s="3552"/>
      <c r="Z24" s="3167"/>
      <c r="AA24" s="3165">
        <v>1</v>
      </c>
      <c r="AB24" s="3165">
        <v>1</v>
      </c>
      <c r="AC24" s="3165">
        <v>1</v>
      </c>
    </row>
    <row r="25" spans="1:29" ht="15">
      <c r="A25" s="387"/>
      <c r="B25" s="381" t="s">
        <v>2476</v>
      </c>
      <c r="C25" s="573" t="s">
        <v>3235</v>
      </c>
      <c r="D25" s="394">
        <v>100</v>
      </c>
      <c r="E25" s="573" t="s">
        <v>3235</v>
      </c>
      <c r="F25" s="420">
        <f>SUMIF(86:86,E25,87:87)-SUMIF(86:86,C25,87:87)+100</f>
        <v>100</v>
      </c>
      <c r="G25" s="573" t="s">
        <v>3235</v>
      </c>
      <c r="H25" s="394">
        <f>SUMIF(86:86,G25,87:87)-SUMIF(86:86,C25,87:87)+100</f>
        <v>100</v>
      </c>
      <c r="I25" s="573" t="s">
        <v>3235</v>
      </c>
      <c r="J25" s="394">
        <f>SUMIF(86:86,I25,87:87)-SUMIF(86:86,C25,87:87)+100</f>
        <v>100</v>
      </c>
      <c r="K25" s="569">
        <v>3</v>
      </c>
      <c r="L25" s="2939"/>
      <c r="M25" s="2933"/>
      <c r="N25" s="2933"/>
      <c r="O25" s="2933"/>
      <c r="P25" s="3550"/>
      <c r="Q25" s="3164" t="str">
        <f t="shared" ref="Q25:Q46" si="11">B25</f>
        <v>临街状况</v>
      </c>
      <c r="R25" s="714" t="s">
        <v>17</v>
      </c>
      <c r="S25" s="715">
        <f>F25</f>
        <v>100</v>
      </c>
      <c r="T25" s="714" t="s">
        <v>17</v>
      </c>
      <c r="U25" s="715">
        <f>H25</f>
        <v>100</v>
      </c>
      <c r="V25" s="714" t="s">
        <v>17</v>
      </c>
      <c r="W25" s="715">
        <f>J25</f>
        <v>100</v>
      </c>
      <c r="X25" s="3166"/>
      <c r="Y25" s="3552"/>
      <c r="Z25" s="3167" t="str">
        <f>Q25</f>
        <v>临街状况</v>
      </c>
      <c r="AA25" s="3165">
        <f t="shared" si="3"/>
        <v>1</v>
      </c>
      <c r="AB25" s="3165">
        <f t="shared" si="4"/>
        <v>1</v>
      </c>
      <c r="AC25" s="3165">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0"/>
      <c r="Q26" s="3164" t="str">
        <f t="shared" si="11"/>
        <v>平面位置/可视性</v>
      </c>
      <c r="R26" s="714" t="s">
        <v>17</v>
      </c>
      <c r="S26" s="715">
        <f>F26</f>
        <v>100</v>
      </c>
      <c r="T26" s="714" t="s">
        <v>17</v>
      </c>
      <c r="U26" s="715">
        <f>H26</f>
        <v>100</v>
      </c>
      <c r="V26" s="714" t="s">
        <v>17</v>
      </c>
      <c r="W26" s="715">
        <f>J26</f>
        <v>100</v>
      </c>
      <c r="X26" s="3166"/>
      <c r="Y26" s="3552"/>
      <c r="Z26" s="3167" t="str">
        <f>Q26</f>
        <v>平面位置/可视性</v>
      </c>
      <c r="AA26" s="3165">
        <f t="shared" si="3"/>
        <v>1</v>
      </c>
      <c r="AB26" s="3165">
        <f t="shared" si="4"/>
        <v>1</v>
      </c>
      <c r="AC26" s="3165">
        <f t="shared" si="5"/>
        <v>1</v>
      </c>
    </row>
    <row r="27" spans="1:29" s="113" customFormat="1" ht="15">
      <c r="A27" s="390"/>
      <c r="B27" s="410" t="s">
        <v>2478</v>
      </c>
      <c r="C27" s="2141" t="s">
        <v>3239</v>
      </c>
      <c r="D27" s="421">
        <v>100</v>
      </c>
      <c r="E27" s="2141" t="s">
        <v>3244</v>
      </c>
      <c r="F27" s="423">
        <f>SUMIF(90:90,E27,91:91)-SUMIF(90:90,C27,91:91)+100</f>
        <v>115</v>
      </c>
      <c r="G27" s="2141" t="s">
        <v>3244</v>
      </c>
      <c r="H27" s="421">
        <f>SUMIF(90:90,G27,91:91)-SUMIF(90:90,C27,91:91)+100</f>
        <v>115</v>
      </c>
      <c r="I27" s="2141" t="s">
        <v>3244</v>
      </c>
      <c r="J27" s="421">
        <f>SUMIF(90:90,I27,91:91)-SUMIF(90:90,C27,91:91)+100</f>
        <v>115</v>
      </c>
      <c r="K27" s="569">
        <v>15</v>
      </c>
      <c r="L27" s="2934"/>
      <c r="M27" s="2935"/>
      <c r="N27" s="2935"/>
      <c r="O27" s="2935"/>
      <c r="P27" s="3550"/>
      <c r="Q27" s="3151" t="str">
        <f t="shared" si="11"/>
        <v>人流量</v>
      </c>
      <c r="R27" s="710" t="s">
        <v>17</v>
      </c>
      <c r="S27" s="711">
        <f>F27</f>
        <v>115</v>
      </c>
      <c r="T27" s="710" t="s">
        <v>17</v>
      </c>
      <c r="U27" s="711">
        <f>H27</f>
        <v>115</v>
      </c>
      <c r="V27" s="710" t="s">
        <v>17</v>
      </c>
      <c r="W27" s="711">
        <f>J27</f>
        <v>115</v>
      </c>
      <c r="X27" s="712"/>
      <c r="Y27" s="3552"/>
      <c r="Z27" s="3150" t="str">
        <f>Q27</f>
        <v>人流量</v>
      </c>
      <c r="AA27" s="3165">
        <f>D27/F27</f>
        <v>0.86956521739130432</v>
      </c>
      <c r="AB27" s="3165">
        <f>D27/H27</f>
        <v>0.86956521739130432</v>
      </c>
      <c r="AC27" s="3165">
        <f>D27/J27</f>
        <v>0.86956521739130432</v>
      </c>
    </row>
    <row r="28" spans="1:29" ht="15">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50"/>
      <c r="Q28" s="3164" t="str">
        <f t="shared" si="11"/>
        <v>楼层</v>
      </c>
      <c r="R28" s="714" t="s">
        <v>17</v>
      </c>
      <c r="S28" s="715">
        <f t="shared" ref="S28:S46" si="12">F28</f>
        <v>100</v>
      </c>
      <c r="T28" s="714" t="s">
        <v>17</v>
      </c>
      <c r="U28" s="715">
        <f t="shared" ref="U28:U46" si="13">H28</f>
        <v>100</v>
      </c>
      <c r="V28" s="714" t="s">
        <v>17</v>
      </c>
      <c r="W28" s="715">
        <f t="shared" ref="W28:W46" si="14">J28</f>
        <v>100</v>
      </c>
      <c r="X28" s="3166"/>
      <c r="Y28" s="3552"/>
      <c r="Z28" s="3167" t="str">
        <f t="shared" ref="Z28:Z46" si="15">Q28</f>
        <v>楼层</v>
      </c>
      <c r="AA28" s="3165">
        <f t="shared" si="3"/>
        <v>1</v>
      </c>
      <c r="AB28" s="3165">
        <f t="shared" si="4"/>
        <v>1</v>
      </c>
      <c r="AC28" s="3165">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0"/>
      <c r="Q29" s="3164">
        <f t="shared" si="11"/>
        <v>111</v>
      </c>
      <c r="R29" s="714" t="s">
        <v>17</v>
      </c>
      <c r="S29" s="715">
        <f t="shared" si="12"/>
        <v>100</v>
      </c>
      <c r="T29" s="714" t="s">
        <v>17</v>
      </c>
      <c r="U29" s="715">
        <f t="shared" si="13"/>
        <v>100</v>
      </c>
      <c r="V29" s="714" t="s">
        <v>17</v>
      </c>
      <c r="W29" s="715">
        <f t="shared" si="14"/>
        <v>100</v>
      </c>
      <c r="X29" s="3166"/>
      <c r="Y29" s="3552"/>
      <c r="Z29" s="3167">
        <f t="shared" si="15"/>
        <v>111</v>
      </c>
      <c r="AA29" s="3165">
        <f t="shared" si="3"/>
        <v>1</v>
      </c>
      <c r="AB29" s="3165">
        <f t="shared" si="4"/>
        <v>1</v>
      </c>
      <c r="AC29" s="3165">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0"/>
      <c r="Q30" s="3164">
        <f t="shared" si="11"/>
        <v>111</v>
      </c>
      <c r="R30" s="714" t="s">
        <v>17</v>
      </c>
      <c r="S30" s="715">
        <f t="shared" si="12"/>
        <v>100</v>
      </c>
      <c r="T30" s="714" t="s">
        <v>17</v>
      </c>
      <c r="U30" s="715">
        <f t="shared" si="13"/>
        <v>100</v>
      </c>
      <c r="V30" s="714" t="s">
        <v>17</v>
      </c>
      <c r="W30" s="715">
        <f t="shared" si="14"/>
        <v>100</v>
      </c>
      <c r="X30" s="3166"/>
      <c r="Y30" s="3552"/>
      <c r="Z30" s="3167">
        <f t="shared" si="15"/>
        <v>111</v>
      </c>
      <c r="AA30" s="3165">
        <f t="shared" si="3"/>
        <v>1</v>
      </c>
      <c r="AB30" s="3165">
        <f t="shared" si="4"/>
        <v>1</v>
      </c>
      <c r="AC30" s="3165">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0"/>
      <c r="Q31" s="3164">
        <f t="shared" si="11"/>
        <v>111</v>
      </c>
      <c r="R31" s="714" t="s">
        <v>17</v>
      </c>
      <c r="S31" s="715">
        <f t="shared" si="12"/>
        <v>100</v>
      </c>
      <c r="T31" s="714" t="s">
        <v>17</v>
      </c>
      <c r="U31" s="715">
        <f t="shared" si="13"/>
        <v>100</v>
      </c>
      <c r="V31" s="714" t="s">
        <v>17</v>
      </c>
      <c r="W31" s="715">
        <f t="shared" si="14"/>
        <v>100</v>
      </c>
      <c r="X31" s="3166"/>
      <c r="Y31" s="3552"/>
      <c r="Z31" s="3167">
        <f t="shared" si="15"/>
        <v>111</v>
      </c>
      <c r="AA31" s="3165">
        <f t="shared" si="3"/>
        <v>1</v>
      </c>
      <c r="AB31" s="3165">
        <f t="shared" si="4"/>
        <v>1</v>
      </c>
      <c r="AC31" s="3165">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v>5</v>
      </c>
      <c r="L32" s="2939"/>
      <c r="M32" s="2933"/>
      <c r="N32" s="2933"/>
      <c r="O32" s="2933"/>
      <c r="P32" s="3553" t="s">
        <v>2385</v>
      </c>
      <c r="Q32" s="3164" t="str">
        <f t="shared" si="11"/>
        <v>商业类型</v>
      </c>
      <c r="R32" s="714" t="s">
        <v>17</v>
      </c>
      <c r="S32" s="715">
        <f t="shared" si="12"/>
        <v>100</v>
      </c>
      <c r="T32" s="714" t="s">
        <v>17</v>
      </c>
      <c r="U32" s="715">
        <f t="shared" si="13"/>
        <v>100</v>
      </c>
      <c r="V32" s="714" t="s">
        <v>17</v>
      </c>
      <c r="W32" s="715">
        <f t="shared" si="14"/>
        <v>100</v>
      </c>
      <c r="X32" s="3166"/>
      <c r="Y32" s="3556" t="s">
        <v>2385</v>
      </c>
      <c r="Z32" s="3167" t="str">
        <f t="shared" si="15"/>
        <v>商业类型</v>
      </c>
      <c r="AA32" s="3165">
        <f t="shared" si="3"/>
        <v>1</v>
      </c>
      <c r="AB32" s="3165">
        <f t="shared" si="4"/>
        <v>1</v>
      </c>
      <c r="AC32" s="3165">
        <f t="shared" si="5"/>
        <v>1</v>
      </c>
    </row>
    <row r="33" spans="1:29" s="430" customFormat="1" ht="15">
      <c r="A33" s="427"/>
      <c r="B33" s="381" t="s">
        <v>2386</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38"/>
      <c r="M33" s="2940"/>
      <c r="N33" s="2940"/>
      <c r="O33" s="2940"/>
      <c r="P33" s="3554"/>
      <c r="Q33" s="716" t="str">
        <f t="shared" si="11"/>
        <v>项目建筑规模</v>
      </c>
      <c r="R33" s="717" t="s">
        <v>17</v>
      </c>
      <c r="S33" s="718">
        <f t="shared" si="12"/>
        <v>100</v>
      </c>
      <c r="T33" s="717" t="s">
        <v>17</v>
      </c>
      <c r="U33" s="718">
        <f t="shared" si="13"/>
        <v>96</v>
      </c>
      <c r="V33" s="717" t="s">
        <v>17</v>
      </c>
      <c r="W33" s="718">
        <f t="shared" si="14"/>
        <v>100</v>
      </c>
      <c r="X33" s="719"/>
      <c r="Y33" s="3556"/>
      <c r="Z33" s="720" t="str">
        <f t="shared" si="15"/>
        <v>项目建筑规模</v>
      </c>
      <c r="AA33" s="3165">
        <f t="shared" si="3"/>
        <v>1</v>
      </c>
      <c r="AB33" s="3165">
        <f t="shared" si="4"/>
        <v>1.0416666666666667</v>
      </c>
      <c r="AC33" s="3165">
        <f t="shared" si="5"/>
        <v>1</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v>1</v>
      </c>
      <c r="L34" s="2939"/>
      <c r="M34" s="2933"/>
      <c r="N34" s="2933"/>
      <c r="O34" s="2933"/>
      <c r="P34" s="3554"/>
      <c r="Q34" s="3164" t="str">
        <f t="shared" si="11"/>
        <v>建筑结构</v>
      </c>
      <c r="R34" s="714" t="s">
        <v>17</v>
      </c>
      <c r="S34" s="715">
        <f t="shared" si="12"/>
        <v>100</v>
      </c>
      <c r="T34" s="714" t="s">
        <v>17</v>
      </c>
      <c r="U34" s="715">
        <f t="shared" si="13"/>
        <v>100</v>
      </c>
      <c r="V34" s="714" t="s">
        <v>17</v>
      </c>
      <c r="W34" s="715">
        <f t="shared" si="14"/>
        <v>100</v>
      </c>
      <c r="X34" s="3166"/>
      <c r="Y34" s="3556"/>
      <c r="Z34" s="3167" t="str">
        <f t="shared" si="15"/>
        <v>建筑结构</v>
      </c>
      <c r="AA34" s="3165">
        <f t="shared" si="3"/>
        <v>1</v>
      </c>
      <c r="AB34" s="3165">
        <f t="shared" si="4"/>
        <v>1</v>
      </c>
      <c r="AC34" s="3165">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v>2</v>
      </c>
      <c r="L35" s="2939"/>
      <c r="M35" s="2933"/>
      <c r="N35" s="2933"/>
      <c r="O35" s="2933"/>
      <c r="P35" s="3554"/>
      <c r="Q35" s="3164" t="str">
        <f t="shared" si="11"/>
        <v>公共部分装修</v>
      </c>
      <c r="R35" s="714" t="s">
        <v>17</v>
      </c>
      <c r="S35" s="715">
        <f t="shared" si="12"/>
        <v>100</v>
      </c>
      <c r="T35" s="714" t="s">
        <v>17</v>
      </c>
      <c r="U35" s="715">
        <f t="shared" si="13"/>
        <v>100</v>
      </c>
      <c r="V35" s="714" t="s">
        <v>17</v>
      </c>
      <c r="W35" s="715">
        <f t="shared" si="14"/>
        <v>100</v>
      </c>
      <c r="X35" s="3166"/>
      <c r="Y35" s="3556"/>
      <c r="Z35" s="3167" t="str">
        <f t="shared" si="15"/>
        <v>公共部分装修</v>
      </c>
      <c r="AA35" s="3165">
        <f t="shared" si="3"/>
        <v>1</v>
      </c>
      <c r="AB35" s="3165">
        <f t="shared" si="4"/>
        <v>1</v>
      </c>
      <c r="AC35" s="3165">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39"/>
      <c r="M36" s="2933"/>
      <c r="N36" s="2933"/>
      <c r="O36" s="2933"/>
      <c r="P36" s="3554"/>
      <c r="Q36" s="3164" t="str">
        <f t="shared" si="11"/>
        <v>成新度</v>
      </c>
      <c r="R36" s="714" t="s">
        <v>17</v>
      </c>
      <c r="S36" s="715">
        <f t="shared" si="12"/>
        <v>100</v>
      </c>
      <c r="T36" s="714" t="s">
        <v>17</v>
      </c>
      <c r="U36" s="715">
        <f t="shared" si="13"/>
        <v>100</v>
      </c>
      <c r="V36" s="714" t="s">
        <v>17</v>
      </c>
      <c r="W36" s="715">
        <f t="shared" si="14"/>
        <v>100</v>
      </c>
      <c r="X36" s="3166"/>
      <c r="Y36" s="3556"/>
      <c r="Z36" s="3167" t="str">
        <f t="shared" si="15"/>
        <v>成新度</v>
      </c>
      <c r="AA36" s="3165">
        <f t="shared" si="3"/>
        <v>1</v>
      </c>
      <c r="AB36" s="3165">
        <f t="shared" si="4"/>
        <v>1</v>
      </c>
      <c r="AC36" s="3165">
        <f t="shared" si="5"/>
        <v>1</v>
      </c>
    </row>
    <row r="37" spans="1:29" s="113" customFormat="1" ht="15">
      <c r="A37" s="432"/>
      <c r="B37" s="381" t="s">
        <v>2483</v>
      </c>
      <c r="C37" s="3137" t="s">
        <v>3223</v>
      </c>
      <c r="D37" s="132">
        <v>100</v>
      </c>
      <c r="E37" s="2091" t="s">
        <v>3223</v>
      </c>
      <c r="F37" s="420">
        <f>SUMIF(112:112,E37,113:113)-SUMIF(112:112,C37,113:113)+100</f>
        <v>100</v>
      </c>
      <c r="G37" s="2091" t="s">
        <v>3223</v>
      </c>
      <c r="H37" s="394">
        <f>SUMIF(112:112,G37,113:113)-SUMIF(112:112,C37,113:113)+100</f>
        <v>100</v>
      </c>
      <c r="I37" s="2091" t="s">
        <v>3223</v>
      </c>
      <c r="J37" s="394">
        <f>SUMIF(112:112,I37,113:113)-SUMIF(112:112,C37,113:113)+100</f>
        <v>100</v>
      </c>
      <c r="K37" s="569">
        <v>2</v>
      </c>
      <c r="L37" s="2934"/>
      <c r="M37" s="2935"/>
      <c r="N37" s="2935"/>
      <c r="O37" s="2935"/>
      <c r="P37" s="3554"/>
      <c r="Q37" s="3151" t="str">
        <f t="shared" si="11"/>
        <v>市政基础设施</v>
      </c>
      <c r="R37" s="710" t="s">
        <v>17</v>
      </c>
      <c r="S37" s="711">
        <f t="shared" si="12"/>
        <v>100</v>
      </c>
      <c r="T37" s="710" t="s">
        <v>17</v>
      </c>
      <c r="U37" s="711">
        <f t="shared" si="13"/>
        <v>100</v>
      </c>
      <c r="V37" s="710" t="s">
        <v>17</v>
      </c>
      <c r="W37" s="711">
        <f t="shared" si="14"/>
        <v>100</v>
      </c>
      <c r="X37" s="712"/>
      <c r="Y37" s="3556"/>
      <c r="Z37" s="3150"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54" t="s">
        <v>2385</v>
      </c>
      <c r="Q38" s="3164" t="str">
        <f t="shared" si="11"/>
        <v>业态</v>
      </c>
      <c r="R38" s="714" t="s">
        <v>17</v>
      </c>
      <c r="S38" s="715">
        <f t="shared" si="12"/>
        <v>100</v>
      </c>
      <c r="T38" s="714" t="s">
        <v>17</v>
      </c>
      <c r="U38" s="715">
        <f t="shared" si="13"/>
        <v>100</v>
      </c>
      <c r="V38" s="714" t="s">
        <v>17</v>
      </c>
      <c r="W38" s="715">
        <f t="shared" si="14"/>
        <v>100</v>
      </c>
      <c r="X38" s="3166"/>
      <c r="Y38" s="3556" t="s">
        <v>2385</v>
      </c>
      <c r="Z38" s="3167" t="str">
        <f t="shared" si="15"/>
        <v>业态</v>
      </c>
      <c r="AA38" s="3165">
        <f t="shared" si="3"/>
        <v>1</v>
      </c>
      <c r="AB38" s="3165">
        <f t="shared" si="4"/>
        <v>1</v>
      </c>
      <c r="AC38" s="3165">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v>2</v>
      </c>
      <c r="L39" s="2939"/>
      <c r="M39" s="2933"/>
      <c r="N39" s="2933"/>
      <c r="O39" s="2933"/>
      <c r="P39" s="3554"/>
      <c r="Q39" s="3164" t="str">
        <f t="shared" si="11"/>
        <v>层高</v>
      </c>
      <c r="R39" s="714" t="s">
        <v>17</v>
      </c>
      <c r="S39" s="715">
        <f t="shared" si="12"/>
        <v>100</v>
      </c>
      <c r="T39" s="714" t="s">
        <v>17</v>
      </c>
      <c r="U39" s="715">
        <f t="shared" si="13"/>
        <v>100</v>
      </c>
      <c r="V39" s="714" t="s">
        <v>17</v>
      </c>
      <c r="W39" s="715">
        <f t="shared" si="14"/>
        <v>100</v>
      </c>
      <c r="X39" s="3166"/>
      <c r="Y39" s="3556"/>
      <c r="Z39" s="3167" t="str">
        <f t="shared" si="15"/>
        <v>层高</v>
      </c>
      <c r="AA39" s="3165">
        <f t="shared" si="3"/>
        <v>1</v>
      </c>
      <c r="AB39" s="3165">
        <f t="shared" si="4"/>
        <v>1</v>
      </c>
      <c r="AC39" s="3165">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54"/>
      <c r="Q40" s="3164" t="str">
        <f t="shared" si="11"/>
        <v>单套建筑面积</v>
      </c>
      <c r="R40" s="714" t="s">
        <v>17</v>
      </c>
      <c r="S40" s="715">
        <f t="shared" si="12"/>
        <v>100</v>
      </c>
      <c r="T40" s="714" t="s">
        <v>17</v>
      </c>
      <c r="U40" s="715">
        <f t="shared" si="13"/>
        <v>100</v>
      </c>
      <c r="V40" s="714" t="s">
        <v>17</v>
      </c>
      <c r="W40" s="715">
        <f t="shared" si="14"/>
        <v>100</v>
      </c>
      <c r="X40" s="3166"/>
      <c r="Y40" s="3556"/>
      <c r="Z40" s="3167" t="str">
        <f t="shared" si="15"/>
        <v>单套建筑面积</v>
      </c>
      <c r="AA40" s="3165">
        <f t="shared" si="3"/>
        <v>1</v>
      </c>
      <c r="AB40" s="3165">
        <f t="shared" si="4"/>
        <v>1</v>
      </c>
      <c r="AC40" s="3165">
        <f t="shared" si="5"/>
        <v>1</v>
      </c>
    </row>
    <row r="41" spans="1:29" s="430" customFormat="1" ht="15" hidden="1">
      <c r="A41" s="427"/>
      <c r="B41" s="316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54"/>
      <c r="Q41" s="716" t="str">
        <f t="shared" si="11"/>
        <v>进深比</v>
      </c>
      <c r="R41" s="717" t="s">
        <v>17</v>
      </c>
      <c r="S41" s="718">
        <f t="shared" si="12"/>
        <v>100</v>
      </c>
      <c r="T41" s="717" t="s">
        <v>17</v>
      </c>
      <c r="U41" s="718">
        <f t="shared" si="13"/>
        <v>100</v>
      </c>
      <c r="V41" s="717" t="s">
        <v>17</v>
      </c>
      <c r="W41" s="718">
        <f t="shared" si="14"/>
        <v>100</v>
      </c>
      <c r="X41" s="719"/>
      <c r="Y41" s="3556"/>
      <c r="Z41" s="720" t="str">
        <f t="shared" si="15"/>
        <v>进深比</v>
      </c>
      <c r="AA41" s="3165">
        <f t="shared" si="3"/>
        <v>1</v>
      </c>
      <c r="AB41" s="3165">
        <f t="shared" si="4"/>
        <v>1</v>
      </c>
      <c r="AC41" s="3165">
        <f t="shared" si="5"/>
        <v>1</v>
      </c>
    </row>
    <row r="42" spans="1:29" ht="15">
      <c r="A42" s="431"/>
      <c r="B42" s="381" t="s">
        <v>2488</v>
      </c>
      <c r="C42" s="2091" t="s">
        <v>3241</v>
      </c>
      <c r="D42" s="394">
        <v>100</v>
      </c>
      <c r="E42" s="2091" t="s">
        <v>3269</v>
      </c>
      <c r="F42" s="420">
        <f>SUMIF(122:122,E42,123:123)-SUMIF(122:122,C42,123:123)+100</f>
        <v>98</v>
      </c>
      <c r="G42" s="2091" t="s">
        <v>3241</v>
      </c>
      <c r="H42" s="394">
        <f>SUMIF(122:122,G42,123:123)-SUMIF(122:122,C42,123:123)+100</f>
        <v>100</v>
      </c>
      <c r="I42" s="2091" t="s">
        <v>3241</v>
      </c>
      <c r="J42" s="394">
        <f>SUMIF(122:122,I42,123:123)-SUMIF(122:122,C42,123:123)+100</f>
        <v>100</v>
      </c>
      <c r="K42" s="569">
        <v>2</v>
      </c>
      <c r="L42" s="2939"/>
      <c r="M42" s="2933"/>
      <c r="N42" s="2933"/>
      <c r="O42" s="2933"/>
      <c r="P42" s="3554"/>
      <c r="Q42" s="3164" t="str">
        <f t="shared" si="11"/>
        <v>内部装修</v>
      </c>
      <c r="R42" s="714" t="s">
        <v>17</v>
      </c>
      <c r="S42" s="715">
        <f t="shared" si="12"/>
        <v>98</v>
      </c>
      <c r="T42" s="714" t="s">
        <v>17</v>
      </c>
      <c r="U42" s="715">
        <f t="shared" si="13"/>
        <v>100</v>
      </c>
      <c r="V42" s="714" t="s">
        <v>17</v>
      </c>
      <c r="W42" s="715">
        <f t="shared" si="14"/>
        <v>100</v>
      </c>
      <c r="X42" s="3166"/>
      <c r="Y42" s="3556"/>
      <c r="Z42" s="3167" t="str">
        <f t="shared" si="15"/>
        <v>内部装修</v>
      </c>
      <c r="AA42" s="3165">
        <f t="shared" si="3"/>
        <v>1.0204081632653061</v>
      </c>
      <c r="AB42" s="3165">
        <f t="shared" si="4"/>
        <v>1</v>
      </c>
      <c r="AC42" s="3165">
        <f t="shared" si="5"/>
        <v>1</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v>2</v>
      </c>
      <c r="L43" s="2939"/>
      <c r="M43" s="2933"/>
      <c r="N43" s="2933"/>
      <c r="O43" s="2933"/>
      <c r="P43" s="3554"/>
      <c r="Q43" s="3164" t="str">
        <f t="shared" si="11"/>
        <v>内部装修维护情况</v>
      </c>
      <c r="R43" s="714" t="s">
        <v>17</v>
      </c>
      <c r="S43" s="715">
        <f t="shared" si="12"/>
        <v>100</v>
      </c>
      <c r="T43" s="714" t="s">
        <v>17</v>
      </c>
      <c r="U43" s="715">
        <f t="shared" si="13"/>
        <v>100</v>
      </c>
      <c r="V43" s="714" t="s">
        <v>17</v>
      </c>
      <c r="W43" s="715">
        <f t="shared" si="14"/>
        <v>100</v>
      </c>
      <c r="X43" s="3166"/>
      <c r="Y43" s="3556"/>
      <c r="Z43" s="3167" t="str">
        <f t="shared" si="15"/>
        <v>内部装修维护情况</v>
      </c>
      <c r="AA43" s="3165">
        <f t="shared" si="3"/>
        <v>1</v>
      </c>
      <c r="AB43" s="3165">
        <f t="shared" si="4"/>
        <v>1</v>
      </c>
      <c r="AC43" s="3165">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54"/>
      <c r="Q44" s="3151">
        <f t="shared" si="11"/>
        <v>0</v>
      </c>
      <c r="R44" s="710" t="s">
        <v>17</v>
      </c>
      <c r="S44" s="711">
        <f t="shared" si="12"/>
        <v>100</v>
      </c>
      <c r="T44" s="710" t="s">
        <v>17</v>
      </c>
      <c r="U44" s="711">
        <f t="shared" si="13"/>
        <v>100</v>
      </c>
      <c r="V44" s="710" t="s">
        <v>17</v>
      </c>
      <c r="W44" s="711">
        <f t="shared" si="14"/>
        <v>100</v>
      </c>
      <c r="X44" s="712"/>
      <c r="Y44" s="3556"/>
      <c r="Z44" s="3150">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54"/>
      <c r="Q45" s="3164">
        <f t="shared" si="11"/>
        <v>111</v>
      </c>
      <c r="R45" s="714" t="s">
        <v>17</v>
      </c>
      <c r="S45" s="715">
        <f t="shared" si="12"/>
        <v>100</v>
      </c>
      <c r="T45" s="714" t="s">
        <v>17</v>
      </c>
      <c r="U45" s="715">
        <f t="shared" si="13"/>
        <v>100</v>
      </c>
      <c r="V45" s="714" t="s">
        <v>17</v>
      </c>
      <c r="W45" s="715">
        <f t="shared" si="14"/>
        <v>100</v>
      </c>
      <c r="X45" s="3166"/>
      <c r="Y45" s="3556"/>
      <c r="Z45" s="3167">
        <f t="shared" si="15"/>
        <v>111</v>
      </c>
      <c r="AA45" s="3165">
        <f t="shared" si="3"/>
        <v>1</v>
      </c>
      <c r="AB45" s="3165">
        <f t="shared" si="4"/>
        <v>1</v>
      </c>
      <c r="AC45" s="3165">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55"/>
      <c r="Q46" s="3164">
        <f t="shared" si="11"/>
        <v>111</v>
      </c>
      <c r="R46" s="714" t="s">
        <v>17</v>
      </c>
      <c r="S46" s="715">
        <f t="shared" si="12"/>
        <v>100</v>
      </c>
      <c r="T46" s="714" t="s">
        <v>17</v>
      </c>
      <c r="U46" s="715">
        <f t="shared" si="13"/>
        <v>100</v>
      </c>
      <c r="V46" s="714" t="s">
        <v>17</v>
      </c>
      <c r="W46" s="715">
        <f t="shared" si="14"/>
        <v>100</v>
      </c>
      <c r="X46" s="3166"/>
      <c r="Y46" s="3557"/>
      <c r="Z46" s="3167">
        <f t="shared" si="15"/>
        <v>111</v>
      </c>
      <c r="AA46" s="3165">
        <f t="shared" si="3"/>
        <v>1</v>
      </c>
      <c r="AB46" s="3165">
        <f t="shared" si="4"/>
        <v>1</v>
      </c>
      <c r="AC46" s="3165">
        <f t="shared" si="5"/>
        <v>1</v>
      </c>
    </row>
    <row r="47" spans="1:29" ht="15">
      <c r="A47" s="438" t="s">
        <v>2397</v>
      </c>
      <c r="B47" s="439"/>
      <c r="C47" s="1316" t="s">
        <v>1</v>
      </c>
      <c r="D47" s="1317"/>
      <c r="E47" s="1318">
        <v>11</v>
      </c>
      <c r="F47" s="1319"/>
      <c r="G47" s="1320">
        <v>10</v>
      </c>
      <c r="H47" s="1321"/>
      <c r="I47" s="1318">
        <v>12</v>
      </c>
      <c r="J47" s="1321"/>
      <c r="K47" s="723"/>
      <c r="L47" s="2941"/>
      <c r="M47" s="2942"/>
      <c r="N47" s="2933"/>
      <c r="O47" s="2942"/>
      <c r="P47" s="3558" t="str">
        <f>A47</f>
        <v>成交单价（元/平方米）</v>
      </c>
      <c r="Q47" s="3558"/>
      <c r="R47" s="3544">
        <f>E47</f>
        <v>11</v>
      </c>
      <c r="S47" s="3544"/>
      <c r="T47" s="3544">
        <f>G47</f>
        <v>10</v>
      </c>
      <c r="U47" s="3544"/>
      <c r="V47" s="3544">
        <f>I47</f>
        <v>12</v>
      </c>
      <c r="W47" s="3544"/>
      <c r="X47" s="699"/>
      <c r="Y47" s="721"/>
      <c r="Z47" s="699"/>
      <c r="AA47" s="699"/>
      <c r="AB47" s="699"/>
      <c r="AC47" s="699"/>
    </row>
    <row r="48" spans="1:29" ht="15.75" thickBot="1">
      <c r="A48" s="445" t="s">
        <v>2398</v>
      </c>
      <c r="B48" s="446"/>
      <c r="C48" s="1322">
        <f>R49</f>
        <v>9.8000000000000007</v>
      </c>
      <c r="D48" s="2528" t="s">
        <v>2878</v>
      </c>
      <c r="E48" s="1323">
        <f>R48</f>
        <v>9.8000000000000007</v>
      </c>
      <c r="F48" s="2529"/>
      <c r="G48" s="1322">
        <f>T48</f>
        <v>9.1</v>
      </c>
      <c r="H48" s="2529"/>
      <c r="I48" s="1323">
        <f>V48</f>
        <v>10.4</v>
      </c>
      <c r="J48" s="2529"/>
      <c r="K48" s="2531">
        <f>F48+H48+J48</f>
        <v>0</v>
      </c>
      <c r="L48" s="2941"/>
      <c r="M48" s="2942"/>
      <c r="N48" s="2933"/>
      <c r="O48" s="2942"/>
      <c r="P48" s="3558" t="str">
        <f>A48</f>
        <v>比较价值（元/平方米）</v>
      </c>
      <c r="Q48" s="3558"/>
      <c r="R48" s="3559">
        <f>IF(F1="售价",ROUND(PRODUCT(R47,AA7:AA46),0),ROUND(PRODUCT(R47,AA7:AA46),1))</f>
        <v>9.8000000000000007</v>
      </c>
      <c r="S48" s="3559"/>
      <c r="T48" s="3559">
        <f>IF(F1="售价",ROUND(PRODUCT(T47,AB7:AB46),0),ROUND(PRODUCT(T47,AB7:AB46),1))</f>
        <v>9.1</v>
      </c>
      <c r="U48" s="3559"/>
      <c r="V48" s="3559">
        <f>IF(F1="售价",ROUND(PRODUCT(V47,AC7:AC46),0),ROUND(PRODUCT(V47,AC7:AC46),1))</f>
        <v>10.4</v>
      </c>
      <c r="W48" s="3559"/>
      <c r="X48" s="699"/>
      <c r="Y48" s="699"/>
      <c r="Z48" s="699"/>
      <c r="AA48" s="699"/>
      <c r="AB48" s="699"/>
      <c r="AC48" s="699"/>
    </row>
    <row r="49" spans="1:29" ht="15.75" thickBot="1">
      <c r="A49" s="449" t="s">
        <v>2399</v>
      </c>
      <c r="B49" s="450"/>
      <c r="C49" s="1325">
        <f>R49</f>
        <v>9.8000000000000007</v>
      </c>
      <c r="D49" s="1325"/>
      <c r="E49" s="1325"/>
      <c r="F49" s="1325"/>
      <c r="G49" s="1325"/>
      <c r="H49" s="1325"/>
      <c r="I49" s="1325"/>
      <c r="J49" s="1325"/>
      <c r="K49" s="724"/>
      <c r="L49" s="2941"/>
      <c r="M49" s="2942"/>
      <c r="N49" s="2933"/>
      <c r="O49" s="2942"/>
      <c r="P49" s="3560" t="str">
        <f>A49</f>
        <v>估价对象XX用房的比较价值（楼面单价，元/平方米）</v>
      </c>
      <c r="Q49" s="3561"/>
      <c r="R49" s="3562">
        <f>IF(F1="售价",ROUND(IF(D48="简单平均",AVERAGE(R48:V48),R48*F48+T48*H48+V48*J48),0),ROUND(IF(D48="简单平均",AVERAGE(R48:V48),R48*F48+T48*H48+V48*J48),1))</f>
        <v>9.8000000000000007</v>
      </c>
      <c r="S49" s="3562"/>
      <c r="T49" s="3562"/>
      <c r="U49" s="3562"/>
      <c r="V49" s="3562"/>
      <c r="W49" s="3562"/>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3219</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3245</v>
      </c>
      <c r="D90" s="3128" t="s">
        <v>3246</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3249</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3231</v>
      </c>
      <c r="D100" s="3129" t="s">
        <v>3232</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3227</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3221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3229</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3221</v>
      </c>
      <c r="D122" s="3128" t="s">
        <v>3242</v>
      </c>
      <c r="E122" s="3128" t="s">
        <v>3270</v>
      </c>
      <c r="F122" s="3138" t="s">
        <v>3271</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5" priority="20" stopIfTrue="1" operator="containsText" text="超过">
      <formula>NOT(ISERROR(SEARCH("超过",F52)))</formula>
    </cfRule>
  </conditionalFormatting>
  <conditionalFormatting sqref="H54">
    <cfRule type="containsText" dxfId="204" priority="19" stopIfTrue="1" operator="containsText" text="超过">
      <formula>NOT(ISERROR(SEARCH("超过",H54)))</formula>
    </cfRule>
  </conditionalFormatting>
  <conditionalFormatting sqref="F54">
    <cfRule type="containsText" dxfId="203" priority="18" stopIfTrue="1" operator="containsText" text="超过">
      <formula>NOT(ISERROR(SEARCH("超过",F54)))</formula>
    </cfRule>
  </conditionalFormatting>
  <conditionalFormatting sqref="F53 H53">
    <cfRule type="containsText" dxfId="202" priority="17" stopIfTrue="1" operator="containsText" text="超过">
      <formula>NOT(ISERROR(SEARCH("超过",F53)))</formula>
    </cfRule>
  </conditionalFormatting>
  <conditionalFormatting sqref="E52">
    <cfRule type="expression" dxfId="201" priority="16" stopIfTrue="1">
      <formula>$F$52="超过30%"</formula>
    </cfRule>
  </conditionalFormatting>
  <conditionalFormatting sqref="E53">
    <cfRule type="expression" dxfId="200" priority="15" stopIfTrue="1">
      <formula>$F$53="超过20%"</formula>
    </cfRule>
  </conditionalFormatting>
  <conditionalFormatting sqref="E54">
    <cfRule type="expression" dxfId="199" priority="14" stopIfTrue="1">
      <formula>$F$54="超过30%"</formula>
    </cfRule>
  </conditionalFormatting>
  <conditionalFormatting sqref="G54">
    <cfRule type="expression" dxfId="198" priority="13" stopIfTrue="1">
      <formula>$H$54="超过30%"</formula>
    </cfRule>
  </conditionalFormatting>
  <conditionalFormatting sqref="G52">
    <cfRule type="expression" dxfId="197" priority="12" stopIfTrue="1">
      <formula>$H$52="超过30%"</formula>
    </cfRule>
  </conditionalFormatting>
  <conditionalFormatting sqref="G53">
    <cfRule type="expression" dxfId="196" priority="11" stopIfTrue="1">
      <formula>$H$53="超过20%"</formula>
    </cfRule>
  </conditionalFormatting>
  <conditionalFormatting sqref="J52">
    <cfRule type="containsText" dxfId="195" priority="10" stopIfTrue="1" operator="containsText" text="超过">
      <formula>NOT(ISERROR(SEARCH("超过",J52)))</formula>
    </cfRule>
  </conditionalFormatting>
  <conditionalFormatting sqref="J54">
    <cfRule type="containsText" dxfId="194" priority="9" stopIfTrue="1" operator="containsText" text="超过">
      <formula>NOT(ISERROR(SEARCH("超过",J54)))</formula>
    </cfRule>
  </conditionalFormatting>
  <conditionalFormatting sqref="J53">
    <cfRule type="containsText" dxfId="193" priority="8" stopIfTrue="1" operator="containsText" text="超过">
      <formula>NOT(ISERROR(SEARCH("超过",J53)))</formula>
    </cfRule>
  </conditionalFormatting>
  <conditionalFormatting sqref="I52">
    <cfRule type="expression" dxfId="192" priority="7" stopIfTrue="1">
      <formula>$J$52="超过30%"</formula>
    </cfRule>
  </conditionalFormatting>
  <conditionalFormatting sqref="I53">
    <cfRule type="expression" dxfId="191" priority="6" stopIfTrue="1">
      <formula>$J$53="超过20%"</formula>
    </cfRule>
  </conditionalFormatting>
  <conditionalFormatting sqref="I54">
    <cfRule type="expression" dxfId="190" priority="5" stopIfTrue="1">
      <formula>$J$54="超过30%"</formula>
    </cfRule>
  </conditionalFormatting>
  <conditionalFormatting sqref="F48">
    <cfRule type="expression" dxfId="189" priority="4">
      <formula>$D$48="简单平均"</formula>
    </cfRule>
  </conditionalFormatting>
  <conditionalFormatting sqref="H48">
    <cfRule type="expression" dxfId="188" priority="3">
      <formula>$D$48="简单平均"</formula>
    </cfRule>
  </conditionalFormatting>
  <conditionalFormatting sqref="J48">
    <cfRule type="expression" dxfId="187" priority="2">
      <formula>$D$48="简单平均"</formula>
    </cfRule>
  </conditionalFormatting>
  <conditionalFormatting sqref="F7:F46 H7:H46 J7:J46">
    <cfRule type="cellIs" dxfId="186" priority="1" operator="notEqual">
      <formula>100</formula>
    </cfRule>
  </conditionalFormatting>
  <dataValidations count="25">
    <dataValidation type="list" allowBlank="1" showInputMessage="1" showErrorMessage="1" sqref="D48" xr:uid="{00000000-0002-0000-1600-000000000000}">
      <formula1>"简单平均,加权平均"</formula1>
    </dataValidation>
    <dataValidation type="list" allowBlank="1" showInputMessage="1" showErrorMessage="1" sqref="F2" xr:uid="{00000000-0002-0000-1600-000001000000}">
      <formula1>估价方法</formula1>
    </dataValidation>
    <dataValidation type="list" allowBlank="1" showInputMessage="1" showErrorMessage="1" sqref="C2" xr:uid="{00000000-0002-0000-1600-000002000000}">
      <formula1>"需扣减承租人权益,——"</formula1>
    </dataValidation>
    <dataValidation type="list" allowBlank="1" showInputMessage="1" showErrorMessage="1" sqref="F1" xr:uid="{00000000-0002-0000-1600-000003000000}">
      <formula1>"售价,租金"</formula1>
    </dataValidation>
    <dataValidation type="list" allowBlank="1" showInputMessage="1" showErrorMessage="1" sqref="C22 E22 G22 I22" xr:uid="{00000000-0002-0000-1600-000004000000}">
      <formula1>基础设施水平</formula1>
    </dataValidation>
    <dataValidation type="list" allowBlank="1" showInputMessage="1" showErrorMessage="1" sqref="C16 E16 G16 I16" xr:uid="{00000000-0002-0000-1600-000005000000}">
      <formula1>商业繁华度</formula1>
    </dataValidation>
    <dataValidation type="list" allowBlank="1" showInputMessage="1" showErrorMessage="1" sqref="C8 E8 G8 I8" xr:uid="{00000000-0002-0000-1600-000006000000}">
      <formula1>商业交易情况</formula1>
    </dataValidation>
    <dataValidation type="list" allowBlank="1" showInputMessage="1" showErrorMessage="1" sqref="C39 E39 G39 I39" xr:uid="{00000000-0002-0000-1600-000007000000}">
      <formula1>商业层高</formula1>
    </dataValidation>
    <dataValidation type="list" allowBlank="1" showInputMessage="1" showErrorMessage="1" sqref="C38 E38 G38 I38" xr:uid="{00000000-0002-0000-1600-000008000000}">
      <formula1>商业业态</formula1>
    </dataValidation>
    <dataValidation type="list" allowBlank="1" showInputMessage="1" showErrorMessage="1" sqref="E9 G9 I9" xr:uid="{00000000-0002-0000-1600-000009000000}">
      <formula1>商业用途</formula1>
    </dataValidation>
    <dataValidation type="list" allowBlank="1" showInputMessage="1" showErrorMessage="1" sqref="C42 E42 G42 I42" xr:uid="{00000000-0002-0000-1600-00000A000000}">
      <formula1>商业内部装修</formula1>
    </dataValidation>
    <dataValidation type="list" allowBlank="1" showInputMessage="1" showErrorMessage="1" sqref="C41 E41 G41 I41" xr:uid="{00000000-0002-0000-1600-00000B000000}">
      <formula1>商业进深比</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35 E35 G35 I35" xr:uid="{00000000-0002-0000-1600-00000D000000}">
      <formula1>商业公共部分装修</formula1>
    </dataValidation>
    <dataValidation type="list" allowBlank="1" showInputMessage="1" showErrorMessage="1" sqref="C34 E34 G34 I34" xr:uid="{00000000-0002-0000-1600-00000E000000}">
      <formula1>商业建筑结构</formula1>
    </dataValidation>
    <dataValidation type="list" allowBlank="1" showInputMessage="1" showErrorMessage="1" sqref="C32 E32 G32 I32" xr:uid="{00000000-0002-0000-1600-00000F000000}">
      <formula1>商业类型</formula1>
    </dataValidation>
    <dataValidation type="list" allowBlank="1" showInputMessage="1" showErrorMessage="1" sqref="C28 E28 G28 I28" xr:uid="{00000000-0002-0000-1600-000010000000}">
      <formula1>商业楼层</formula1>
    </dataValidation>
    <dataValidation type="list" allowBlank="1" showInputMessage="1" showErrorMessage="1" sqref="C27 E27 G27 I27" xr:uid="{00000000-0002-0000-1600-000011000000}">
      <formula1>商业人流量</formula1>
    </dataValidation>
    <dataValidation type="list" allowBlank="1" showInputMessage="1" showErrorMessage="1" sqref="C25 E25 G25 I25" xr:uid="{00000000-0002-0000-1600-000012000000}">
      <formula1>商业临街状况</formula1>
    </dataValidation>
    <dataValidation type="list" allowBlank="1" showInputMessage="1" showErrorMessage="1" sqref="E24 G24 I24 C24" xr:uid="{00000000-0002-0000-1600-000013000000}">
      <formula1>环境</formula1>
    </dataValidation>
    <dataValidation type="list" allowBlank="1" showInputMessage="1" showErrorMessage="1" sqref="E18 G18 I18 C18" xr:uid="{00000000-0002-0000-1600-000014000000}">
      <formula1>交通便捷度</formula1>
    </dataValidation>
    <dataValidation type="list" allowBlank="1" showInputMessage="1" showErrorMessage="1" sqref="E20 I20 G20 C20" xr:uid="{00000000-0002-0000-1600-000015000000}">
      <formula1>公共配套设施</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1" xr:uid="{00000000-0002-0000-1600-000017000000}">
      <formula1>项目类型</formula1>
    </dataValidation>
    <dataValidation type="list" allowBlank="1" showInputMessage="1" showErrorMessage="1" sqref="C10 E10 G10 I10" xr:uid="{00000000-0002-0000-16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
  <sheetViews>
    <sheetView workbookViewId="0">
      <selection activeCell="P23" sqref="P23"/>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1:P45"/>
  <sheetViews>
    <sheetView topLeftCell="A22" zoomScale="90" zoomScaleNormal="90" workbookViewId="0">
      <selection activeCell="C35" sqref="C3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73" t="s">
        <v>3057</v>
      </c>
      <c r="B1" s="3473"/>
      <c r="C1" s="3473"/>
      <c r="D1" s="3473"/>
      <c r="E1" s="3473"/>
      <c r="F1" s="3473"/>
      <c r="G1" s="3473"/>
      <c r="H1" s="3473"/>
      <c r="I1" s="3473"/>
      <c r="K1" s="3474" t="s">
        <v>3058</v>
      </c>
      <c r="L1" s="3055" t="s">
        <v>3059</v>
      </c>
      <c r="M1" s="3056">
        <v>0</v>
      </c>
      <c r="N1" s="1407"/>
      <c r="O1" s="1407"/>
    </row>
    <row r="2" spans="1:16" ht="15.75" customHeight="1">
      <c r="A2" s="3058" t="s">
        <v>3060</v>
      </c>
      <c r="B2" s="3059" t="s">
        <v>3061</v>
      </c>
      <c r="C2" s="3475" t="s">
        <v>3062</v>
      </c>
      <c r="D2" s="3476"/>
      <c r="E2" s="3476"/>
      <c r="F2" s="3477"/>
      <c r="G2" s="3060" t="s">
        <v>3063</v>
      </c>
      <c r="H2" s="3478" t="s">
        <v>3064</v>
      </c>
      <c r="I2" s="3478"/>
      <c r="K2" s="3474"/>
      <c r="L2" s="3055" t="s">
        <v>3065</v>
      </c>
      <c r="M2" s="3254">
        <f>2022-N2</f>
        <v>11</v>
      </c>
      <c r="N2" s="3062">
        <v>2011</v>
      </c>
      <c r="O2" s="3062"/>
    </row>
    <row r="3" spans="1:16">
      <c r="A3" s="3063" t="s">
        <v>3066</v>
      </c>
      <c r="B3" s="3064" t="s">
        <v>3067</v>
      </c>
      <c r="C3" s="3475">
        <f>ROUND('比较法-商业售价'!B3*面积表!G2,0)</f>
        <v>6268683</v>
      </c>
      <c r="D3" s="3476"/>
      <c r="E3" s="3476"/>
      <c r="F3" s="3477"/>
      <c r="G3" s="3063" t="s">
        <v>3068</v>
      </c>
      <c r="H3" s="3065" t="s">
        <v>3069</v>
      </c>
      <c r="I3" s="3066">
        <f>'数据-基础表'!I13</f>
        <v>146.99</v>
      </c>
      <c r="K3" s="3474"/>
      <c r="L3" s="3055" t="s">
        <v>3070</v>
      </c>
      <c r="M3" s="3061" t="s">
        <v>3071</v>
      </c>
      <c r="N3" s="3062"/>
      <c r="O3" s="3067"/>
    </row>
    <row r="4" spans="1:16">
      <c r="A4" s="3479" t="s">
        <v>3072</v>
      </c>
      <c r="B4" s="3480" t="s">
        <v>3073</v>
      </c>
      <c r="C4" s="3481">
        <f>ROUND(C3*(I4-I6)/(1-((1+I6)/(1+I4))^I5),0)</f>
        <v>336773</v>
      </c>
      <c r="D4" s="3482"/>
      <c r="E4" s="3482"/>
      <c r="F4" s="3483"/>
      <c r="G4" s="3479" t="s">
        <v>3074</v>
      </c>
      <c r="H4" s="3068" t="s">
        <v>3075</v>
      </c>
      <c r="I4" s="3069">
        <v>5.5E-2</v>
      </c>
      <c r="K4" s="3474"/>
      <c r="L4" s="3055" t="s">
        <v>3076</v>
      </c>
      <c r="M4" s="3070">
        <f>ROUND(1-(1-M1)*M2/M3,2)</f>
        <v>0.82</v>
      </c>
      <c r="N4" s="3062"/>
      <c r="O4" s="3062"/>
    </row>
    <row r="5" spans="1:16" s="3074" customFormat="1" ht="18" customHeight="1">
      <c r="A5" s="3479"/>
      <c r="B5" s="3480"/>
      <c r="C5" s="3484"/>
      <c r="D5" s="3485"/>
      <c r="E5" s="3485"/>
      <c r="F5" s="3486"/>
      <c r="G5" s="3479"/>
      <c r="H5" s="3064" t="s">
        <v>3077</v>
      </c>
      <c r="I5" s="3071">
        <f>项目基本情况!E15</f>
        <v>24.33</v>
      </c>
      <c r="J5" s="3072"/>
      <c r="K5" s="3474"/>
      <c r="L5" s="3055" t="s">
        <v>3078</v>
      </c>
      <c r="M5" s="3073">
        <v>0.5</v>
      </c>
      <c r="N5" s="3062"/>
      <c r="O5" s="3062"/>
    </row>
    <row r="6" spans="1:16" s="3074" customFormat="1" ht="18" customHeight="1">
      <c r="A6" s="3479"/>
      <c r="B6" s="3480"/>
      <c r="C6" s="3487"/>
      <c r="D6" s="3488"/>
      <c r="E6" s="3488"/>
      <c r="F6" s="3489"/>
      <c r="G6" s="3479"/>
      <c r="H6" s="3064" t="s">
        <v>3079</v>
      </c>
      <c r="I6" s="3069">
        <v>3.5000000000000003E-2</v>
      </c>
      <c r="J6" s="3075"/>
      <c r="K6" s="3490" t="s">
        <v>3080</v>
      </c>
      <c r="L6" s="3076" t="s">
        <v>3081</v>
      </c>
      <c r="M6" s="3077" t="s">
        <v>3082</v>
      </c>
      <c r="N6" s="3077" t="s">
        <v>3083</v>
      </c>
      <c r="O6" s="3077" t="s">
        <v>3084</v>
      </c>
      <c r="P6" s="3077" t="s">
        <v>3085</v>
      </c>
    </row>
    <row r="7" spans="1:16" s="3074" customFormat="1" ht="18" customHeight="1">
      <c r="A7" s="3063" t="s">
        <v>3086</v>
      </c>
      <c r="B7" s="3064" t="s">
        <v>3087</v>
      </c>
      <c r="C7" s="3475">
        <f ca="1">ROUND(C23*I7,0)</f>
        <v>657919</v>
      </c>
      <c r="D7" s="3476"/>
      <c r="E7" s="3476"/>
      <c r="F7" s="3477"/>
      <c r="G7" s="3060" t="s">
        <v>3088</v>
      </c>
      <c r="H7" s="3064" t="s">
        <v>3089</v>
      </c>
      <c r="I7" s="3078">
        <v>0.8</v>
      </c>
      <c r="K7" s="3490"/>
      <c r="L7" s="3076" t="s">
        <v>3090</v>
      </c>
      <c r="M7" s="3077">
        <v>100</v>
      </c>
      <c r="N7" s="3077" t="s">
        <v>3091</v>
      </c>
      <c r="O7" s="3077">
        <v>90</v>
      </c>
      <c r="P7" s="3079">
        <v>0.3</v>
      </c>
    </row>
    <row r="8" spans="1:16" s="3074" customFormat="1" ht="18" customHeight="1">
      <c r="A8" s="3058" t="s">
        <v>3092</v>
      </c>
      <c r="B8" s="3064" t="s">
        <v>3093</v>
      </c>
      <c r="C8" s="3475">
        <f>ROUND(I8*I3,0)</f>
        <v>514465</v>
      </c>
      <c r="D8" s="3476"/>
      <c r="E8" s="3476"/>
      <c r="F8" s="3477"/>
      <c r="G8" s="3060" t="s">
        <v>3094</v>
      </c>
      <c r="H8" s="3064" t="s">
        <v>3095</v>
      </c>
      <c r="I8" s="3060">
        <v>3500</v>
      </c>
      <c r="J8" s="3080">
        <f>D35</f>
        <v>6.5</v>
      </c>
      <c r="K8" s="3490"/>
      <c r="L8" s="3076" t="s">
        <v>3096</v>
      </c>
      <c r="M8" s="3077">
        <v>100</v>
      </c>
      <c r="N8" s="3077" t="s">
        <v>3097</v>
      </c>
      <c r="O8" s="3077">
        <v>90</v>
      </c>
      <c r="P8" s="3079">
        <v>0.5</v>
      </c>
    </row>
    <row r="9" spans="1:16" s="3074" customFormat="1" ht="18" customHeight="1">
      <c r="A9" s="3058" t="s">
        <v>3098</v>
      </c>
      <c r="B9" s="3064" t="s">
        <v>3099</v>
      </c>
      <c r="C9" s="3475">
        <f>ROUND(C8*H9,0)</f>
        <v>20579</v>
      </c>
      <c r="D9" s="3476"/>
      <c r="E9" s="3476"/>
      <c r="F9" s="3477"/>
      <c r="G9" s="3060" t="s">
        <v>3100</v>
      </c>
      <c r="H9" s="3491">
        <v>0.04</v>
      </c>
      <c r="I9" s="3491"/>
      <c r="J9" s="3080">
        <f ca="1">D36</f>
        <v>7.66</v>
      </c>
      <c r="K9" s="3490"/>
      <c r="L9" s="3076" t="s">
        <v>3101</v>
      </c>
      <c r="M9" s="3077">
        <v>100</v>
      </c>
      <c r="N9" s="3077" t="s">
        <v>3091</v>
      </c>
      <c r="O9" s="3077">
        <v>90</v>
      </c>
      <c r="P9" s="3079">
        <f>1-P7-P8</f>
        <v>0.19999999999999996</v>
      </c>
    </row>
    <row r="10" spans="1:16" s="3074" customFormat="1" ht="18" customHeight="1">
      <c r="A10" s="3058" t="s">
        <v>3102</v>
      </c>
      <c r="B10" s="3064" t="s">
        <v>3103</v>
      </c>
      <c r="C10" s="3475">
        <f>ROUND(C8*H10,0)</f>
        <v>0</v>
      </c>
      <c r="D10" s="3476"/>
      <c r="E10" s="3476"/>
      <c r="F10" s="3477"/>
      <c r="G10" s="3060" t="s">
        <v>3104</v>
      </c>
      <c r="H10" s="3491">
        <f>'数据-取费表'!B34</f>
        <v>0</v>
      </c>
      <c r="I10" s="3491"/>
      <c r="J10" s="3080">
        <f ca="1">D37</f>
        <v>6.85</v>
      </c>
      <c r="K10" s="3490"/>
      <c r="L10" s="3081" t="s">
        <v>3078</v>
      </c>
      <c r="M10" s="3082">
        <f>1-M5</f>
        <v>0.5</v>
      </c>
      <c r="N10" s="3077" t="s">
        <v>3105</v>
      </c>
      <c r="O10" s="3083">
        <f>ROUND((O7*P7+O8*P8+O9*P9)/100,2)</f>
        <v>0.9</v>
      </c>
      <c r="P10" s="3084"/>
    </row>
    <row r="11" spans="1:16" s="3074" customFormat="1" ht="29.25" customHeight="1">
      <c r="A11" s="3058" t="s">
        <v>3106</v>
      </c>
      <c r="B11" s="3064" t="s">
        <v>3107</v>
      </c>
      <c r="C11" s="3475">
        <f>ROUND(I11*I3,0)</f>
        <v>29398</v>
      </c>
      <c r="D11" s="3476"/>
      <c r="E11" s="3476"/>
      <c r="F11" s="3477"/>
      <c r="G11" s="3060" t="s">
        <v>3108</v>
      </c>
      <c r="H11" s="3064" t="s">
        <v>3109</v>
      </c>
      <c r="I11" s="3060">
        <f>'数据-取费表'!B28</f>
        <v>200</v>
      </c>
      <c r="J11" s="3072"/>
      <c r="K11" s="3085"/>
      <c r="L11" s="3085"/>
    </row>
    <row r="12" spans="1:16" s="3074" customFormat="1" ht="18" customHeight="1">
      <c r="A12" s="3058" t="s">
        <v>3110</v>
      </c>
      <c r="B12" s="3064" t="s">
        <v>3111</v>
      </c>
      <c r="C12" s="3475">
        <f>ROUND(C8*H12,0)</f>
        <v>7717</v>
      </c>
      <c r="D12" s="3476"/>
      <c r="E12" s="3476"/>
      <c r="F12" s="3477"/>
      <c r="G12" s="3060" t="s">
        <v>3112</v>
      </c>
      <c r="H12" s="3491">
        <f>'数据-取费表'!B36</f>
        <v>1.4999999999999999E-2</v>
      </c>
      <c r="I12" s="3491"/>
      <c r="J12" s="3086" t="s">
        <v>3113</v>
      </c>
      <c r="L12" s="3087"/>
    </row>
    <row r="13" spans="1:16" s="3074" customFormat="1" ht="18" customHeight="1">
      <c r="A13" s="3058" t="s">
        <v>3114</v>
      </c>
      <c r="B13" s="3064" t="s">
        <v>3115</v>
      </c>
      <c r="C13" s="3475">
        <f>SUM(C8:F12)</f>
        <v>572159</v>
      </c>
      <c r="D13" s="3476"/>
      <c r="E13" s="3476"/>
      <c r="F13" s="3477"/>
      <c r="G13" s="3478" t="s">
        <v>3116</v>
      </c>
      <c r="H13" s="3478"/>
      <c r="I13" s="3478"/>
      <c r="J13" s="3086" t="s">
        <v>3117</v>
      </c>
      <c r="L13" s="3087"/>
      <c r="N13" s="3074">
        <v>2011</v>
      </c>
    </row>
    <row r="14" spans="1:16" s="3074" customFormat="1" ht="18" customHeight="1">
      <c r="A14" s="3058" t="s">
        <v>3118</v>
      </c>
      <c r="B14" s="3064" t="s">
        <v>3119</v>
      </c>
      <c r="C14" s="3475">
        <f>ROUND(C13*H14,0)</f>
        <v>11443</v>
      </c>
      <c r="D14" s="3476"/>
      <c r="E14" s="3476"/>
      <c r="F14" s="3477"/>
      <c r="G14" s="3060" t="s">
        <v>3120</v>
      </c>
      <c r="H14" s="3491">
        <v>0.02</v>
      </c>
      <c r="I14" s="3491"/>
      <c r="J14" s="3072"/>
      <c r="L14" s="3087"/>
    </row>
    <row r="15" spans="1:16" s="3074" customFormat="1" ht="18" customHeight="1">
      <c r="A15" s="3058" t="s">
        <v>3121</v>
      </c>
      <c r="B15" s="3064" t="s">
        <v>3122</v>
      </c>
      <c r="C15" s="3496">
        <f>H15</f>
        <v>0.02</v>
      </c>
      <c r="D15" s="3497"/>
      <c r="E15" s="3494" t="str">
        <f>E18</f>
        <v>V</v>
      </c>
      <c r="F15" s="3495"/>
      <c r="G15" s="3060" t="s">
        <v>3123</v>
      </c>
      <c r="H15" s="3491">
        <v>0.02</v>
      </c>
      <c r="I15" s="3491"/>
      <c r="J15" s="3088"/>
      <c r="K15" s="3089"/>
    </row>
    <row r="16" spans="1:16" s="3074" customFormat="1" ht="18" customHeight="1">
      <c r="A16" s="3090" t="s">
        <v>3124</v>
      </c>
      <c r="B16" s="3091" t="s">
        <v>3125</v>
      </c>
      <c r="C16" s="3092">
        <f ca="1">C17</f>
        <v>27721</v>
      </c>
      <c r="D16" s="3093" t="s">
        <v>3126</v>
      </c>
      <c r="E16" s="3094">
        <f ca="1">C18</f>
        <v>9.5E-4</v>
      </c>
      <c r="F16" s="3095" t="str">
        <f>E18</f>
        <v>V</v>
      </c>
      <c r="G16" s="3475" t="s">
        <v>3127</v>
      </c>
      <c r="H16" s="3476"/>
      <c r="I16" s="3477"/>
      <c r="J16" s="3072"/>
      <c r="K16" s="3085"/>
    </row>
    <row r="17" spans="1:12" s="3074" customFormat="1" ht="18" customHeight="1">
      <c r="A17" s="3058" t="s">
        <v>3128</v>
      </c>
      <c r="B17" s="3064" t="s">
        <v>3129</v>
      </c>
      <c r="C17" s="3475">
        <f ca="1">ROUND((C13+C14)*I18*(I17/2),0)</f>
        <v>27721</v>
      </c>
      <c r="D17" s="3476"/>
      <c r="E17" s="3476"/>
      <c r="F17" s="3477"/>
      <c r="G17" s="3092" t="s">
        <v>3130</v>
      </c>
      <c r="H17" s="3064" t="s">
        <v>3131</v>
      </c>
      <c r="I17" s="3096">
        <f>'数据-取费表'!B20</f>
        <v>2</v>
      </c>
      <c r="J17" s="3086" t="s">
        <v>3132</v>
      </c>
      <c r="K17" s="3085"/>
      <c r="L17" s="3085"/>
    </row>
    <row r="18" spans="1:12" s="3074" customFormat="1" ht="18" customHeight="1">
      <c r="A18" s="3058" t="s">
        <v>3133</v>
      </c>
      <c r="B18" s="3064" t="s">
        <v>3134</v>
      </c>
      <c r="C18" s="3492">
        <f ca="1">H15*I18*I17/2</f>
        <v>9.5E-4</v>
      </c>
      <c r="D18" s="3493"/>
      <c r="E18" s="3494" t="s">
        <v>3135</v>
      </c>
      <c r="F18" s="3495"/>
      <c r="G18" s="3092" t="s">
        <v>3136</v>
      </c>
      <c r="H18" s="3064" t="s">
        <v>3137</v>
      </c>
      <c r="I18" s="3097">
        <f ca="1">'数据-取费表'!B40</f>
        <v>4.7500000000000001E-2</v>
      </c>
      <c r="J18" s="3086" t="s">
        <v>3138</v>
      </c>
      <c r="K18" s="3085"/>
      <c r="L18" s="3085"/>
    </row>
    <row r="19" spans="1:12" s="3074" customFormat="1" ht="27" customHeight="1">
      <c r="A19" s="3058" t="s">
        <v>3139</v>
      </c>
      <c r="B19" s="3064" t="s">
        <v>3140</v>
      </c>
      <c r="C19" s="3092">
        <f>C20</f>
        <v>145901</v>
      </c>
      <c r="D19" s="3093" t="s">
        <v>3126</v>
      </c>
      <c r="E19" s="3093">
        <f>C21</f>
        <v>5.0000000000000001E-3</v>
      </c>
      <c r="F19" s="3095" t="str">
        <f>E21</f>
        <v>V</v>
      </c>
      <c r="G19" s="3475" t="s">
        <v>3141</v>
      </c>
      <c r="H19" s="3476"/>
      <c r="I19" s="3477"/>
      <c r="J19" s="3072"/>
      <c r="K19" s="3085"/>
      <c r="L19" s="3085"/>
    </row>
    <row r="20" spans="1:12" s="3074" customFormat="1" ht="26.25" customHeight="1">
      <c r="A20" s="3058" t="s">
        <v>3142</v>
      </c>
      <c r="B20" s="3064" t="s">
        <v>3143</v>
      </c>
      <c r="C20" s="3475">
        <f>ROUND((C13+C14)*I20,0)</f>
        <v>145901</v>
      </c>
      <c r="D20" s="3476"/>
      <c r="E20" s="3476"/>
      <c r="F20" s="3477"/>
      <c r="G20" s="3060" t="s">
        <v>3144</v>
      </c>
      <c r="H20" s="3500" t="s">
        <v>3145</v>
      </c>
      <c r="I20" s="3502">
        <v>0.25</v>
      </c>
      <c r="J20" s="3086" t="s">
        <v>3146</v>
      </c>
      <c r="K20" s="3085"/>
      <c r="L20" s="3085"/>
    </row>
    <row r="21" spans="1:12" s="3074" customFormat="1" ht="27" customHeight="1">
      <c r="A21" s="3058" t="s">
        <v>3142</v>
      </c>
      <c r="B21" s="3064" t="s">
        <v>3147</v>
      </c>
      <c r="C21" s="3503">
        <f>H15*I20</f>
        <v>5.0000000000000001E-3</v>
      </c>
      <c r="D21" s="3504"/>
      <c r="E21" s="3494" t="s">
        <v>3148</v>
      </c>
      <c r="F21" s="3495"/>
      <c r="G21" s="3060" t="s">
        <v>3149</v>
      </c>
      <c r="H21" s="3501"/>
      <c r="I21" s="3502"/>
      <c r="J21" s="3072"/>
      <c r="K21" s="3085"/>
      <c r="L21" s="3085"/>
    </row>
    <row r="22" spans="1:12" s="3074" customFormat="1" ht="18" customHeight="1">
      <c r="A22" s="3058" t="s">
        <v>3150</v>
      </c>
      <c r="B22" s="3064" t="s">
        <v>3151</v>
      </c>
      <c r="C22" s="3503">
        <f>ROUND(H22/1.05,4)</f>
        <v>5.33E-2</v>
      </c>
      <c r="D22" s="3504"/>
      <c r="E22" s="3494" t="s">
        <v>3148</v>
      </c>
      <c r="F22" s="3495"/>
      <c r="G22" s="3060" t="s">
        <v>3152</v>
      </c>
      <c r="H22" s="3491">
        <v>5.6000000000000001E-2</v>
      </c>
      <c r="I22" s="3491"/>
      <c r="J22" s="3098"/>
      <c r="K22" s="3085"/>
      <c r="L22" s="3085"/>
    </row>
    <row r="23" spans="1:12" s="3074" customFormat="1" ht="18" customHeight="1">
      <c r="A23" s="3058" t="s">
        <v>3153</v>
      </c>
      <c r="B23" s="3064" t="s">
        <v>3154</v>
      </c>
      <c r="C23" s="3475">
        <f ca="1">ROUND((C13+C14+C17+C20)/(1-H15-C18-C21-C22),0)</f>
        <v>822399</v>
      </c>
      <c r="D23" s="3476"/>
      <c r="E23" s="3476"/>
      <c r="F23" s="3477"/>
      <c r="G23" s="3475" t="s">
        <v>3155</v>
      </c>
      <c r="H23" s="3476"/>
      <c r="I23" s="3477"/>
      <c r="J23" s="3098"/>
      <c r="K23" s="3085"/>
      <c r="L23" s="3085"/>
    </row>
    <row r="24" spans="1:12" s="3074" customFormat="1" ht="18" customHeight="1">
      <c r="A24" s="3058" t="s">
        <v>3156</v>
      </c>
      <c r="B24" s="3064" t="s">
        <v>3157</v>
      </c>
      <c r="C24" s="3099">
        <f ca="1">C26+C27</f>
        <v>4770</v>
      </c>
      <c r="D24" s="3100" t="s">
        <v>3158</v>
      </c>
      <c r="E24" s="3498">
        <f>H25+H28</f>
        <v>0.125</v>
      </c>
      <c r="F24" s="3499"/>
      <c r="G24" s="3478" t="s">
        <v>3159</v>
      </c>
      <c r="H24" s="3478"/>
      <c r="I24" s="3478"/>
      <c r="J24" s="3098"/>
      <c r="K24" s="3085"/>
      <c r="L24" s="3085"/>
    </row>
    <row r="25" spans="1:12" s="3074" customFormat="1" ht="18" customHeight="1">
      <c r="A25" s="3058" t="s">
        <v>3160</v>
      </c>
      <c r="B25" s="3064" t="s">
        <v>3161</v>
      </c>
      <c r="C25" s="3496" t="s">
        <v>3162</v>
      </c>
      <c r="D25" s="3497"/>
      <c r="E25" s="3498">
        <f>H25</f>
        <v>0.12</v>
      </c>
      <c r="F25" s="3499"/>
      <c r="G25" s="3060" t="s">
        <v>3163</v>
      </c>
      <c r="H25" s="3505">
        <v>0.12</v>
      </c>
      <c r="I25" s="3505"/>
      <c r="J25" s="3088"/>
      <c r="K25" s="3085"/>
      <c r="L25" s="3085"/>
    </row>
    <row r="26" spans="1:12" s="3074" customFormat="1" ht="18" customHeight="1">
      <c r="A26" s="3058" t="s">
        <v>3164</v>
      </c>
      <c r="B26" s="3064" t="s">
        <v>3165</v>
      </c>
      <c r="C26" s="3475">
        <f ca="1">ROUND(C23*H26,0)</f>
        <v>4112</v>
      </c>
      <c r="D26" s="3476"/>
      <c r="E26" s="3476"/>
      <c r="F26" s="3477"/>
      <c r="G26" s="3060" t="s">
        <v>3166</v>
      </c>
      <c r="H26" s="3505">
        <v>5.0000000000000001E-3</v>
      </c>
      <c r="I26" s="3505"/>
      <c r="J26" s="3088"/>
      <c r="K26" s="3085"/>
      <c r="L26" s="3085"/>
    </row>
    <row r="27" spans="1:12" s="3074" customFormat="1" ht="18" customHeight="1">
      <c r="A27" s="3058" t="s">
        <v>3167</v>
      </c>
      <c r="B27" s="3064" t="s">
        <v>3168</v>
      </c>
      <c r="C27" s="3475">
        <f ca="1">ROUND(C7*H27,0)</f>
        <v>658</v>
      </c>
      <c r="D27" s="3476"/>
      <c r="E27" s="3476"/>
      <c r="F27" s="3477"/>
      <c r="G27" s="3060" t="s">
        <v>3169</v>
      </c>
      <c r="H27" s="3506">
        <v>1E-3</v>
      </c>
      <c r="I27" s="3506"/>
      <c r="J27" s="3072"/>
      <c r="K27" s="3085"/>
      <c r="L27" s="3085"/>
    </row>
    <row r="28" spans="1:12" s="3074" customFormat="1" ht="18" customHeight="1">
      <c r="A28" s="3058" t="s">
        <v>3170</v>
      </c>
      <c r="B28" s="3064" t="s">
        <v>3171</v>
      </c>
      <c r="C28" s="3496" t="s">
        <v>3162</v>
      </c>
      <c r="D28" s="3497"/>
      <c r="E28" s="3498">
        <f>H28</f>
        <v>5.0000000000000001E-3</v>
      </c>
      <c r="F28" s="3499"/>
      <c r="G28" s="3060" t="s">
        <v>3172</v>
      </c>
      <c r="H28" s="3505">
        <v>5.0000000000000001E-3</v>
      </c>
      <c r="I28" s="3505"/>
      <c r="J28" s="3101"/>
      <c r="K28" s="3085"/>
      <c r="L28" s="3085"/>
    </row>
    <row r="29" spans="1:12" s="3074" customFormat="1" ht="18" customHeight="1">
      <c r="A29" s="3063" t="s">
        <v>3173</v>
      </c>
      <c r="B29" s="3064" t="s">
        <v>3174</v>
      </c>
      <c r="C29" s="3475">
        <f ca="1">ROUND((C4+C24)/(1-E24),0)</f>
        <v>390335</v>
      </c>
      <c r="D29" s="3476"/>
      <c r="E29" s="3476"/>
      <c r="F29" s="3477"/>
      <c r="G29" s="3479" t="s">
        <v>3175</v>
      </c>
      <c r="H29" s="3479"/>
      <c r="I29" s="3479"/>
      <c r="J29" s="3255" t="s">
        <v>3518</v>
      </c>
      <c r="K29" s="3085"/>
      <c r="L29" s="3085"/>
    </row>
    <row r="30" spans="1:12" s="3074" customFormat="1" ht="21" customHeight="1">
      <c r="A30" s="3479" t="s">
        <v>3177</v>
      </c>
      <c r="B30" s="3480" t="s">
        <v>3178</v>
      </c>
      <c r="C30" s="3507">
        <f ca="1">ROUND(C29/I30/I31/I3,2)</f>
        <v>7.66</v>
      </c>
      <c r="D30" s="3508"/>
      <c r="E30" s="3508"/>
      <c r="F30" s="3509"/>
      <c r="G30" s="3478" t="s">
        <v>3179</v>
      </c>
      <c r="H30" s="3064" t="s">
        <v>3180</v>
      </c>
      <c r="I30" s="3060">
        <v>365</v>
      </c>
      <c r="J30" s="3103"/>
      <c r="K30" s="3085"/>
      <c r="L30" s="3085"/>
    </row>
    <row r="31" spans="1:12" s="3074" customFormat="1" ht="18" customHeight="1">
      <c r="A31" s="3479"/>
      <c r="B31" s="3480"/>
      <c r="C31" s="3510"/>
      <c r="D31" s="3511"/>
      <c r="E31" s="3511"/>
      <c r="F31" s="3512"/>
      <c r="G31" s="3478"/>
      <c r="H31" s="3064" t="s">
        <v>3181</v>
      </c>
      <c r="I31" s="3104">
        <v>0.95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14" t="s">
        <v>3182</v>
      </c>
      <c r="C33" s="3514"/>
      <c r="D33" s="3514"/>
      <c r="E33" s="3514"/>
      <c r="F33" s="3514"/>
      <c r="G33" s="3110"/>
      <c r="H33" s="3111"/>
      <c r="I33" s="3057"/>
      <c r="J33" s="3072"/>
      <c r="K33" s="3085"/>
      <c r="L33" s="3085"/>
      <c r="M33" s="3057"/>
    </row>
    <row r="34" spans="1:13" s="3074" customFormat="1" ht="18" customHeight="1">
      <c r="A34" s="3057"/>
      <c r="B34" s="3112" t="s">
        <v>3183</v>
      </c>
      <c r="C34" s="3113" t="s">
        <v>3085</v>
      </c>
      <c r="D34" s="3515" t="s">
        <v>3184</v>
      </c>
      <c r="E34" s="3515"/>
      <c r="F34" s="3515"/>
      <c r="G34" s="3110"/>
      <c r="H34" s="3111"/>
      <c r="I34" s="3057"/>
      <c r="J34" s="3098"/>
      <c r="K34" s="3057"/>
      <c r="L34" s="3057"/>
      <c r="M34" s="3057"/>
    </row>
    <row r="35" spans="1:13">
      <c r="B35" s="3112" t="s">
        <v>3185</v>
      </c>
      <c r="C35" s="3114">
        <v>0.7</v>
      </c>
      <c r="D35" s="3513">
        <f>'比较法-商业租金'!C49</f>
        <v>6.5</v>
      </c>
      <c r="E35" s="3513"/>
      <c r="F35" s="3513"/>
      <c r="G35" s="3110">
        <f ca="1">D36/D35</f>
        <v>1.1784615384615384</v>
      </c>
      <c r="H35" s="3111"/>
      <c r="K35" s="3057"/>
      <c r="L35" s="3057"/>
    </row>
    <row r="36" spans="1:13" ht="20.100000000000001" customHeight="1">
      <c r="B36" s="3112" t="s">
        <v>3186</v>
      </c>
      <c r="C36" s="3114">
        <f>1-C35</f>
        <v>0.30000000000000004</v>
      </c>
      <c r="D36" s="3513">
        <f ca="1">C30</f>
        <v>7.66</v>
      </c>
      <c r="E36" s="3513"/>
      <c r="F36" s="3513"/>
      <c r="G36" s="3110"/>
      <c r="H36" s="3111"/>
      <c r="J36" s="3057"/>
      <c r="K36" s="3057"/>
      <c r="L36" s="3057"/>
    </row>
    <row r="37" spans="1:13" ht="22.5" customHeight="1">
      <c r="B37" s="3516" t="s">
        <v>3187</v>
      </c>
      <c r="C37" s="3516"/>
      <c r="D37" s="3513">
        <f ca="1">ROUND(C35*D35+C36*D36,2)</f>
        <v>6.85</v>
      </c>
      <c r="E37" s="3513"/>
      <c r="F37" s="3513"/>
      <c r="G37" s="3110">
        <f ca="1">ROUND(D37*I3/10000,2)</f>
        <v>0.1</v>
      </c>
      <c r="H37" s="3111"/>
      <c r="J37" s="3057"/>
      <c r="K37" s="3057"/>
      <c r="L37" s="3057"/>
    </row>
    <row r="38" spans="1:13" ht="22.5" customHeight="1">
      <c r="B38" s="3112" t="s">
        <v>3188</v>
      </c>
      <c r="C38" s="3112">
        <f ca="1">ROUND(D37*0.9,2)</f>
        <v>6.17</v>
      </c>
      <c r="D38" s="3115" t="s">
        <v>3189</v>
      </c>
      <c r="E38" s="3513">
        <f ca="1">ROUND(D37*1.1,2)</f>
        <v>7.54</v>
      </c>
      <c r="F38" s="3513"/>
      <c r="G38" s="3110" t="s">
        <v>3190</v>
      </c>
      <c r="H38" s="3116">
        <v>12</v>
      </c>
      <c r="J38" s="3057"/>
      <c r="K38" s="3057"/>
      <c r="L38" s="3057"/>
    </row>
    <row r="39" spans="1:13" ht="18" customHeight="1">
      <c r="B39" s="3112" t="s">
        <v>3191</v>
      </c>
      <c r="C39" s="3112">
        <f ca="1">ROUND(C38+H39,2)</f>
        <v>6.22</v>
      </c>
      <c r="D39" s="3115" t="s">
        <v>3189</v>
      </c>
      <c r="E39" s="3513">
        <f ca="1">ROUND(E38+H39,2)</f>
        <v>7.59</v>
      </c>
      <c r="F39" s="3513"/>
      <c r="G39" s="3117" t="s">
        <v>3192</v>
      </c>
      <c r="H39" s="3117">
        <v>0.05</v>
      </c>
      <c r="J39" s="3057"/>
      <c r="K39" s="3057"/>
      <c r="L39" s="3057"/>
    </row>
    <row r="40" spans="1:13" ht="18" customHeight="1">
      <c r="B40" s="3118"/>
      <c r="C40" s="3119"/>
      <c r="D40" s="3120"/>
      <c r="E40" s="3120"/>
      <c r="F40" s="3120"/>
      <c r="G40" s="3110"/>
      <c r="H40" s="3111"/>
      <c r="J40" s="3057"/>
    </row>
    <row r="41" spans="1:13" ht="18" customHeight="1">
      <c r="B41" s="3110" t="s">
        <v>3193</v>
      </c>
      <c r="C41" s="3120"/>
      <c r="D41" s="3120"/>
      <c r="E41" s="3110" t="s">
        <v>3194</v>
      </c>
      <c r="F41" s="3120"/>
      <c r="G41" s="3110"/>
      <c r="H41" s="3110" t="s">
        <v>3195</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9</v>
      </c>
    </row>
    <row r="2" spans="1:33" ht="18" customHeight="1">
      <c r="A2" s="207" t="s">
        <v>2147</v>
      </c>
      <c r="B2" s="210">
        <f ca="1">C32</f>
        <v>-8</v>
      </c>
      <c r="C2" s="282" t="s">
        <v>2280</v>
      </c>
      <c r="D2" s="282"/>
      <c r="E2" s="3025"/>
      <c r="F2" s="3025"/>
      <c r="G2" s="3025"/>
      <c r="H2" s="3025"/>
      <c r="I2" s="3025"/>
      <c r="J2" s="3025"/>
      <c r="K2" s="3025"/>
    </row>
    <row r="3" spans="1:33" ht="18" customHeight="1" thickBot="1">
      <c r="A3" s="209" t="s">
        <v>2149</v>
      </c>
      <c r="B3" s="210">
        <f ca="1">ROUND(B2*10000/IF(C1="",'数据-汇总表'!E3,INDIRECT("'数据-取费表'!K"&amp;$K$1)),0)</f>
        <v>-214</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373.76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373.76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7</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7</v>
      </c>
      <c r="D20" s="955">
        <f ca="1">IF(C1="",'数据-汇总表'!E6,IF(INDIRECT("'数据-取费表'!c"&amp;$K$1)="住宅",INDIRECT("'数据-取费表'!s"&amp;$K$1),INDIRECT("'数据-取费表'!k"&amp;$K$1)+INDIRECT("'数据-取费表'!s"&amp;$K$1)))</f>
        <v>373.76</v>
      </c>
      <c r="E20" s="24">
        <f>'数据-取费表'!B28</f>
        <v>200</v>
      </c>
      <c r="F20" s="913"/>
      <c r="G20" s="15"/>
      <c r="H20" s="918"/>
      <c r="I20" s="918"/>
      <c r="J20" s="918"/>
      <c r="K20" s="919"/>
    </row>
    <row r="21" spans="1:33" s="912" customFormat="1" ht="13.5" customHeight="1">
      <c r="A21" s="898" t="s">
        <v>802</v>
      </c>
      <c r="B21" s="922" t="s">
        <v>2316</v>
      </c>
      <c r="C21" s="923">
        <f ca="1">C16+C17+C18</f>
        <v>7</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0.16</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-8</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tabColor rgb="FF92D050"/>
  </sheetPr>
  <dimension ref="A1:AK83"/>
  <sheetViews>
    <sheetView view="pageBreakPreview" topLeftCell="A10" zoomScale="70" zoomScaleNormal="70" zoomScaleSheetLayoutView="70" workbookViewId="0">
      <selection activeCell="E36" sqref="E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3"/>
      <c r="H2" s="2912"/>
      <c r="I2" s="2912"/>
      <c r="J2" s="2912"/>
      <c r="K2" s="2913"/>
      <c r="L2" s="2912"/>
      <c r="M2" s="2912"/>
    </row>
    <row r="3" spans="1:37" ht="18" customHeight="1" thickBot="1">
      <c r="A3" s="1574" t="s">
        <v>1557</v>
      </c>
      <c r="B3" s="1575">
        <f ca="1">IF(ISERROR(D2/F43),0,ROUND(D2/F43,0))</f>
        <v>0</v>
      </c>
      <c r="C3" s="1571" t="s">
        <v>1558</v>
      </c>
      <c r="D3" s="1571"/>
      <c r="E3" s="1572"/>
      <c r="F3" s="1573"/>
      <c r="G3" s="292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563" t="s">
        <v>1367</v>
      </c>
      <c r="C6" s="1206">
        <f ca="1">ROUND(F6*F8*F7*(1-F9),0)</f>
        <v>0</v>
      </c>
      <c r="D6" s="160" t="s">
        <v>2845</v>
      </c>
      <c r="E6" s="308" t="s">
        <v>1369</v>
      </c>
      <c r="F6" s="309">
        <f ca="1">INDIRECT("'数据-取费表'!u"&amp;$G$1)</f>
        <v>0</v>
      </c>
      <c r="G6" s="1568"/>
      <c r="H6" s="1201" t="s">
        <v>1003</v>
      </c>
      <c r="I6" s="3563" t="s">
        <v>1367</v>
      </c>
      <c r="J6" s="307">
        <f ca="1">ROUND(M6*M8*M7*(1-M9),0)</f>
        <v>0</v>
      </c>
      <c r="K6" s="1560" t="s">
        <v>2846</v>
      </c>
      <c r="L6" s="308" t="s">
        <v>1369</v>
      </c>
      <c r="M6" s="309">
        <f ca="1">INDIRECT("'数据-取费表'!z"&amp;$G$1)</f>
        <v>0</v>
      </c>
    </row>
    <row r="7" spans="1:37" ht="18" customHeight="1">
      <c r="A7" s="1205"/>
      <c r="B7" s="3564"/>
      <c r="C7" s="1207"/>
      <c r="D7" s="313"/>
      <c r="E7" s="1208" t="s">
        <v>1370</v>
      </c>
      <c r="F7" s="309">
        <f ca="1">IF(INDIRECT("'数据-取费表'!ah"&amp;$G$1)="",INDIRECT("'数据-取费表'!k"&amp;$G$1),INDIRECT("'数据-取费表'!ah"&amp;$G$1))</f>
        <v>0</v>
      </c>
      <c r="G7" s="1568"/>
      <c r="H7" s="310"/>
      <c r="I7" s="3564"/>
      <c r="J7" s="312"/>
      <c r="K7" s="313"/>
      <c r="L7" s="308" t="s">
        <v>1370</v>
      </c>
      <c r="M7" s="309">
        <f ca="1">F7</f>
        <v>0</v>
      </c>
    </row>
    <row r="8" spans="1:37" ht="18" customHeight="1">
      <c r="A8" s="310"/>
      <c r="B8" s="3564"/>
      <c r="C8" s="312"/>
      <c r="D8" s="313"/>
      <c r="E8" s="308" t="s">
        <v>1371</v>
      </c>
      <c r="F8" s="309">
        <f ca="1">INDIRECT("'数据-取费表'!ai"&amp;$G$1)</f>
        <v>0</v>
      </c>
      <c r="G8" s="1568"/>
      <c r="H8" s="310"/>
      <c r="I8" s="3564"/>
      <c r="J8" s="312"/>
      <c r="K8" s="313"/>
      <c r="L8" s="308" t="s">
        <v>1371</v>
      </c>
      <c r="M8" s="309">
        <f ca="1">INDIRECT("'数据-取费表'!ai"&amp;$G$1)</f>
        <v>0</v>
      </c>
    </row>
    <row r="9" spans="1:37" ht="18" customHeight="1">
      <c r="A9" s="310"/>
      <c r="B9" s="3565"/>
      <c r="C9" s="312"/>
      <c r="D9" s="313"/>
      <c r="E9" s="308" t="s">
        <v>1372</v>
      </c>
      <c r="F9" s="318">
        <f ca="1">INDIRECT("'数据-取费表'!w"&amp;$G$1)</f>
        <v>0</v>
      </c>
      <c r="G9" s="1568"/>
      <c r="H9" s="310"/>
      <c r="I9" s="3565"/>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2855</v>
      </c>
      <c r="E10" s="319" t="s">
        <v>1374</v>
      </c>
      <c r="F10" s="1276"/>
      <c r="G10" s="1568"/>
      <c r="H10" s="1201" t="s">
        <v>1007</v>
      </c>
      <c r="I10" s="1549" t="s">
        <v>1373</v>
      </c>
      <c r="J10" s="307">
        <f ca="1">ROUND(IF(M10="押一",J6/12*M11,IF(M10="押二",J6/12*2*M11,IF(M10="押三",J6/12*3*M11,J11*M11))),0)</f>
        <v>0</v>
      </c>
      <c r="K10" s="1561" t="s">
        <v>2857</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0</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3052</v>
      </c>
      <c r="I31" s="1582"/>
      <c r="J31" s="1583"/>
      <c r="K31" s="2690"/>
      <c r="L31" s="2915"/>
      <c r="M31" s="291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3211</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ROUND(C29*F36,0)</f>
        <v>0</v>
      </c>
      <c r="D36" s="1528" t="s">
        <v>1446</v>
      </c>
      <c r="E36" s="308" t="s">
        <v>1386</v>
      </c>
      <c r="F36" s="334">
        <f ca="1">INDIRECT("'数据-取费表'!Ak"&amp;$G$1)</f>
        <v>0</v>
      </c>
      <c r="G36" s="1568"/>
      <c r="H36" s="2917"/>
      <c r="I36" s="1582"/>
      <c r="J36" s="1583"/>
      <c r="K36" s="2758"/>
      <c r="L36" s="2917"/>
      <c r="M36" s="2917"/>
    </row>
    <row r="37" spans="1:18" ht="18" customHeight="1">
      <c r="A37" s="1113" t="s">
        <v>1043</v>
      </c>
      <c r="B37" s="308" t="s">
        <v>1417</v>
      </c>
      <c r="C37" s="24">
        <f ca="1">ROUND(C13*F37,0)</f>
        <v>0</v>
      </c>
      <c r="D37" s="1528" t="s">
        <v>1418</v>
      </c>
      <c r="E37" s="308" t="s">
        <v>1419</v>
      </c>
      <c r="F37" s="336">
        <f ca="1">INDIRECT("'数据-取费表'!Al"&amp;$G$1)</f>
        <v>0</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v>
      </c>
      <c r="G38" s="1568"/>
      <c r="H38" s="2917"/>
      <c r="I38" s="1582"/>
      <c r="J38" s="1583"/>
      <c r="K38" s="2921"/>
      <c r="L38" s="2917"/>
      <c r="M38" s="2917"/>
    </row>
    <row r="39" spans="1:18" ht="24.6" customHeight="1" thickTop="1">
      <c r="A39" s="1239" t="s">
        <v>999</v>
      </c>
      <c r="B39" s="1254" t="s">
        <v>1447</v>
      </c>
      <c r="C39" s="316">
        <f ca="1">C5-C30</f>
        <v>0</v>
      </c>
      <c r="D39" s="1255" t="s">
        <v>1448</v>
      </c>
      <c r="E39" s="1256"/>
      <c r="F39" s="1257"/>
      <c r="G39" s="1568"/>
      <c r="H39" s="2917"/>
      <c r="I39" s="1582"/>
      <c r="J39" s="1583"/>
      <c r="K39" s="2921"/>
      <c r="L39" s="2917"/>
      <c r="M39" s="291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1441</v>
      </c>
      <c r="F42" s="318">
        <f ca="1">INDIRECT("'数据-取费表'!v"&amp;$G$1)</f>
        <v>0</v>
      </c>
      <c r="G42" s="1568"/>
      <c r="H42" s="1353"/>
      <c r="I42" s="1582"/>
      <c r="J42" s="1583"/>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2858</v>
      </c>
      <c r="E53" s="319" t="s">
        <v>1374</v>
      </c>
      <c r="F53" s="1276"/>
      <c r="I53" s="1623" t="s">
        <v>1511</v>
      </c>
      <c r="J53" s="2385">
        <f ca="1">IF(M47="住宅",IF(D1="——",MAX(J51,L48),MAX(J51,L48-'数据-取费表'!B24)),IF(D1="——",MIN(J51,L48),MIN(J51,L48-'数据-取费表'!B24)))</f>
        <v>0</v>
      </c>
      <c r="K53" s="3566" t="s">
        <v>1512</v>
      </c>
      <c r="L53" s="3567"/>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0</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4"/>
      <c r="G1" s="1674"/>
      <c r="H1" s="1674"/>
      <c r="I1" s="1674"/>
      <c r="J1" s="1674"/>
      <c r="K1" s="1674"/>
      <c r="L1" s="1674"/>
      <c r="M1" s="1674"/>
      <c r="N1" s="1674"/>
      <c r="O1" s="1674"/>
      <c r="P1" s="1674"/>
      <c r="Q1" s="1674"/>
      <c r="R1" s="1674"/>
      <c r="S1" s="1674"/>
    </row>
    <row r="2" spans="1:22" ht="15.75">
      <c r="A2" s="2055" t="s">
        <v>2147</v>
      </c>
      <c r="B2" s="2056">
        <f ca="1">SUMIF(B6:B13,"&lt;&gt;#ref!",B6:B13)</f>
        <v>-18</v>
      </c>
      <c r="C2" s="2057" t="s">
        <v>2339</v>
      </c>
      <c r="D2" s="2058" t="s">
        <v>2340</v>
      </c>
      <c r="E2" s="2821">
        <f>SUM(E6:E13)</f>
        <v>146.99</v>
      </c>
      <c r="F2" s="2924"/>
      <c r="G2" s="1674"/>
      <c r="H2" s="1674"/>
      <c r="I2" s="1674"/>
      <c r="J2" s="1674"/>
      <c r="K2" s="1674"/>
      <c r="L2" s="1674"/>
      <c r="M2" s="1674"/>
      <c r="N2" s="1674"/>
      <c r="O2" s="1674"/>
      <c r="P2" s="1674"/>
      <c r="Q2" s="1674"/>
      <c r="R2" s="1674"/>
      <c r="S2" s="1674"/>
    </row>
    <row r="3" spans="1:22" ht="15.75">
      <c r="A3" s="2055" t="s">
        <v>1359</v>
      </c>
      <c r="B3" s="2815">
        <f ca="1">ROUND(B2*10000/E2,0)</f>
        <v>-1225</v>
      </c>
      <c r="C3" s="2057"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2341</v>
      </c>
      <c r="B5" s="3568" t="s">
        <v>2342</v>
      </c>
      <c r="C5" s="3569"/>
      <c r="D5" s="2925"/>
      <c r="E5" s="2059" t="s">
        <v>2343</v>
      </c>
      <c r="F5" s="2060" t="s">
        <v>2344</v>
      </c>
      <c r="G5" s="1674"/>
      <c r="H5" s="1674"/>
      <c r="I5" s="1674"/>
      <c r="J5" s="1674"/>
      <c r="K5" s="1674"/>
      <c r="L5" s="1674"/>
      <c r="M5" s="1674"/>
      <c r="N5" s="1674"/>
      <c r="O5" s="1674"/>
      <c r="P5" s="1674"/>
      <c r="Q5" s="1674"/>
      <c r="R5" s="1674"/>
      <c r="S5" s="1674"/>
    </row>
    <row r="6" spans="1:22">
      <c r="A6" s="2818" t="str">
        <f>'数据-取费表'!AN6</f>
        <v>收益法</v>
      </c>
      <c r="B6" s="2816">
        <f ca="1">IF(F6="是",'数据-取费表'!AO6,0)</f>
        <v>-18</v>
      </c>
      <c r="C6" s="2057" t="s">
        <v>2339</v>
      </c>
      <c r="D6" s="2926"/>
      <c r="E6" s="2820">
        <f>IF(OR(A6=0,F6="否"),0,'数据-取费表'!K6+'数据-取费表'!S6)</f>
        <v>146.99</v>
      </c>
      <c r="F6" s="2061" t="s">
        <v>2345</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7" t="s">
        <v>2339</v>
      </c>
      <c r="D7" s="2926"/>
      <c r="E7" s="2820">
        <f>IF(OR(A7=0,F7="否"),0,'数据-取费表'!K7+'数据-取费表'!S7)</f>
        <v>0</v>
      </c>
      <c r="F7" s="2061" t="s">
        <v>2345</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7" t="s">
        <v>2339</v>
      </c>
      <c r="D8" s="2926"/>
      <c r="E8" s="2820">
        <f>IF(OR(A8=0,F8="否"),0,'数据-取费表'!K8+'数据-取费表'!S8)</f>
        <v>0</v>
      </c>
      <c r="F8" s="2061" t="s">
        <v>2345</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7" t="s">
        <v>2339</v>
      </c>
      <c r="D9" s="2926"/>
      <c r="E9" s="2820">
        <f>IF(OR(A9=0,F9="否"),0,'数据-取费表'!K9+'数据-取费表'!S9)</f>
        <v>0</v>
      </c>
      <c r="F9" s="2061" t="s">
        <v>2345</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7" t="s">
        <v>2339</v>
      </c>
      <c r="D10" s="2926"/>
      <c r="E10" s="2820">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7" t="s">
        <v>2339</v>
      </c>
      <c r="D11" s="2926"/>
      <c r="E11" s="2820">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7" t="s">
        <v>2339</v>
      </c>
      <c r="D12" s="2926"/>
      <c r="E12" s="2820">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2" t="s">
        <v>2339</v>
      </c>
      <c r="D13" s="2927"/>
      <c r="E13" s="2820">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70" t="s">
        <v>1044</v>
      </c>
      <c r="B1" s="3571"/>
      <c r="C1" s="3572"/>
      <c r="D1" s="3573">
        <f>SUM(I10,I15,I20,I21,I23)</f>
        <v>0</v>
      </c>
      <c r="E1" s="3573"/>
      <c r="F1" s="3573"/>
      <c r="G1" s="3573"/>
      <c r="H1" s="3573"/>
      <c r="I1" s="3574"/>
    </row>
    <row r="2" spans="1:9">
      <c r="A2" s="3575" t="s">
        <v>1045</v>
      </c>
      <c r="B2" s="3576" t="s">
        <v>1046</v>
      </c>
      <c r="C2" s="3576"/>
      <c r="D2" s="1211" t="s">
        <v>1047</v>
      </c>
      <c r="E2" s="1211" t="s">
        <v>1048</v>
      </c>
      <c r="F2" s="1211" t="s">
        <v>1049</v>
      </c>
      <c r="G2" s="1211" t="s">
        <v>1050</v>
      </c>
      <c r="H2" s="1211" t="s">
        <v>1051</v>
      </c>
      <c r="I2" s="1212" t="s">
        <v>1052</v>
      </c>
    </row>
    <row r="3" spans="1:9">
      <c r="A3" s="3575"/>
      <c r="B3" s="3576" t="s">
        <v>1053</v>
      </c>
      <c r="C3" s="3576"/>
      <c r="D3" s="1213"/>
      <c r="E3" s="1211"/>
      <c r="F3" s="1214"/>
      <c r="G3" s="1214"/>
      <c r="H3" s="1215"/>
      <c r="I3" s="1216">
        <f>ROUND(D3*E3*F3*G3*H3/10000,0)</f>
        <v>0</v>
      </c>
    </row>
    <row r="4" spans="1:9">
      <c r="A4" s="3575"/>
      <c r="B4" s="3576" t="s">
        <v>1054</v>
      </c>
      <c r="C4" s="3576"/>
      <c r="D4" s="1213"/>
      <c r="E4" s="1211"/>
      <c r="F4" s="1214"/>
      <c r="G4" s="1214"/>
      <c r="H4" s="1215"/>
      <c r="I4" s="1216">
        <f t="shared" ref="I4:I9" si="0">ROUND(D4*E4*F4*G4*H4/10000,0)</f>
        <v>0</v>
      </c>
    </row>
    <row r="5" spans="1:9">
      <c r="A5" s="3575"/>
      <c r="B5" s="3576" t="s">
        <v>1055</v>
      </c>
      <c r="C5" s="3576"/>
      <c r="D5" s="1213"/>
      <c r="E5" s="1211"/>
      <c r="F5" s="1214"/>
      <c r="G5" s="1214"/>
      <c r="H5" s="1215"/>
      <c r="I5" s="1216">
        <f t="shared" si="0"/>
        <v>0</v>
      </c>
    </row>
    <row r="6" spans="1:9">
      <c r="A6" s="3575"/>
      <c r="B6" s="3576" t="s">
        <v>1056</v>
      </c>
      <c r="C6" s="3576"/>
      <c r="D6" s="1213"/>
      <c r="E6" s="1211"/>
      <c r="F6" s="1214"/>
      <c r="G6" s="1214"/>
      <c r="H6" s="1215"/>
      <c r="I6" s="1216">
        <f t="shared" si="0"/>
        <v>0</v>
      </c>
    </row>
    <row r="7" spans="1:9">
      <c r="A7" s="3575"/>
      <c r="B7" s="3576" t="s">
        <v>1057</v>
      </c>
      <c r="C7" s="3576"/>
      <c r="D7" s="1213"/>
      <c r="E7" s="1211"/>
      <c r="F7" s="1214"/>
      <c r="G7" s="1214"/>
      <c r="H7" s="1215"/>
      <c r="I7" s="1216">
        <f t="shared" si="0"/>
        <v>0</v>
      </c>
    </row>
    <row r="8" spans="1:9">
      <c r="A8" s="3575"/>
      <c r="B8" s="3576" t="s">
        <v>1058</v>
      </c>
      <c r="C8" s="3576"/>
      <c r="D8" s="1213"/>
      <c r="E8" s="1211"/>
      <c r="F8" s="1214"/>
      <c r="G8" s="1214"/>
      <c r="H8" s="1215"/>
      <c r="I8" s="1216">
        <f t="shared" si="0"/>
        <v>0</v>
      </c>
    </row>
    <row r="9" spans="1:9">
      <c r="A9" s="3575"/>
      <c r="B9" s="3576" t="s">
        <v>1059</v>
      </c>
      <c r="C9" s="3576"/>
      <c r="D9" s="1213"/>
      <c r="E9" s="1211"/>
      <c r="F9" s="1214"/>
      <c r="G9" s="1214"/>
      <c r="H9" s="1215"/>
      <c r="I9" s="1216">
        <f t="shared" si="0"/>
        <v>0</v>
      </c>
    </row>
    <row r="10" spans="1:9">
      <c r="A10" s="3575"/>
      <c r="B10" s="3577" t="s">
        <v>1060</v>
      </c>
      <c r="C10" s="3577"/>
      <c r="D10" s="1217"/>
      <c r="E10" s="1217" t="e">
        <f>ROUND(D1*10000/D10/H9,0)</f>
        <v>#DIV/0!</v>
      </c>
      <c r="F10" s="1218"/>
      <c r="G10" s="1218"/>
      <c r="H10" s="1219"/>
      <c r="I10" s="1220">
        <f>SUM(I3:I9)</f>
        <v>0</v>
      </c>
    </row>
    <row r="11" spans="1:9" ht="14.25">
      <c r="A11" s="3575" t="s">
        <v>1061</v>
      </c>
      <c r="B11" s="3576" t="s">
        <v>1062</v>
      </c>
      <c r="C11" s="3576"/>
      <c r="D11" s="1213" t="s">
        <v>1063</v>
      </c>
      <c r="E11" s="1213" t="s">
        <v>1064</v>
      </c>
      <c r="F11" s="1214" t="s">
        <v>1065</v>
      </c>
      <c r="G11" s="1214" t="s">
        <v>1051</v>
      </c>
      <c r="H11" s="1221" t="s">
        <v>1066</v>
      </c>
      <c r="I11" s="1212" t="s">
        <v>1052</v>
      </c>
    </row>
    <row r="12" spans="1:9">
      <c r="A12" s="3575"/>
      <c r="B12" s="3576" t="s">
        <v>1067</v>
      </c>
      <c r="C12" s="3576"/>
      <c r="D12" s="1213"/>
      <c r="E12" s="1213"/>
      <c r="F12" s="1214"/>
      <c r="G12" s="1215"/>
      <c r="H12" s="1222"/>
      <c r="I12" s="1212">
        <f>ROUND(D12*E12*F12*G12/10000,0)</f>
        <v>0</v>
      </c>
    </row>
    <row r="13" spans="1:9">
      <c r="A13" s="3575"/>
      <c r="B13" s="3576" t="s">
        <v>1068</v>
      </c>
      <c r="C13" s="3576"/>
      <c r="D13" s="1213"/>
      <c r="E13" s="1213"/>
      <c r="F13" s="1214"/>
      <c r="G13" s="1215"/>
      <c r="H13" s="1222"/>
      <c r="I13" s="1212">
        <f>ROUND(D13*E13*F13*G13/10000,0)</f>
        <v>0</v>
      </c>
    </row>
    <row r="14" spans="1:9">
      <c r="A14" s="3575"/>
      <c r="B14" s="3576" t="s">
        <v>1069</v>
      </c>
      <c r="C14" s="3576"/>
      <c r="D14" s="1213"/>
      <c r="E14" s="1213"/>
      <c r="F14" s="1214"/>
      <c r="G14" s="1215"/>
      <c r="H14" s="1222"/>
      <c r="I14" s="1212">
        <f>ROUND(D14*E14*F14*G14/10000,0)</f>
        <v>0</v>
      </c>
    </row>
    <row r="15" spans="1:9">
      <c r="A15" s="3575"/>
      <c r="B15" s="3577" t="s">
        <v>1060</v>
      </c>
      <c r="C15" s="3577"/>
      <c r="D15" s="1217"/>
      <c r="E15" s="1217">
        <f>SUM(E12:E14)</f>
        <v>0</v>
      </c>
      <c r="F15" s="1218"/>
      <c r="G15" s="1215"/>
      <c r="H15" s="1222"/>
      <c r="I15" s="1223">
        <f>SUM(I12:I14)</f>
        <v>0</v>
      </c>
    </row>
    <row r="16" spans="1:9" ht="24">
      <c r="A16" s="3575" t="s">
        <v>1070</v>
      </c>
      <c r="B16" s="3576" t="s">
        <v>1071</v>
      </c>
      <c r="C16" s="3576"/>
      <c r="D16" s="1213" t="s">
        <v>1047</v>
      </c>
      <c r="E16" s="1224" t="s">
        <v>1072</v>
      </c>
      <c r="F16" s="1214" t="s">
        <v>1073</v>
      </c>
      <c r="G16" s="1215" t="s">
        <v>1051</v>
      </c>
      <c r="H16" s="1221" t="s">
        <v>1066</v>
      </c>
      <c r="I16" s="1212" t="s">
        <v>1052</v>
      </c>
    </row>
    <row r="17" spans="1:9" ht="14.25">
      <c r="A17" s="3575"/>
      <c r="B17" s="3576" t="s">
        <v>1074</v>
      </c>
      <c r="C17" s="3576"/>
      <c r="D17" s="1213"/>
      <c r="E17" s="1213"/>
      <c r="F17" s="1214"/>
      <c r="G17" s="1215"/>
      <c r="H17" s="1225"/>
      <c r="I17" s="1226">
        <f>ROUND(D17*E17*F17*G17/10000,0)</f>
        <v>0</v>
      </c>
    </row>
    <row r="18" spans="1:9" ht="14.25">
      <c r="A18" s="3575"/>
      <c r="B18" s="3576" t="s">
        <v>1075</v>
      </c>
      <c r="C18" s="3576"/>
      <c r="D18" s="1213"/>
      <c r="E18" s="1213"/>
      <c r="F18" s="1214"/>
      <c r="G18" s="1215"/>
      <c r="H18" s="1225"/>
      <c r="I18" s="1226">
        <f>ROUND(D18*E18*F18*G18/10000,0)</f>
        <v>0</v>
      </c>
    </row>
    <row r="19" spans="1:9" ht="14.25">
      <c r="A19" s="3575"/>
      <c r="B19" s="3576" t="s">
        <v>1076</v>
      </c>
      <c r="C19" s="3576"/>
      <c r="D19" s="1213"/>
      <c r="E19" s="1213"/>
      <c r="F19" s="1214"/>
      <c r="G19" s="1215"/>
      <c r="H19" s="1225"/>
      <c r="I19" s="1226">
        <f>ROUND(D19*E19*F19*G19/10000,0)</f>
        <v>0</v>
      </c>
    </row>
    <row r="20" spans="1:9">
      <c r="A20" s="3575"/>
      <c r="B20" s="3577" t="s">
        <v>1060</v>
      </c>
      <c r="C20" s="3577"/>
      <c r="D20" s="1217">
        <f>SUM(D17:D19)</f>
        <v>0</v>
      </c>
      <c r="E20" s="1217"/>
      <c r="F20" s="1218"/>
      <c r="G20" s="1215"/>
      <c r="H20" s="1222"/>
      <c r="I20" s="1223">
        <f>SUM(I17:I19)</f>
        <v>0</v>
      </c>
    </row>
    <row r="21" spans="1:9">
      <c r="A21" s="3575" t="s">
        <v>1077</v>
      </c>
      <c r="B21" s="3579"/>
      <c r="C21" s="3579"/>
      <c r="D21" s="3579"/>
      <c r="E21" s="3579"/>
      <c r="F21" s="3579"/>
      <c r="G21" s="3579"/>
      <c r="H21" s="1502">
        <v>0.1</v>
      </c>
      <c r="I21" s="1220">
        <f>ROUND(I10*H21,0)</f>
        <v>0</v>
      </c>
    </row>
    <row r="22" spans="1:9" ht="14.25">
      <c r="A22" s="3580" t="s">
        <v>1078</v>
      </c>
      <c r="B22" s="3581"/>
      <c r="C22" s="3582"/>
      <c r="D22" s="1227" t="s">
        <v>1079</v>
      </c>
      <c r="E22" s="1227" t="s">
        <v>1080</v>
      </c>
      <c r="F22" s="1228" t="s">
        <v>1081</v>
      </c>
      <c r="G22" s="1228" t="s">
        <v>1082</v>
      </c>
      <c r="H22" s="1221" t="s">
        <v>1083</v>
      </c>
      <c r="I22" s="1212" t="s">
        <v>1084</v>
      </c>
    </row>
    <row r="23" spans="1:9" ht="14.25" thickBot="1">
      <c r="A23" s="3583"/>
      <c r="B23" s="3584"/>
      <c r="C23" s="3585"/>
      <c r="D23" s="1229"/>
      <c r="E23" s="1229"/>
      <c r="F23" s="1229"/>
      <c r="G23" s="1230"/>
      <c r="H23" s="1231"/>
      <c r="I23" s="1232">
        <f>ROUND(E23*D23*F23*(1-G23)/10000,0)</f>
        <v>0</v>
      </c>
    </row>
    <row r="26" spans="1:9">
      <c r="A26" s="1233" t="s">
        <v>1085</v>
      </c>
      <c r="B26" s="1233"/>
      <c r="C26" s="1233"/>
      <c r="D26" s="1233"/>
      <c r="E26" s="3586">
        <f>C27-C30-C31-C32</f>
        <v>0</v>
      </c>
      <c r="F26" s="3586"/>
      <c r="G26" s="3586"/>
      <c r="H26" s="1499" t="s">
        <v>1306</v>
      </c>
    </row>
    <row r="27" spans="1:9">
      <c r="A27" s="1234">
        <v>1</v>
      </c>
      <c r="B27" s="1235" t="s">
        <v>1086</v>
      </c>
      <c r="C27" s="1235">
        <f>C28+C29</f>
        <v>0</v>
      </c>
      <c r="D27" s="1235"/>
      <c r="E27" s="3587"/>
      <c r="F27" s="3587"/>
      <c r="G27" s="3587"/>
    </row>
    <row r="28" spans="1:9">
      <c r="A28" s="1236" t="s">
        <v>1087</v>
      </c>
      <c r="B28" s="1235" t="s">
        <v>1088</v>
      </c>
      <c r="C28" s="1235"/>
      <c r="D28" s="1235"/>
      <c r="E28" s="3587"/>
      <c r="F28" s="3587"/>
      <c r="G28" s="358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78"/>
      <c r="F32" s="3578"/>
      <c r="G32" s="3578"/>
    </row>
    <row r="33" spans="1:7" hidden="1">
      <c r="A33" s="3588" t="s">
        <v>1097</v>
      </c>
      <c r="B33" s="3589"/>
      <c r="C33" s="3589"/>
      <c r="D33" s="3590"/>
      <c r="E33" s="3586"/>
      <c r="F33" s="3586"/>
      <c r="G33" s="3586"/>
    </row>
    <row r="34" spans="1:7" hidden="1">
      <c r="A34" s="1238">
        <v>1</v>
      </c>
      <c r="B34" s="1235" t="s">
        <v>1098</v>
      </c>
      <c r="C34" s="1235"/>
      <c r="D34" s="1235"/>
      <c r="E34" s="3587"/>
      <c r="F34" s="3587"/>
      <c r="G34" s="3587"/>
    </row>
    <row r="35" spans="1:7" hidden="1">
      <c r="A35" s="1238">
        <v>2</v>
      </c>
      <c r="B35" s="1235" t="s">
        <v>1099</v>
      </c>
      <c r="C35" s="1235"/>
      <c r="D35" s="1235"/>
      <c r="E35" s="3587"/>
      <c r="F35" s="3587"/>
      <c r="G35" s="3587"/>
    </row>
    <row r="36" spans="1:7" hidden="1">
      <c r="A36" s="1238">
        <v>3</v>
      </c>
      <c r="B36" s="1235" t="s">
        <v>1100</v>
      </c>
      <c r="C36" s="1235"/>
      <c r="D36" s="1235"/>
      <c r="E36" s="3587"/>
      <c r="F36" s="3587"/>
      <c r="G36" s="3587"/>
    </row>
    <row r="37" spans="1:7" hidden="1">
      <c r="A37" s="1238">
        <v>4</v>
      </c>
      <c r="B37" s="1235" t="s">
        <v>1101</v>
      </c>
      <c r="C37" s="1235"/>
      <c r="D37" s="1235"/>
      <c r="E37" s="3587"/>
      <c r="F37" s="3587"/>
      <c r="G37" s="3587"/>
    </row>
    <row r="38" spans="1:7" hidden="1">
      <c r="A38" s="3588" t="s">
        <v>1102</v>
      </c>
      <c r="B38" s="3589"/>
      <c r="C38" s="3589"/>
      <c r="D38" s="3590"/>
      <c r="E38" s="3586"/>
      <c r="F38" s="3586"/>
      <c r="G38" s="35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估价对象为北京市房地产，为所有。根据《国有土地使用证》[]，估价对象（分摊）出让国有建设用地使用权面积为0平方米，建筑面积为373.76平方米。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估价对象为北京市房地产,属开发建设的，该项目尚在开发建设中。根据《国有土地使用证》[]，估价对象（分摊）出让国有建设用地使用权面积为0平方米，规划建筑面积为373.76平方米。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2022年8月2日（评估专业人员实地查勘之日）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4"/>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0"/>
      <c r="M2" s="2931"/>
      <c r="N2" s="2931"/>
      <c r="O2" s="2931"/>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373.76</v>
      </c>
      <c r="E3" s="1038"/>
      <c r="F3" s="2073"/>
      <c r="G3" s="1038"/>
      <c r="H3" s="1038"/>
      <c r="I3" s="1038"/>
      <c r="J3" s="1038"/>
      <c r="K3" s="2069"/>
      <c r="L3" s="2930"/>
      <c r="M3" s="2931"/>
      <c r="N3" s="2931"/>
      <c r="O3" s="2931"/>
      <c r="P3" s="2070"/>
      <c r="Q3" s="2071"/>
      <c r="R3" s="2071"/>
      <c r="S3" s="2071"/>
      <c r="T3" s="2071"/>
      <c r="U3" s="2071"/>
      <c r="V3" s="2071"/>
      <c r="W3" s="2071"/>
      <c r="X3" s="2071"/>
      <c r="Y3" s="2071"/>
      <c r="Z3" s="2071"/>
      <c r="AA3" s="2071"/>
      <c r="AB3" s="2071"/>
      <c r="AC3" s="1192"/>
    </row>
    <row r="4" spans="1:29" ht="15">
      <c r="A4" s="361" t="s">
        <v>2355</v>
      </c>
      <c r="B4" s="362"/>
      <c r="C4" s="3520" t="s">
        <v>2356</v>
      </c>
      <c r="D4" s="3521"/>
      <c r="E4" s="3522" t="s">
        <v>2357</v>
      </c>
      <c r="F4" s="3523"/>
      <c r="G4" s="3520" t="s">
        <v>2358</v>
      </c>
      <c r="H4" s="3521"/>
      <c r="I4" s="3520" t="s">
        <v>2359</v>
      </c>
      <c r="J4" s="3521"/>
      <c r="K4" s="2074" t="s">
        <v>2360</v>
      </c>
      <c r="L4" s="2932"/>
      <c r="M4" s="2933"/>
      <c r="N4" s="2933"/>
      <c r="O4" s="2933"/>
      <c r="P4" s="3524" t="s">
        <v>2361</v>
      </c>
      <c r="Q4" s="3525"/>
      <c r="R4" s="3530" t="s">
        <v>2357</v>
      </c>
      <c r="S4" s="3531"/>
      <c r="T4" s="3530" t="s">
        <v>2358</v>
      </c>
      <c r="U4" s="3531"/>
      <c r="V4" s="3544" t="s">
        <v>2359</v>
      </c>
      <c r="W4" s="3544"/>
      <c r="X4" s="1539"/>
      <c r="Y4" s="3530" t="s">
        <v>2361</v>
      </c>
      <c r="Z4" s="3531"/>
      <c r="AA4" s="3517" t="s">
        <v>2357</v>
      </c>
      <c r="AB4" s="3517" t="s">
        <v>2358</v>
      </c>
      <c r="AC4" s="3517" t="s">
        <v>2359</v>
      </c>
    </row>
    <row r="5" spans="1:29" ht="15">
      <c r="A5" s="364"/>
      <c r="B5" s="365"/>
      <c r="C5" s="3592" t="s">
        <v>2362</v>
      </c>
      <c r="D5" s="3535"/>
      <c r="E5" s="3591" t="s">
        <v>2363</v>
      </c>
      <c r="F5" s="3537"/>
      <c r="G5" s="3592" t="s">
        <v>2364</v>
      </c>
      <c r="H5" s="3535"/>
      <c r="I5" s="3592" t="s">
        <v>2365</v>
      </c>
      <c r="J5" s="3535"/>
      <c r="K5" s="2075"/>
      <c r="L5" s="2932"/>
      <c r="M5" s="2933"/>
      <c r="N5" s="2933"/>
      <c r="O5" s="2933"/>
      <c r="P5" s="3526"/>
      <c r="Q5" s="3527"/>
      <c r="R5" s="3532"/>
      <c r="S5" s="3533"/>
      <c r="T5" s="3532"/>
      <c r="U5" s="3533"/>
      <c r="V5" s="3544"/>
      <c r="W5" s="3544"/>
      <c r="X5" s="1539"/>
      <c r="Y5" s="3532"/>
      <c r="Z5" s="3533"/>
      <c r="AA5" s="3518"/>
      <c r="AB5" s="3518"/>
      <c r="AC5" s="3518"/>
    </row>
    <row r="6" spans="1:29" ht="15.75" thickBot="1">
      <c r="A6" s="366"/>
      <c r="B6" s="367"/>
      <c r="C6" s="3538" t="s">
        <v>2366</v>
      </c>
      <c r="D6" s="3539"/>
      <c r="E6" s="3540" t="s">
        <v>2366</v>
      </c>
      <c r="F6" s="3541"/>
      <c r="G6" s="3538" t="s">
        <v>2366</v>
      </c>
      <c r="H6" s="3539"/>
      <c r="I6" s="3538" t="s">
        <v>2366</v>
      </c>
      <c r="J6" s="3539"/>
      <c r="K6" s="2075" t="s">
        <v>2367</v>
      </c>
      <c r="L6" s="2932"/>
      <c r="M6" s="2933"/>
      <c r="N6" s="2933"/>
      <c r="O6" s="2933"/>
      <c r="P6" s="3528"/>
      <c r="Q6" s="3529"/>
      <c r="R6" s="3532"/>
      <c r="S6" s="3533"/>
      <c r="T6" s="3542"/>
      <c r="U6" s="3543"/>
      <c r="V6" s="3544"/>
      <c r="W6" s="3544"/>
      <c r="X6" s="1539"/>
      <c r="Y6" s="3542"/>
      <c r="Z6" s="3543"/>
      <c r="AA6" s="3519"/>
      <c r="AB6" s="3519"/>
      <c r="AC6" s="3519"/>
    </row>
    <row r="7" spans="1:29" s="113" customFormat="1" ht="15.75" thickBot="1">
      <c r="A7" s="368" t="s">
        <v>2368</v>
      </c>
      <c r="B7" s="369"/>
      <c r="C7" s="370">
        <f>'数据-取费表'!B2</f>
        <v>44775</v>
      </c>
      <c r="D7" s="371">
        <v>100</v>
      </c>
      <c r="E7" s="372"/>
      <c r="F7" s="373">
        <f>SUMIF(58:58,YEAR(E7)&amp;"-"&amp;MONTH(E7),59:59)</f>
        <v>0</v>
      </c>
      <c r="G7" s="372"/>
      <c r="H7" s="371">
        <f>SUMIF(58:58,YEAR(G7)&amp;"-"&amp;MONTH(G7),59:59)</f>
        <v>0</v>
      </c>
      <c r="I7" s="372"/>
      <c r="J7" s="371">
        <f>SUMIF(58:58,YEAR(I7)&amp;"-"&amp;MONTH(I7),59:59)</f>
        <v>0</v>
      </c>
      <c r="K7" s="2076"/>
      <c r="L7" s="2934"/>
      <c r="M7" s="2935"/>
      <c r="N7" s="2935"/>
      <c r="O7" s="2935"/>
      <c r="P7" s="3545" t="s">
        <v>2369</v>
      </c>
      <c r="Q7" s="3546"/>
      <c r="R7" s="710" t="s">
        <v>23</v>
      </c>
      <c r="S7" s="711">
        <f t="shared" ref="S7:S15" si="0">F7</f>
        <v>0</v>
      </c>
      <c r="T7" s="710" t="s">
        <v>23</v>
      </c>
      <c r="U7" s="711">
        <f t="shared" ref="U7:U15" si="1">H7</f>
        <v>0</v>
      </c>
      <c r="V7" s="710" t="s">
        <v>23</v>
      </c>
      <c r="W7" s="711">
        <f t="shared" ref="W7:W15" si="2">J7</f>
        <v>0</v>
      </c>
      <c r="X7" s="712"/>
      <c r="Y7" s="3545" t="s">
        <v>2369</v>
      </c>
      <c r="Z7" s="3547"/>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4"/>
      <c r="M8" s="2935"/>
      <c r="N8" s="2935"/>
      <c r="O8" s="2935"/>
      <c r="P8" s="3545" t="s">
        <v>2372</v>
      </c>
      <c r="Q8" s="3547"/>
      <c r="R8" s="710" t="s">
        <v>23</v>
      </c>
      <c r="S8" s="711">
        <f t="shared" si="0"/>
        <v>0</v>
      </c>
      <c r="T8" s="710" t="s">
        <v>23</v>
      </c>
      <c r="U8" s="711">
        <f t="shared" si="1"/>
        <v>0</v>
      </c>
      <c r="V8" s="710" t="s">
        <v>23</v>
      </c>
      <c r="W8" s="711">
        <f t="shared" si="2"/>
        <v>0</v>
      </c>
      <c r="X8" s="712"/>
      <c r="Y8" s="3545" t="s">
        <v>2372</v>
      </c>
      <c r="Z8" s="354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4"/>
      <c r="M9" s="2935"/>
      <c r="N9" s="2935"/>
      <c r="O9" s="2935"/>
      <c r="P9" s="3548" t="s">
        <v>2375</v>
      </c>
      <c r="Q9" s="1527" t="str">
        <f t="shared" ref="Q9:Q15" si="6">B9</f>
        <v>用途</v>
      </c>
      <c r="R9" s="710" t="s">
        <v>17</v>
      </c>
      <c r="S9" s="711">
        <f t="shared" si="0"/>
        <v>100</v>
      </c>
      <c r="T9" s="710" t="s">
        <v>17</v>
      </c>
      <c r="U9" s="711">
        <f t="shared" si="1"/>
        <v>100</v>
      </c>
      <c r="V9" s="710" t="s">
        <v>17</v>
      </c>
      <c r="W9" s="711">
        <f t="shared" si="2"/>
        <v>100</v>
      </c>
      <c r="X9" s="712"/>
      <c r="Y9" s="342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548"/>
      <c r="Q10" s="1527" t="str">
        <f t="shared" si="6"/>
        <v>土地使用年限（年）</v>
      </c>
      <c r="R10" s="710" t="s">
        <v>17</v>
      </c>
      <c r="S10" s="711">
        <f t="shared" si="0"/>
        <v>100</v>
      </c>
      <c r="T10" s="710" t="s">
        <v>17</v>
      </c>
      <c r="U10" s="711">
        <f t="shared" si="1"/>
        <v>100</v>
      </c>
      <c r="V10" s="710" t="s">
        <v>17</v>
      </c>
      <c r="W10" s="711">
        <f t="shared" si="2"/>
        <v>100</v>
      </c>
      <c r="X10" s="712"/>
      <c r="Y10" s="3427"/>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548"/>
      <c r="Q11" s="1527" t="str">
        <f t="shared" si="6"/>
        <v>容积率</v>
      </c>
      <c r="R11" s="710" t="s">
        <v>21</v>
      </c>
      <c r="S11" s="711" t="e">
        <f t="shared" si="0"/>
        <v>#N/A</v>
      </c>
      <c r="T11" s="710" t="s">
        <v>21</v>
      </c>
      <c r="U11" s="711" t="e">
        <f t="shared" si="1"/>
        <v>#N/A</v>
      </c>
      <c r="V11" s="710" t="s">
        <v>21</v>
      </c>
      <c r="W11" s="711" t="e">
        <f t="shared" si="2"/>
        <v>#N/A</v>
      </c>
      <c r="X11" s="712"/>
      <c r="Y11" s="3427"/>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4"/>
      <c r="M12" s="2935"/>
      <c r="N12" s="2935"/>
      <c r="O12" s="2935"/>
      <c r="P12" s="3548"/>
      <c r="Q12" s="1527">
        <f t="shared" si="6"/>
        <v>111</v>
      </c>
      <c r="R12" s="710" t="s">
        <v>21</v>
      </c>
      <c r="S12" s="711">
        <f t="shared" si="0"/>
        <v>100</v>
      </c>
      <c r="T12" s="710" t="s">
        <v>21</v>
      </c>
      <c r="U12" s="711">
        <f t="shared" si="1"/>
        <v>100</v>
      </c>
      <c r="V12" s="710" t="s">
        <v>21</v>
      </c>
      <c r="W12" s="711">
        <f t="shared" si="2"/>
        <v>100</v>
      </c>
      <c r="X12" s="712"/>
      <c r="Y12" s="342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9"/>
      <c r="M13" s="2933"/>
      <c r="N13" s="2933"/>
      <c r="O13" s="2933"/>
      <c r="P13" s="3548"/>
      <c r="Q13" s="1527">
        <f t="shared" si="6"/>
        <v>111</v>
      </c>
      <c r="R13" s="710" t="s">
        <v>21</v>
      </c>
      <c r="S13" s="711">
        <f t="shared" si="0"/>
        <v>100</v>
      </c>
      <c r="T13" s="710" t="s">
        <v>21</v>
      </c>
      <c r="U13" s="711">
        <f t="shared" si="1"/>
        <v>100</v>
      </c>
      <c r="V13" s="710" t="s">
        <v>21</v>
      </c>
      <c r="W13" s="711">
        <f t="shared" si="2"/>
        <v>100</v>
      </c>
      <c r="X13" s="712"/>
      <c r="Y13" s="3427"/>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9"/>
      <c r="M14" s="2933"/>
      <c r="N14" s="2933"/>
      <c r="O14" s="2933"/>
      <c r="P14" s="3548"/>
      <c r="Q14" s="1527">
        <f t="shared" si="6"/>
        <v>111</v>
      </c>
      <c r="R14" s="710" t="s">
        <v>21</v>
      </c>
      <c r="S14" s="711">
        <f t="shared" si="0"/>
        <v>100</v>
      </c>
      <c r="T14" s="710" t="s">
        <v>21</v>
      </c>
      <c r="U14" s="711">
        <f t="shared" si="1"/>
        <v>100</v>
      </c>
      <c r="V14" s="710" t="s">
        <v>21</v>
      </c>
      <c r="W14" s="711">
        <f t="shared" si="2"/>
        <v>100</v>
      </c>
      <c r="X14" s="712"/>
      <c r="Y14" s="3427"/>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549" t="s">
        <v>2380</v>
      </c>
      <c r="Q15" s="1536" t="str">
        <f t="shared" si="6"/>
        <v>居住社区成熟度</v>
      </c>
      <c r="R15" s="714" t="s">
        <v>21</v>
      </c>
      <c r="S15" s="715">
        <f t="shared" si="0"/>
        <v>100</v>
      </c>
      <c r="T15" s="714" t="s">
        <v>21</v>
      </c>
      <c r="U15" s="715">
        <f t="shared" si="1"/>
        <v>100</v>
      </c>
      <c r="V15" s="714" t="s">
        <v>21</v>
      </c>
      <c r="W15" s="715">
        <f t="shared" si="2"/>
        <v>100</v>
      </c>
      <c r="X15" s="1539"/>
      <c r="Y15" s="3551"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9"/>
      <c r="M16" s="2933"/>
      <c r="N16" s="2933"/>
      <c r="O16" s="2933"/>
      <c r="P16" s="3550"/>
      <c r="Q16" s="1536"/>
      <c r="R16" s="714"/>
      <c r="S16" s="715"/>
      <c r="T16" s="714"/>
      <c r="U16" s="715"/>
      <c r="V16" s="714"/>
      <c r="W16" s="715"/>
      <c r="X16" s="1539"/>
      <c r="Y16" s="3552"/>
      <c r="Z16" s="1540"/>
      <c r="AA16" s="1537">
        <v>1</v>
      </c>
      <c r="AB16" s="1537">
        <v>1</v>
      </c>
      <c r="AC16" s="1537">
        <v>1</v>
      </c>
    </row>
    <row r="17" spans="1:29" ht="128.25">
      <c r="A17" s="387"/>
      <c r="B17" s="410" t="s">
        <v>1944</v>
      </c>
      <c r="C17" s="2085"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550"/>
      <c r="Q17" s="1536" t="str">
        <f>B17</f>
        <v>交通便捷度</v>
      </c>
      <c r="R17" s="714" t="s">
        <v>21</v>
      </c>
      <c r="S17" s="715">
        <f>F17</f>
        <v>100</v>
      </c>
      <c r="T17" s="714" t="s">
        <v>21</v>
      </c>
      <c r="U17" s="715">
        <f>H17</f>
        <v>100</v>
      </c>
      <c r="V17" s="714" t="s">
        <v>21</v>
      </c>
      <c r="W17" s="715">
        <f>J17</f>
        <v>100</v>
      </c>
      <c r="X17" s="1539"/>
      <c r="Y17" s="3552"/>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9"/>
      <c r="M18" s="2933"/>
      <c r="N18" s="2933"/>
      <c r="O18" s="2933"/>
      <c r="P18" s="3550"/>
      <c r="Q18" s="1536"/>
      <c r="R18" s="714"/>
      <c r="S18" s="715"/>
      <c r="T18" s="714"/>
      <c r="U18" s="715"/>
      <c r="V18" s="714"/>
      <c r="W18" s="715"/>
      <c r="X18" s="1539"/>
      <c r="Y18" s="3552"/>
      <c r="Z18" s="1540"/>
      <c r="AA18" s="1537">
        <v>1</v>
      </c>
      <c r="AB18" s="1537">
        <v>1</v>
      </c>
      <c r="AC18" s="1537">
        <v>1</v>
      </c>
    </row>
    <row r="19" spans="1:29" ht="327.75">
      <c r="A19" s="387"/>
      <c r="B19" s="410" t="s">
        <v>1943</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550"/>
      <c r="Q19" s="1536" t="str">
        <f>B19</f>
        <v>公共配套设施</v>
      </c>
      <c r="R19" s="714" t="s">
        <v>21</v>
      </c>
      <c r="S19" s="715">
        <f>F19</f>
        <v>100</v>
      </c>
      <c r="T19" s="714" t="s">
        <v>21</v>
      </c>
      <c r="U19" s="715">
        <f>H19</f>
        <v>100</v>
      </c>
      <c r="V19" s="714" t="s">
        <v>21</v>
      </c>
      <c r="W19" s="715">
        <f>J19</f>
        <v>100</v>
      </c>
      <c r="X19" s="1539"/>
      <c r="Y19" s="3552"/>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9"/>
      <c r="M20" s="2933"/>
      <c r="N20" s="2933"/>
      <c r="O20" s="2933"/>
      <c r="P20" s="3550"/>
      <c r="Q20" s="1536"/>
      <c r="R20" s="714"/>
      <c r="S20" s="715"/>
      <c r="T20" s="714"/>
      <c r="U20" s="715"/>
      <c r="V20" s="714"/>
      <c r="W20" s="715"/>
      <c r="X20" s="1539"/>
      <c r="Y20" s="3552"/>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550"/>
      <c r="Q21" s="1536" t="str">
        <f>B21</f>
        <v>基础设施水平</v>
      </c>
      <c r="R21" s="714" t="s">
        <v>17</v>
      </c>
      <c r="S21" s="715">
        <f>F21</f>
        <v>100</v>
      </c>
      <c r="T21" s="714" t="s">
        <v>17</v>
      </c>
      <c r="U21" s="715">
        <f>H21</f>
        <v>100</v>
      </c>
      <c r="V21" s="714" t="s">
        <v>17</v>
      </c>
      <c r="W21" s="715">
        <f>J21</f>
        <v>100</v>
      </c>
      <c r="X21" s="1539"/>
      <c r="Y21" s="3552"/>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9"/>
      <c r="M22" s="2933"/>
      <c r="N22" s="2933"/>
      <c r="O22" s="2933"/>
      <c r="P22" s="3550"/>
      <c r="Q22" s="1536"/>
      <c r="R22" s="714"/>
      <c r="S22" s="715"/>
      <c r="T22" s="714"/>
      <c r="U22" s="715"/>
      <c r="V22" s="714"/>
      <c r="W22" s="715"/>
      <c r="X22" s="1539"/>
      <c r="Y22" s="3552"/>
      <c r="Z22" s="1540"/>
      <c r="AA22" s="1537">
        <v>1</v>
      </c>
      <c r="AB22" s="1537">
        <v>1</v>
      </c>
      <c r="AC22" s="1537">
        <v>1</v>
      </c>
    </row>
    <row r="23" spans="1:29" ht="128.25">
      <c r="A23" s="387"/>
      <c r="B23" s="410" t="s">
        <v>1946</v>
      </c>
      <c r="C23" s="2085"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550"/>
      <c r="Q23" s="1536" t="str">
        <f>B23</f>
        <v>自然及人文环境</v>
      </c>
      <c r="R23" s="714" t="s">
        <v>21</v>
      </c>
      <c r="S23" s="715">
        <f>F23</f>
        <v>100</v>
      </c>
      <c r="T23" s="714" t="s">
        <v>21</v>
      </c>
      <c r="U23" s="715">
        <f>H23</f>
        <v>100</v>
      </c>
      <c r="V23" s="714" t="s">
        <v>21</v>
      </c>
      <c r="W23" s="715">
        <f>J23</f>
        <v>100</v>
      </c>
      <c r="X23" s="1539"/>
      <c r="Y23" s="3552"/>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9"/>
      <c r="M24" s="2933"/>
      <c r="N24" s="2933"/>
      <c r="O24" s="2933"/>
      <c r="P24" s="3550"/>
      <c r="Q24" s="1536"/>
      <c r="R24" s="714"/>
      <c r="S24" s="715"/>
      <c r="T24" s="714"/>
      <c r="U24" s="715"/>
      <c r="V24" s="714"/>
      <c r="W24" s="715"/>
      <c r="X24" s="1539"/>
      <c r="Y24" s="3552"/>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9"/>
      <c r="M25" s="2933"/>
      <c r="N25" s="2933"/>
      <c r="O25" s="2933"/>
      <c r="P25" s="355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52"/>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9"/>
      <c r="M26" s="2933"/>
      <c r="N26" s="2933"/>
      <c r="O26" s="2933"/>
      <c r="P26" s="3550"/>
      <c r="Q26" s="1536" t="str">
        <f t="shared" si="11"/>
        <v>朝向</v>
      </c>
      <c r="R26" s="714" t="s">
        <v>21</v>
      </c>
      <c r="S26" s="715">
        <f t="shared" si="12"/>
        <v>100</v>
      </c>
      <c r="T26" s="714" t="s">
        <v>21</v>
      </c>
      <c r="U26" s="715">
        <f t="shared" si="13"/>
        <v>100</v>
      </c>
      <c r="V26" s="714" t="s">
        <v>21</v>
      </c>
      <c r="W26" s="715">
        <f t="shared" si="14"/>
        <v>100</v>
      </c>
      <c r="X26" s="1539"/>
      <c r="Y26" s="355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4"/>
      <c r="M27" s="2935"/>
      <c r="N27" s="2935"/>
      <c r="O27" s="2935"/>
      <c r="P27" s="3550"/>
      <c r="Q27" s="1527">
        <f t="shared" si="11"/>
        <v>111</v>
      </c>
      <c r="R27" s="710" t="s">
        <v>21</v>
      </c>
      <c r="S27" s="711">
        <f t="shared" si="12"/>
        <v>100</v>
      </c>
      <c r="T27" s="710" t="s">
        <v>21</v>
      </c>
      <c r="U27" s="711">
        <f t="shared" si="13"/>
        <v>100</v>
      </c>
      <c r="V27" s="710" t="s">
        <v>21</v>
      </c>
      <c r="W27" s="711">
        <f t="shared" si="14"/>
        <v>100</v>
      </c>
      <c r="X27" s="712"/>
      <c r="Y27" s="355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9"/>
      <c r="M28" s="2933"/>
      <c r="N28" s="2933"/>
      <c r="O28" s="2933"/>
      <c r="P28" s="3550"/>
      <c r="Q28" s="1536">
        <f t="shared" si="11"/>
        <v>111</v>
      </c>
      <c r="R28" s="714" t="s">
        <v>21</v>
      </c>
      <c r="S28" s="715">
        <f t="shared" si="12"/>
        <v>100</v>
      </c>
      <c r="T28" s="714" t="s">
        <v>21</v>
      </c>
      <c r="U28" s="715">
        <f t="shared" si="13"/>
        <v>100</v>
      </c>
      <c r="V28" s="714" t="s">
        <v>21</v>
      </c>
      <c r="W28" s="715">
        <f t="shared" si="14"/>
        <v>100</v>
      </c>
      <c r="X28" s="1539"/>
      <c r="Y28" s="355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9"/>
      <c r="M29" s="2933"/>
      <c r="N29" s="2933"/>
      <c r="O29" s="2933"/>
      <c r="P29" s="3550"/>
      <c r="Q29" s="1536">
        <f t="shared" si="11"/>
        <v>111</v>
      </c>
      <c r="R29" s="714" t="s">
        <v>21</v>
      </c>
      <c r="S29" s="715">
        <f t="shared" si="12"/>
        <v>100</v>
      </c>
      <c r="T29" s="714" t="s">
        <v>21</v>
      </c>
      <c r="U29" s="715">
        <f t="shared" si="13"/>
        <v>100</v>
      </c>
      <c r="V29" s="714" t="s">
        <v>21</v>
      </c>
      <c r="W29" s="715">
        <f t="shared" si="14"/>
        <v>100</v>
      </c>
      <c r="X29" s="1539"/>
      <c r="Y29" s="355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9"/>
      <c r="M30" s="2933"/>
      <c r="N30" s="2933"/>
      <c r="O30" s="2933"/>
      <c r="P30" s="3550"/>
      <c r="Q30" s="1536">
        <f t="shared" si="11"/>
        <v>111</v>
      </c>
      <c r="R30" s="714" t="s">
        <v>21</v>
      </c>
      <c r="S30" s="715">
        <f t="shared" si="12"/>
        <v>100</v>
      </c>
      <c r="T30" s="714" t="s">
        <v>21</v>
      </c>
      <c r="U30" s="715">
        <f t="shared" si="13"/>
        <v>100</v>
      </c>
      <c r="V30" s="714" t="s">
        <v>21</v>
      </c>
      <c r="W30" s="715">
        <f t="shared" si="14"/>
        <v>100</v>
      </c>
      <c r="X30" s="1539"/>
      <c r="Y30" s="3552"/>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9"/>
      <c r="M31" s="2933"/>
      <c r="N31" s="2933"/>
      <c r="O31" s="2933"/>
      <c r="P31" s="3550"/>
      <c r="Q31" s="1536">
        <f t="shared" si="11"/>
        <v>111</v>
      </c>
      <c r="R31" s="714" t="s">
        <v>21</v>
      </c>
      <c r="S31" s="715">
        <f t="shared" si="12"/>
        <v>100</v>
      </c>
      <c r="T31" s="714" t="s">
        <v>21</v>
      </c>
      <c r="U31" s="715">
        <f t="shared" si="13"/>
        <v>100</v>
      </c>
      <c r="V31" s="714" t="s">
        <v>21</v>
      </c>
      <c r="W31" s="715">
        <f t="shared" si="14"/>
        <v>100</v>
      </c>
      <c r="X31" s="1539"/>
      <c r="Y31" s="3552"/>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9"/>
      <c r="M32" s="2933"/>
      <c r="N32" s="2933"/>
      <c r="O32" s="2933"/>
      <c r="P32" s="3553" t="s">
        <v>2385</v>
      </c>
      <c r="Q32" s="1536" t="str">
        <f t="shared" si="11"/>
        <v>建筑类型</v>
      </c>
      <c r="R32" s="714" t="s">
        <v>21</v>
      </c>
      <c r="S32" s="715">
        <f t="shared" si="12"/>
        <v>100</v>
      </c>
      <c r="T32" s="714" t="s">
        <v>21</v>
      </c>
      <c r="U32" s="715">
        <f t="shared" si="13"/>
        <v>100</v>
      </c>
      <c r="V32" s="714" t="s">
        <v>21</v>
      </c>
      <c r="W32" s="715">
        <f t="shared" si="14"/>
        <v>100</v>
      </c>
      <c r="X32" s="1539"/>
      <c r="Y32" s="3556"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8"/>
      <c r="M33" s="2940"/>
      <c r="N33" s="2940"/>
      <c r="O33" s="2940"/>
      <c r="P33" s="3554"/>
      <c r="Q33" s="716" t="str">
        <f t="shared" si="11"/>
        <v>项目建筑规模</v>
      </c>
      <c r="R33" s="717" t="s">
        <v>21</v>
      </c>
      <c r="S33" s="718" t="e">
        <f t="shared" si="12"/>
        <v>#N/A</v>
      </c>
      <c r="T33" s="717" t="s">
        <v>21</v>
      </c>
      <c r="U33" s="718" t="e">
        <f t="shared" si="13"/>
        <v>#N/A</v>
      </c>
      <c r="V33" s="717" t="s">
        <v>21</v>
      </c>
      <c r="W33" s="718" t="e">
        <f t="shared" si="14"/>
        <v>#N/A</v>
      </c>
      <c r="X33" s="719"/>
      <c r="Y33" s="3556"/>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9"/>
      <c r="M34" s="2933"/>
      <c r="N34" s="2933"/>
      <c r="O34" s="2933"/>
      <c r="P34" s="3554"/>
      <c r="Q34" s="1536" t="str">
        <f t="shared" si="11"/>
        <v>建筑结构</v>
      </c>
      <c r="R34" s="714" t="s">
        <v>21</v>
      </c>
      <c r="S34" s="715">
        <f t="shared" si="12"/>
        <v>100</v>
      </c>
      <c r="T34" s="714" t="s">
        <v>21</v>
      </c>
      <c r="U34" s="715">
        <f t="shared" si="13"/>
        <v>100</v>
      </c>
      <c r="V34" s="714" t="s">
        <v>21</v>
      </c>
      <c r="W34" s="715">
        <f t="shared" si="14"/>
        <v>100</v>
      </c>
      <c r="X34" s="1539"/>
      <c r="Y34" s="3556"/>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9"/>
      <c r="M35" s="2933"/>
      <c r="N35" s="2933"/>
      <c r="O35" s="2933"/>
      <c r="P35" s="3554"/>
      <c r="Q35" s="1536" t="str">
        <f t="shared" si="11"/>
        <v>建筑品质</v>
      </c>
      <c r="R35" s="714" t="s">
        <v>21</v>
      </c>
      <c r="S35" s="715">
        <f t="shared" si="12"/>
        <v>100</v>
      </c>
      <c r="T35" s="714" t="s">
        <v>21</v>
      </c>
      <c r="U35" s="715">
        <f t="shared" si="13"/>
        <v>100</v>
      </c>
      <c r="V35" s="714" t="s">
        <v>21</v>
      </c>
      <c r="W35" s="715">
        <f t="shared" si="14"/>
        <v>100</v>
      </c>
      <c r="X35" s="1539"/>
      <c r="Y35" s="3556"/>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9"/>
      <c r="M36" s="2933"/>
      <c r="N36" s="2933"/>
      <c r="O36" s="2933"/>
      <c r="P36" s="3554"/>
      <c r="Q36" s="1536" t="str">
        <f t="shared" si="11"/>
        <v>公共部分装修</v>
      </c>
      <c r="R36" s="714" t="s">
        <v>21</v>
      </c>
      <c r="S36" s="715">
        <f t="shared" si="12"/>
        <v>100</v>
      </c>
      <c r="T36" s="714" t="s">
        <v>21</v>
      </c>
      <c r="U36" s="715">
        <f t="shared" si="13"/>
        <v>100</v>
      </c>
      <c r="V36" s="714" t="s">
        <v>21</v>
      </c>
      <c r="W36" s="715">
        <f t="shared" si="14"/>
        <v>100</v>
      </c>
      <c r="X36" s="1539"/>
      <c r="Y36" s="3556"/>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554"/>
      <c r="Q37" s="1527" t="str">
        <f t="shared" si="11"/>
        <v>成新度</v>
      </c>
      <c r="R37" s="710" t="s">
        <v>21</v>
      </c>
      <c r="S37" s="711" t="e">
        <f t="shared" si="12"/>
        <v>#N/A</v>
      </c>
      <c r="T37" s="710" t="s">
        <v>21</v>
      </c>
      <c r="U37" s="711" t="e">
        <f t="shared" si="13"/>
        <v>#N/A</v>
      </c>
      <c r="V37" s="710" t="s">
        <v>21</v>
      </c>
      <c r="W37" s="711" t="e">
        <f t="shared" si="14"/>
        <v>#N/A</v>
      </c>
      <c r="X37" s="712"/>
      <c r="Y37" s="3556"/>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9"/>
      <c r="M38" s="2933"/>
      <c r="N38" s="2933"/>
      <c r="O38" s="2933"/>
      <c r="P38" s="3554" t="s">
        <v>2385</v>
      </c>
      <c r="Q38" s="1536" t="str">
        <f t="shared" si="11"/>
        <v>物业管理</v>
      </c>
      <c r="R38" s="714" t="s">
        <v>21</v>
      </c>
      <c r="S38" s="715">
        <f t="shared" si="12"/>
        <v>100</v>
      </c>
      <c r="T38" s="714" t="s">
        <v>21</v>
      </c>
      <c r="U38" s="715">
        <f t="shared" si="13"/>
        <v>100</v>
      </c>
      <c r="V38" s="714" t="s">
        <v>21</v>
      </c>
      <c r="W38" s="715">
        <f t="shared" si="14"/>
        <v>100</v>
      </c>
      <c r="X38" s="1539"/>
      <c r="Y38" s="3556"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9"/>
      <c r="M39" s="2933"/>
      <c r="N39" s="2933"/>
      <c r="O39" s="2933"/>
      <c r="P39" s="3554"/>
      <c r="Q39" s="1536" t="str">
        <f t="shared" si="11"/>
        <v>市政基础设施</v>
      </c>
      <c r="R39" s="714" t="s">
        <v>21</v>
      </c>
      <c r="S39" s="715">
        <f t="shared" si="12"/>
        <v>100</v>
      </c>
      <c r="T39" s="714" t="s">
        <v>21</v>
      </c>
      <c r="U39" s="715">
        <f t="shared" si="13"/>
        <v>100</v>
      </c>
      <c r="V39" s="714" t="s">
        <v>21</v>
      </c>
      <c r="W39" s="715">
        <f t="shared" si="14"/>
        <v>100</v>
      </c>
      <c r="X39" s="1539"/>
      <c r="Y39" s="3556"/>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9"/>
      <c r="M40" s="2933"/>
      <c r="N40" s="2933"/>
      <c r="O40" s="2933"/>
      <c r="P40" s="3554"/>
      <c r="Q40" s="1536" t="str">
        <f t="shared" si="11"/>
        <v>房型</v>
      </c>
      <c r="R40" s="714" t="s">
        <v>21</v>
      </c>
      <c r="S40" s="715">
        <f t="shared" si="12"/>
        <v>100</v>
      </c>
      <c r="T40" s="714" t="s">
        <v>21</v>
      </c>
      <c r="U40" s="715">
        <f t="shared" si="13"/>
        <v>100</v>
      </c>
      <c r="V40" s="714" t="s">
        <v>21</v>
      </c>
      <c r="W40" s="715">
        <f t="shared" si="14"/>
        <v>100</v>
      </c>
      <c r="X40" s="1539"/>
      <c r="Y40" s="3556"/>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8"/>
      <c r="M41" s="2940"/>
      <c r="N41" s="2940"/>
      <c r="O41" s="2940"/>
      <c r="P41" s="3554"/>
      <c r="Q41" s="716" t="str">
        <f t="shared" si="11"/>
        <v>单套/主力户型建筑面积</v>
      </c>
      <c r="R41" s="717" t="s">
        <v>21</v>
      </c>
      <c r="S41" s="718">
        <f t="shared" si="12"/>
        <v>100</v>
      </c>
      <c r="T41" s="717" t="s">
        <v>21</v>
      </c>
      <c r="U41" s="718">
        <f t="shared" si="13"/>
        <v>100</v>
      </c>
      <c r="V41" s="717" t="s">
        <v>21</v>
      </c>
      <c r="W41" s="718">
        <f t="shared" si="14"/>
        <v>100</v>
      </c>
      <c r="X41" s="719"/>
      <c r="Y41" s="3556"/>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9"/>
      <c r="M42" s="2933"/>
      <c r="N42" s="2933"/>
      <c r="O42" s="2933"/>
      <c r="P42" s="3554"/>
      <c r="Q42" s="1536" t="str">
        <f t="shared" si="11"/>
        <v>内部装修</v>
      </c>
      <c r="R42" s="714" t="s">
        <v>21</v>
      </c>
      <c r="S42" s="715">
        <f t="shared" si="12"/>
        <v>100</v>
      </c>
      <c r="T42" s="714" t="s">
        <v>21</v>
      </c>
      <c r="U42" s="715">
        <f t="shared" si="13"/>
        <v>100</v>
      </c>
      <c r="V42" s="714" t="s">
        <v>21</v>
      </c>
      <c r="W42" s="715">
        <f t="shared" si="14"/>
        <v>100</v>
      </c>
      <c r="X42" s="1539"/>
      <c r="Y42" s="3556"/>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9"/>
      <c r="M43" s="2933"/>
      <c r="N43" s="2933"/>
      <c r="O43" s="2933"/>
      <c r="P43" s="3554"/>
      <c r="Q43" s="1536" t="str">
        <f t="shared" si="11"/>
        <v>内部装修维护情况</v>
      </c>
      <c r="R43" s="714" t="s">
        <v>21</v>
      </c>
      <c r="S43" s="715">
        <f t="shared" si="12"/>
        <v>100</v>
      </c>
      <c r="T43" s="714" t="s">
        <v>21</v>
      </c>
      <c r="U43" s="715">
        <f t="shared" si="13"/>
        <v>100</v>
      </c>
      <c r="V43" s="714" t="s">
        <v>21</v>
      </c>
      <c r="W43" s="715">
        <f t="shared" si="14"/>
        <v>100</v>
      </c>
      <c r="X43" s="1539"/>
      <c r="Y43" s="355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4"/>
      <c r="M44" s="2935"/>
      <c r="N44" s="2935"/>
      <c r="O44" s="2935"/>
      <c r="P44" s="3554"/>
      <c r="Q44" s="1527">
        <f t="shared" si="11"/>
        <v>111</v>
      </c>
      <c r="R44" s="710" t="s">
        <v>21</v>
      </c>
      <c r="S44" s="711">
        <f t="shared" si="12"/>
        <v>100</v>
      </c>
      <c r="T44" s="710" t="s">
        <v>21</v>
      </c>
      <c r="U44" s="711">
        <f t="shared" si="13"/>
        <v>100</v>
      </c>
      <c r="V44" s="710" t="s">
        <v>21</v>
      </c>
      <c r="W44" s="711">
        <f t="shared" si="14"/>
        <v>100</v>
      </c>
      <c r="X44" s="712"/>
      <c r="Y44" s="355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9"/>
      <c r="M45" s="2933"/>
      <c r="N45" s="2933"/>
      <c r="O45" s="2933"/>
      <c r="P45" s="3554"/>
      <c r="Q45" s="1536">
        <f t="shared" si="11"/>
        <v>111</v>
      </c>
      <c r="R45" s="714" t="s">
        <v>21</v>
      </c>
      <c r="S45" s="715">
        <f t="shared" si="12"/>
        <v>100</v>
      </c>
      <c r="T45" s="714" t="s">
        <v>21</v>
      </c>
      <c r="U45" s="715">
        <f t="shared" si="13"/>
        <v>100</v>
      </c>
      <c r="V45" s="714" t="s">
        <v>21</v>
      </c>
      <c r="W45" s="715">
        <f t="shared" si="14"/>
        <v>100</v>
      </c>
      <c r="X45" s="1539"/>
      <c r="Y45" s="3556"/>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9"/>
      <c r="M46" s="2933"/>
      <c r="N46" s="2933"/>
      <c r="O46" s="2933"/>
      <c r="P46" s="3555"/>
      <c r="Q46" s="1536">
        <f t="shared" si="11"/>
        <v>111</v>
      </c>
      <c r="R46" s="714" t="s">
        <v>20</v>
      </c>
      <c r="S46" s="715">
        <f t="shared" si="12"/>
        <v>100</v>
      </c>
      <c r="T46" s="714" t="s">
        <v>20</v>
      </c>
      <c r="U46" s="715">
        <f t="shared" si="13"/>
        <v>100</v>
      </c>
      <c r="V46" s="714" t="s">
        <v>20</v>
      </c>
      <c r="W46" s="715">
        <f t="shared" si="14"/>
        <v>100</v>
      </c>
      <c r="X46" s="1539"/>
      <c r="Y46" s="3557"/>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41"/>
      <c r="M47" s="2942"/>
      <c r="N47" s="2933"/>
      <c r="O47" s="2942"/>
      <c r="P47" s="3558" t="str">
        <f>A47</f>
        <v>成交单价（元/平方米）</v>
      </c>
      <c r="Q47" s="3558"/>
      <c r="R47" s="3559">
        <f>E47</f>
        <v>0</v>
      </c>
      <c r="S47" s="3559"/>
      <c r="T47" s="3559">
        <f>G47</f>
        <v>0</v>
      </c>
      <c r="U47" s="3559"/>
      <c r="V47" s="3559">
        <f>I47</f>
        <v>0</v>
      </c>
      <c r="W47" s="3559"/>
      <c r="X47" s="699"/>
      <c r="Y47" s="721"/>
      <c r="Z47" s="699"/>
      <c r="AA47" s="699"/>
      <c r="AB47" s="699"/>
      <c r="AC47" s="699"/>
    </row>
    <row r="48" spans="1:29" ht="15.75" thickBot="1">
      <c r="A48" s="445" t="s">
        <v>2398</v>
      </c>
      <c r="B48" s="446"/>
      <c r="C48" s="1322" t="e">
        <f>R49</f>
        <v>#DIV/0!</v>
      </c>
      <c r="D48" s="2528" t="s">
        <v>2878</v>
      </c>
      <c r="E48" s="1323" t="e">
        <f>R48</f>
        <v>#DIV/0!</v>
      </c>
      <c r="F48" s="2529"/>
      <c r="G48" s="1322" t="e">
        <f>T48</f>
        <v>#DIV/0!</v>
      </c>
      <c r="H48" s="2529"/>
      <c r="I48" s="1323" t="e">
        <f>V48</f>
        <v>#DIV/0!</v>
      </c>
      <c r="J48" s="2529"/>
      <c r="K48" s="2530">
        <f>F48+H48+J48</f>
        <v>0</v>
      </c>
      <c r="L48" s="2941"/>
      <c r="M48" s="2942"/>
      <c r="N48" s="2942"/>
      <c r="O48" s="2942"/>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1"/>
      <c r="M49" s="2942"/>
      <c r="N49" s="2942"/>
      <c r="O49" s="2942"/>
      <c r="P49" s="3560" t="str">
        <f>A49</f>
        <v>估价对象XX用房的比较价值（楼面单价，元/平方米）</v>
      </c>
      <c r="Q49" s="3561"/>
      <c r="R49" s="3562" t="e">
        <f>IF(F1="售价",ROUND(IF(D48="简单平均",AVERAGE(R48:V48),R48*F48+T48*H48+V48*J48),0),ROUND(IF(D48="简单平均",AVERAGE(R48:V48),R48*F48+T48*H48+V48*J48),1))</f>
        <v>#DIV/0!</v>
      </c>
      <c r="S49" s="3562"/>
      <c r="T49" s="3562"/>
      <c r="U49" s="3562"/>
      <c r="V49" s="3562"/>
      <c r="W49" s="3562"/>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2"/>
    </row>
    <row r="55" spans="1:29" s="459" customFormat="1">
      <c r="A55" s="2945"/>
      <c r="B55" s="2948"/>
      <c r="C55" s="2949"/>
      <c r="D55" s="2945"/>
      <c r="E55" s="2945"/>
      <c r="F55" s="2945"/>
      <c r="G55" s="2945"/>
      <c r="H55" s="2945"/>
      <c r="I55" s="2945"/>
      <c r="J55" s="2945"/>
      <c r="K55" s="2950"/>
      <c r="L55" s="2944"/>
      <c r="M55" s="2945"/>
      <c r="N55" s="2945"/>
      <c r="O55" s="2945"/>
      <c r="P55" s="2102"/>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2022-8</v>
      </c>
      <c r="D58" s="1347">
        <f>EDATE(C58,-1)</f>
        <v>44743</v>
      </c>
      <c r="E58" s="1347">
        <f>EDATE(D58,-1)</f>
        <v>44713</v>
      </c>
      <c r="F58" s="1347">
        <f t="shared" ref="F58:O58" si="19">EDATE(E58,-1)</f>
        <v>44682</v>
      </c>
      <c r="G58" s="1347">
        <f t="shared" si="19"/>
        <v>44652</v>
      </c>
      <c r="H58" s="1347">
        <f t="shared" si="19"/>
        <v>44621</v>
      </c>
      <c r="I58" s="1347">
        <f t="shared" si="19"/>
        <v>44593</v>
      </c>
      <c r="J58" s="1347">
        <f t="shared" si="19"/>
        <v>44562</v>
      </c>
      <c r="K58" s="1347">
        <f t="shared" si="19"/>
        <v>44531</v>
      </c>
      <c r="L58" s="1347">
        <f t="shared" si="19"/>
        <v>44501</v>
      </c>
      <c r="M58" s="1347">
        <f t="shared" si="19"/>
        <v>44470</v>
      </c>
      <c r="N58" s="1347">
        <f t="shared" si="19"/>
        <v>44440</v>
      </c>
      <c r="O58" s="1347">
        <f t="shared" si="19"/>
        <v>44409</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tabColor rgb="FF92D050"/>
    <pageSetUpPr fitToPage="1"/>
  </sheetPr>
  <dimension ref="A1:AC131"/>
  <sheetViews>
    <sheetView view="pageBreakPreview" topLeftCell="C20" zoomScale="85" zoomScaleNormal="70" zoomScaleSheetLayoutView="85" workbookViewId="0">
      <selection activeCell="M19" sqref="M1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3202</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627</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42647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0" t="s">
        <v>2356</v>
      </c>
      <c r="D4" s="3521"/>
      <c r="E4" s="3522" t="s">
        <v>2357</v>
      </c>
      <c r="F4" s="3523"/>
      <c r="G4" s="3520" t="s">
        <v>2358</v>
      </c>
      <c r="H4" s="3521"/>
      <c r="I4" s="3520" t="s">
        <v>2359</v>
      </c>
      <c r="J4" s="3521"/>
      <c r="K4" s="567" t="s">
        <v>2360</v>
      </c>
      <c r="L4" s="2932"/>
      <c r="M4" s="2933"/>
      <c r="N4" s="2933"/>
      <c r="O4" s="2933"/>
      <c r="P4" s="3524" t="s">
        <v>2361</v>
      </c>
      <c r="Q4" s="3525"/>
      <c r="R4" s="3530" t="s">
        <v>2357</v>
      </c>
      <c r="S4" s="3531"/>
      <c r="T4" s="3530" t="s">
        <v>2358</v>
      </c>
      <c r="U4" s="3531"/>
      <c r="V4" s="3544" t="s">
        <v>2359</v>
      </c>
      <c r="W4" s="3544"/>
      <c r="X4" s="3049"/>
      <c r="Y4" s="3530" t="s">
        <v>2361</v>
      </c>
      <c r="Z4" s="3531"/>
      <c r="AA4" s="3517" t="s">
        <v>2357</v>
      </c>
      <c r="AB4" s="3544" t="s">
        <v>2358</v>
      </c>
      <c r="AC4" s="3517" t="s">
        <v>2359</v>
      </c>
    </row>
    <row r="5" spans="1:29" ht="15">
      <c r="A5" s="364"/>
      <c r="B5" s="365"/>
      <c r="C5" s="3534" t="s">
        <v>3297</v>
      </c>
      <c r="D5" s="3535"/>
      <c r="E5" s="3536" t="str">
        <f>售价案例!$K$7</f>
        <v>和谐雅园</v>
      </c>
      <c r="F5" s="3537"/>
      <c r="G5" s="3534" t="str">
        <f>售价案例!$K$37</f>
        <v>百环家园</v>
      </c>
      <c r="H5" s="3535"/>
      <c r="I5" s="3534" t="str">
        <f>售价案例!$K$64</f>
        <v>天力街</v>
      </c>
      <c r="J5" s="3535"/>
      <c r="K5" s="567"/>
      <c r="L5" s="2932"/>
      <c r="M5" s="2933"/>
      <c r="N5" s="2933"/>
      <c r="O5" s="2933"/>
      <c r="P5" s="3526"/>
      <c r="Q5" s="3527"/>
      <c r="R5" s="3532"/>
      <c r="S5" s="3533"/>
      <c r="T5" s="3532"/>
      <c r="U5" s="3533"/>
      <c r="V5" s="3544"/>
      <c r="W5" s="3544"/>
      <c r="X5" s="3049"/>
      <c r="Y5" s="3532"/>
      <c r="Z5" s="3533"/>
      <c r="AA5" s="3518"/>
      <c r="AB5" s="3544"/>
      <c r="AC5" s="3518"/>
    </row>
    <row r="6" spans="1:29" ht="15.75" thickBot="1">
      <c r="A6" s="366"/>
      <c r="B6" s="367"/>
      <c r="C6" s="3538" t="s">
        <v>2366</v>
      </c>
      <c r="D6" s="3539"/>
      <c r="E6" s="3540" t="s">
        <v>2366</v>
      </c>
      <c r="F6" s="3541"/>
      <c r="G6" s="3538" t="s">
        <v>2366</v>
      </c>
      <c r="H6" s="3539"/>
      <c r="I6" s="3538" t="s">
        <v>2366</v>
      </c>
      <c r="J6" s="3539"/>
      <c r="K6" s="567" t="s">
        <v>2367</v>
      </c>
      <c r="L6" s="2932"/>
      <c r="M6" s="2933"/>
      <c r="N6" s="2933"/>
      <c r="O6" s="2933"/>
      <c r="P6" s="3528"/>
      <c r="Q6" s="3529"/>
      <c r="R6" s="3532"/>
      <c r="S6" s="3533"/>
      <c r="T6" s="3542"/>
      <c r="U6" s="3543"/>
      <c r="V6" s="3544"/>
      <c r="W6" s="3544"/>
      <c r="X6" s="3049"/>
      <c r="Y6" s="3542"/>
      <c r="Z6" s="3543"/>
      <c r="AA6" s="3519"/>
      <c r="AB6" s="3544"/>
      <c r="AC6" s="3519"/>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45" t="s">
        <v>2369</v>
      </c>
      <c r="Q7" s="3546"/>
      <c r="R7" s="710" t="s">
        <v>17</v>
      </c>
      <c r="S7" s="711">
        <f t="shared" ref="S7:S15" si="0">F7</f>
        <v>100</v>
      </c>
      <c r="T7" s="710" t="s">
        <v>17</v>
      </c>
      <c r="U7" s="711">
        <f t="shared" ref="U7:U15" si="1">H7</f>
        <v>100</v>
      </c>
      <c r="V7" s="710" t="s">
        <v>17</v>
      </c>
      <c r="W7" s="711">
        <f t="shared" ref="W7:W15" si="2">J7</f>
        <v>100</v>
      </c>
      <c r="X7" s="712"/>
      <c r="Y7" s="3545" t="s">
        <v>2369</v>
      </c>
      <c r="Z7" s="3547"/>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105</v>
      </c>
      <c r="G8" s="374" t="s">
        <v>3216</v>
      </c>
      <c r="H8" s="371">
        <f>SUMIF(61:61,G8,62:62)-SUMIF(61:61,C8,62:62)+100</f>
        <v>105</v>
      </c>
      <c r="I8" s="374" t="s">
        <v>3216</v>
      </c>
      <c r="J8" s="371">
        <f>SUMIF(61:61,I8,62:62)-SUMIF(61:61,C8,62:62)+100</f>
        <v>105</v>
      </c>
      <c r="K8" s="568"/>
      <c r="L8" s="2934"/>
      <c r="M8" s="2935"/>
      <c r="N8" s="2935"/>
      <c r="O8" s="2935"/>
      <c r="P8" s="3545" t="s">
        <v>2372</v>
      </c>
      <c r="Q8" s="3547"/>
      <c r="R8" s="710" t="s">
        <v>17</v>
      </c>
      <c r="S8" s="711">
        <f t="shared" si="0"/>
        <v>105</v>
      </c>
      <c r="T8" s="710" t="s">
        <v>17</v>
      </c>
      <c r="U8" s="711">
        <f t="shared" si="1"/>
        <v>105</v>
      </c>
      <c r="V8" s="710" t="s">
        <v>17</v>
      </c>
      <c r="W8" s="711">
        <f t="shared" si="2"/>
        <v>105</v>
      </c>
      <c r="X8" s="712"/>
      <c r="Y8" s="3545" t="s">
        <v>2372</v>
      </c>
      <c r="Z8" s="3547"/>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7" t="s">
        <v>3218</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48" t="s">
        <v>2375</v>
      </c>
      <c r="Q9" s="3048" t="str">
        <f t="shared" ref="Q9:Q15" si="6">B9</f>
        <v>用途</v>
      </c>
      <c r="R9" s="710" t="s">
        <v>17</v>
      </c>
      <c r="S9" s="711">
        <f t="shared" si="0"/>
        <v>100</v>
      </c>
      <c r="T9" s="710" t="s">
        <v>17</v>
      </c>
      <c r="U9" s="711">
        <f t="shared" si="1"/>
        <v>100</v>
      </c>
      <c r="V9" s="710" t="s">
        <v>17</v>
      </c>
      <c r="W9" s="711">
        <f t="shared" si="2"/>
        <v>100</v>
      </c>
      <c r="X9" s="712"/>
      <c r="Y9" s="3427" t="s">
        <v>2376</v>
      </c>
      <c r="Z9" s="3047" t="str">
        <f t="shared" ref="Z9:Z15" si="7">Q9</f>
        <v>用途</v>
      </c>
      <c r="AA9" s="713">
        <f t="shared" si="3"/>
        <v>1</v>
      </c>
      <c r="AB9" s="713">
        <f t="shared" si="4"/>
        <v>1</v>
      </c>
      <c r="AC9" s="713">
        <f t="shared" si="5"/>
        <v>1</v>
      </c>
    </row>
    <row r="10" spans="1:29" s="386" customFormat="1" ht="27" hidden="1">
      <c r="A10" s="380"/>
      <c r="B10" s="381" t="s">
        <v>2377</v>
      </c>
      <c r="C10" s="382" t="s">
        <v>3248</v>
      </c>
      <c r="D10" s="132">
        <v>100</v>
      </c>
      <c r="E10" s="383" t="s">
        <v>3248</v>
      </c>
      <c r="F10" s="384">
        <f>SUMIF(65:65,E10,66:66)-SUMIF(65:65,C10,66:66)+100</f>
        <v>100</v>
      </c>
      <c r="G10" s="383" t="s">
        <v>3248</v>
      </c>
      <c r="H10" s="132">
        <f>SUMIF(65:65,G10,66:66)-SUMIF(65:65,C10,66:66)+100</f>
        <v>100</v>
      </c>
      <c r="I10" s="383" t="s">
        <v>3248</v>
      </c>
      <c r="J10" s="132">
        <f>SUMIF(65:65,I10,66:66)-SUMIF(65:65,C10,66:66)+100</f>
        <v>100</v>
      </c>
      <c r="K10" s="569">
        <v>1</v>
      </c>
      <c r="L10" s="2936"/>
      <c r="M10" s="2937"/>
      <c r="N10" s="2937"/>
      <c r="O10" s="2937"/>
      <c r="P10" s="3548"/>
      <c r="Q10" s="3048" t="str">
        <f t="shared" si="6"/>
        <v>土地使用年限（年）</v>
      </c>
      <c r="R10" s="710" t="s">
        <v>17</v>
      </c>
      <c r="S10" s="711">
        <f t="shared" si="0"/>
        <v>100</v>
      </c>
      <c r="T10" s="710" t="s">
        <v>17</v>
      </c>
      <c r="U10" s="711">
        <f t="shared" si="1"/>
        <v>100</v>
      </c>
      <c r="V10" s="710" t="s">
        <v>17</v>
      </c>
      <c r="W10" s="711">
        <f t="shared" si="2"/>
        <v>100</v>
      </c>
      <c r="X10" s="712"/>
      <c r="Y10" s="3427"/>
      <c r="Z10" s="3047"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48"/>
      <c r="Q11" s="3048" t="str">
        <f t="shared" si="6"/>
        <v>容积率</v>
      </c>
      <c r="R11" s="710" t="s">
        <v>17</v>
      </c>
      <c r="S11" s="711">
        <f t="shared" si="0"/>
        <v>100</v>
      </c>
      <c r="T11" s="710" t="s">
        <v>17</v>
      </c>
      <c r="U11" s="711">
        <f t="shared" si="1"/>
        <v>100</v>
      </c>
      <c r="V11" s="710" t="s">
        <v>17</v>
      </c>
      <c r="W11" s="711">
        <f t="shared" si="2"/>
        <v>100</v>
      </c>
      <c r="X11" s="712"/>
      <c r="Y11" s="3427"/>
      <c r="Z11" s="3047"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48"/>
      <c r="Q12" s="3048">
        <f t="shared" si="6"/>
        <v>111</v>
      </c>
      <c r="R12" s="710" t="s">
        <v>17</v>
      </c>
      <c r="S12" s="711">
        <f t="shared" si="0"/>
        <v>100</v>
      </c>
      <c r="T12" s="710" t="s">
        <v>17</v>
      </c>
      <c r="U12" s="711">
        <f t="shared" si="1"/>
        <v>100</v>
      </c>
      <c r="V12" s="710" t="s">
        <v>17</v>
      </c>
      <c r="W12" s="711">
        <f t="shared" si="2"/>
        <v>100</v>
      </c>
      <c r="X12" s="712"/>
      <c r="Y12" s="3427"/>
      <c r="Z12" s="3047">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48"/>
      <c r="Q13" s="3048">
        <f t="shared" si="6"/>
        <v>111</v>
      </c>
      <c r="R13" s="710" t="s">
        <v>17</v>
      </c>
      <c r="S13" s="711">
        <f t="shared" si="0"/>
        <v>100</v>
      </c>
      <c r="T13" s="710" t="s">
        <v>17</v>
      </c>
      <c r="U13" s="711">
        <f t="shared" si="1"/>
        <v>100</v>
      </c>
      <c r="V13" s="710" t="s">
        <v>17</v>
      </c>
      <c r="W13" s="711">
        <f t="shared" si="2"/>
        <v>100</v>
      </c>
      <c r="X13" s="712"/>
      <c r="Y13" s="3427"/>
      <c r="Z13" s="3047">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48"/>
      <c r="Q14" s="3048">
        <f t="shared" si="6"/>
        <v>111</v>
      </c>
      <c r="R14" s="710" t="s">
        <v>17</v>
      </c>
      <c r="S14" s="711">
        <f t="shared" si="0"/>
        <v>100</v>
      </c>
      <c r="T14" s="710" t="s">
        <v>17</v>
      </c>
      <c r="U14" s="711">
        <f t="shared" si="1"/>
        <v>100</v>
      </c>
      <c r="V14" s="710" t="s">
        <v>17</v>
      </c>
      <c r="W14" s="711">
        <f t="shared" si="2"/>
        <v>100</v>
      </c>
      <c r="X14" s="712"/>
      <c r="Y14" s="3427"/>
      <c r="Z14" s="3047">
        <f t="shared" si="7"/>
        <v>111</v>
      </c>
      <c r="AA14" s="713">
        <f t="shared" si="3"/>
        <v>1</v>
      </c>
      <c r="AB14" s="713">
        <f t="shared" si="4"/>
        <v>1</v>
      </c>
      <c r="AC14" s="713">
        <f t="shared" si="5"/>
        <v>1</v>
      </c>
    </row>
    <row r="15" spans="1:29" ht="31.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105</v>
      </c>
      <c r="I15" s="401"/>
      <c r="J15" s="400">
        <f>SUMIF(76:76,I16,77:77)-SUMIF(76:76,C16,77:77)+100</f>
        <v>105</v>
      </c>
      <c r="K15" s="571">
        <f>'比较法-商业租金'!K15</f>
        <v>5</v>
      </c>
      <c r="L15" s="2939"/>
      <c r="M15" s="2933"/>
      <c r="N15" s="2933"/>
      <c r="O15" s="2933"/>
      <c r="P15" s="3549" t="s">
        <v>2380</v>
      </c>
      <c r="Q15" s="3052" t="str">
        <f t="shared" si="6"/>
        <v>商业繁华度</v>
      </c>
      <c r="R15" s="714" t="s">
        <v>17</v>
      </c>
      <c r="S15" s="715">
        <f t="shared" si="0"/>
        <v>100</v>
      </c>
      <c r="T15" s="714" t="s">
        <v>17</v>
      </c>
      <c r="U15" s="715">
        <f t="shared" si="1"/>
        <v>105</v>
      </c>
      <c r="V15" s="714" t="s">
        <v>17</v>
      </c>
      <c r="W15" s="715">
        <f t="shared" si="2"/>
        <v>105</v>
      </c>
      <c r="X15" s="3049"/>
      <c r="Y15" s="3551" t="s">
        <v>2380</v>
      </c>
      <c r="Z15" s="3050" t="str">
        <f t="shared" si="7"/>
        <v>商业繁华度</v>
      </c>
      <c r="AA15" s="3053">
        <f t="shared" si="3"/>
        <v>1</v>
      </c>
      <c r="AB15" s="3053">
        <f t="shared" si="4"/>
        <v>0.95238095238095233</v>
      </c>
      <c r="AC15" s="3053">
        <f t="shared" si="5"/>
        <v>0.95238095238095233</v>
      </c>
    </row>
    <row r="16" spans="1:29" ht="15">
      <c r="A16" s="387"/>
      <c r="B16" s="405"/>
      <c r="C16" s="406" t="s">
        <v>3240</v>
      </c>
      <c r="D16" s="407"/>
      <c r="E16" s="406" t="s">
        <v>3240</v>
      </c>
      <c r="F16" s="408"/>
      <c r="G16" s="406" t="s">
        <v>3243</v>
      </c>
      <c r="H16" s="409"/>
      <c r="I16" s="406" t="s">
        <v>3243</v>
      </c>
      <c r="J16" s="407"/>
      <c r="K16" s="572"/>
      <c r="L16" s="2939"/>
      <c r="M16" s="2933"/>
      <c r="N16" s="2933"/>
      <c r="O16" s="2933"/>
      <c r="P16" s="3550"/>
      <c r="Q16" s="3052"/>
      <c r="R16" s="714"/>
      <c r="S16" s="715"/>
      <c r="T16" s="714"/>
      <c r="U16" s="715"/>
      <c r="V16" s="714"/>
      <c r="W16" s="715"/>
      <c r="X16" s="3049"/>
      <c r="Y16" s="3552"/>
      <c r="Z16" s="3050"/>
      <c r="AA16" s="3053">
        <v>1</v>
      </c>
      <c r="AB16" s="3053">
        <v>1</v>
      </c>
      <c r="AC16" s="3053">
        <v>1</v>
      </c>
    </row>
    <row r="17" spans="1:29" ht="2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105</v>
      </c>
      <c r="I17" s="411"/>
      <c r="J17" s="414">
        <f>SUMIF(78:78,I18,79:79)-SUMIF(78:78,C18,79:79)+100</f>
        <v>105</v>
      </c>
      <c r="K17" s="571">
        <f>'比较法-商业租金'!K17</f>
        <v>5</v>
      </c>
      <c r="L17" s="2939"/>
      <c r="M17" s="2933"/>
      <c r="N17" s="2933"/>
      <c r="O17" s="2933"/>
      <c r="P17" s="3550"/>
      <c r="Q17" s="3052" t="str">
        <f>B17</f>
        <v>交通便捷度</v>
      </c>
      <c r="R17" s="714" t="s">
        <v>17</v>
      </c>
      <c r="S17" s="715">
        <f>F17</f>
        <v>100</v>
      </c>
      <c r="T17" s="714" t="s">
        <v>17</v>
      </c>
      <c r="U17" s="715">
        <f>H17</f>
        <v>105</v>
      </c>
      <c r="V17" s="714" t="s">
        <v>17</v>
      </c>
      <c r="W17" s="715">
        <f>J17</f>
        <v>105</v>
      </c>
      <c r="X17" s="3049"/>
      <c r="Y17" s="3552"/>
      <c r="Z17" s="3050" t="str">
        <f>Q17</f>
        <v>交通便捷度</v>
      </c>
      <c r="AA17" s="3053">
        <f t="shared" si="3"/>
        <v>1</v>
      </c>
      <c r="AB17" s="3053">
        <f t="shared" si="4"/>
        <v>0.95238095238095233</v>
      </c>
      <c r="AC17" s="3053">
        <f t="shared" si="5"/>
        <v>0.95238095238095233</v>
      </c>
    </row>
    <row r="18" spans="1:29" ht="15">
      <c r="A18" s="387"/>
      <c r="B18" s="415"/>
      <c r="C18" s="2086" t="s">
        <v>3240</v>
      </c>
      <c r="D18" s="409"/>
      <c r="E18" s="406" t="s">
        <v>3240</v>
      </c>
      <c r="F18" s="412"/>
      <c r="G18" s="406" t="s">
        <v>3243</v>
      </c>
      <c r="H18" s="407"/>
      <c r="I18" s="406" t="s">
        <v>3243</v>
      </c>
      <c r="J18" s="407"/>
      <c r="K18" s="572"/>
      <c r="L18" s="2939"/>
      <c r="M18" s="2933"/>
      <c r="N18" s="2933"/>
      <c r="O18" s="2933"/>
      <c r="P18" s="3550"/>
      <c r="Q18" s="3052"/>
      <c r="R18" s="714"/>
      <c r="S18" s="715"/>
      <c r="T18" s="714"/>
      <c r="U18" s="715"/>
      <c r="V18" s="714"/>
      <c r="W18" s="715"/>
      <c r="X18" s="3049"/>
      <c r="Y18" s="3552"/>
      <c r="Z18" s="3050"/>
      <c r="AA18" s="3053">
        <v>1</v>
      </c>
      <c r="AB18" s="3053">
        <v>1</v>
      </c>
      <c r="AC18" s="3053">
        <v>1</v>
      </c>
    </row>
    <row r="19" spans="1:29" ht="20.2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'比较法-商业租金'!K19</f>
        <v>2</v>
      </c>
      <c r="L19" s="2939"/>
      <c r="M19" s="2933"/>
      <c r="N19" s="2933"/>
      <c r="O19" s="2933"/>
      <c r="P19" s="3550"/>
      <c r="Q19" s="3052" t="str">
        <f>B19</f>
        <v>公共配套设施</v>
      </c>
      <c r="R19" s="714" t="s">
        <v>17</v>
      </c>
      <c r="S19" s="715">
        <f>F19</f>
        <v>100</v>
      </c>
      <c r="T19" s="714" t="s">
        <v>17</v>
      </c>
      <c r="U19" s="715">
        <f>H19</f>
        <v>100</v>
      </c>
      <c r="V19" s="714" t="s">
        <v>17</v>
      </c>
      <c r="W19" s="715">
        <f>J19</f>
        <v>100</v>
      </c>
      <c r="X19" s="3049"/>
      <c r="Y19" s="3552"/>
      <c r="Z19" s="3050" t="str">
        <f>Q19</f>
        <v>公共配套设施</v>
      </c>
      <c r="AA19" s="3053">
        <f t="shared" si="3"/>
        <v>1</v>
      </c>
      <c r="AB19" s="3053">
        <f t="shared" si="4"/>
        <v>1</v>
      </c>
      <c r="AC19" s="3053">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50"/>
      <c r="Q20" s="3052"/>
      <c r="R20" s="714"/>
      <c r="S20" s="715"/>
      <c r="T20" s="714"/>
      <c r="U20" s="715"/>
      <c r="V20" s="714"/>
      <c r="W20" s="715"/>
      <c r="X20" s="3049"/>
      <c r="Y20" s="3552"/>
      <c r="Z20" s="3050"/>
      <c r="AA20" s="3053">
        <v>1</v>
      </c>
      <c r="AB20" s="3053">
        <v>1</v>
      </c>
      <c r="AC20" s="3053">
        <v>1</v>
      </c>
    </row>
    <row r="21" spans="1:29" ht="23.2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'比较法-商业租金'!K21</f>
        <v>2</v>
      </c>
      <c r="L21" s="2939"/>
      <c r="M21" s="2933"/>
      <c r="N21" s="2933"/>
      <c r="O21" s="2933"/>
      <c r="P21" s="3550"/>
      <c r="Q21" s="3052" t="str">
        <f>B21</f>
        <v>基础设施水平</v>
      </c>
      <c r="R21" s="714" t="s">
        <v>17</v>
      </c>
      <c r="S21" s="715">
        <f>F21</f>
        <v>100</v>
      </c>
      <c r="T21" s="714" t="s">
        <v>17</v>
      </c>
      <c r="U21" s="715">
        <f>H21</f>
        <v>100</v>
      </c>
      <c r="V21" s="714" t="s">
        <v>17</v>
      </c>
      <c r="W21" s="715">
        <f>J21</f>
        <v>100</v>
      </c>
      <c r="X21" s="3049"/>
      <c r="Y21" s="3552"/>
      <c r="Z21" s="3050" t="str">
        <f>Q21</f>
        <v>基础设施水平</v>
      </c>
      <c r="AA21" s="3053">
        <f t="shared" ref="AA21" si="8">D21/F21</f>
        <v>1</v>
      </c>
      <c r="AB21" s="3053">
        <f t="shared" ref="AB21" si="9">D21/H21</f>
        <v>1</v>
      </c>
      <c r="AC21" s="3053">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50"/>
      <c r="Q22" s="3052"/>
      <c r="R22" s="714"/>
      <c r="S22" s="715"/>
      <c r="T22" s="714"/>
      <c r="U22" s="715"/>
      <c r="V22" s="714"/>
      <c r="W22" s="715"/>
      <c r="X22" s="3049"/>
      <c r="Y22" s="3552"/>
      <c r="Z22" s="3050"/>
      <c r="AA22" s="3053">
        <v>1</v>
      </c>
      <c r="AB22" s="3053">
        <v>1</v>
      </c>
      <c r="AC22" s="3053">
        <v>1</v>
      </c>
    </row>
    <row r="23" spans="1:29" ht="2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f>'比较法-商业租金'!K23</f>
        <v>2</v>
      </c>
      <c r="L23" s="2939"/>
      <c r="M23" s="2933"/>
      <c r="N23" s="2933"/>
      <c r="O23" s="2933"/>
      <c r="P23" s="3550"/>
      <c r="Q23" s="3052" t="str">
        <f>B23</f>
        <v>自然及人文环境</v>
      </c>
      <c r="R23" s="714" t="s">
        <v>17</v>
      </c>
      <c r="S23" s="715">
        <f>F23</f>
        <v>100</v>
      </c>
      <c r="T23" s="714" t="s">
        <v>17</v>
      </c>
      <c r="U23" s="715">
        <f>H23</f>
        <v>100</v>
      </c>
      <c r="V23" s="714" t="s">
        <v>17</v>
      </c>
      <c r="W23" s="715">
        <f>J23</f>
        <v>100</v>
      </c>
      <c r="X23" s="3049"/>
      <c r="Y23" s="3552"/>
      <c r="Z23" s="3050" t="str">
        <f>Q23</f>
        <v>自然及人文环境</v>
      </c>
      <c r="AA23" s="3053">
        <f t="shared" si="3"/>
        <v>1</v>
      </c>
      <c r="AB23" s="3053">
        <f t="shared" si="4"/>
        <v>1</v>
      </c>
      <c r="AC23" s="3053">
        <f t="shared" si="5"/>
        <v>1</v>
      </c>
    </row>
    <row r="24" spans="1:29" ht="15">
      <c r="A24" s="387"/>
      <c r="B24" s="415"/>
      <c r="C24" s="406" t="s">
        <v>3239</v>
      </c>
      <c r="D24" s="407"/>
      <c r="E24" s="406" t="s">
        <v>3239</v>
      </c>
      <c r="F24" s="408"/>
      <c r="G24" s="406" t="s">
        <v>3239</v>
      </c>
      <c r="H24" s="407"/>
      <c r="I24" s="406" t="s">
        <v>3239</v>
      </c>
      <c r="J24" s="407"/>
      <c r="K24" s="572"/>
      <c r="L24" s="2939"/>
      <c r="M24" s="2933"/>
      <c r="N24" s="2933"/>
      <c r="O24" s="2933"/>
      <c r="P24" s="3550"/>
      <c r="Q24" s="3052"/>
      <c r="R24" s="714"/>
      <c r="S24" s="715"/>
      <c r="T24" s="714"/>
      <c r="U24" s="715"/>
      <c r="V24" s="714"/>
      <c r="W24" s="715"/>
      <c r="X24" s="3049"/>
      <c r="Y24" s="3552"/>
      <c r="Z24" s="3050"/>
      <c r="AA24" s="3053">
        <v>1</v>
      </c>
      <c r="AB24" s="3053">
        <v>1</v>
      </c>
      <c r="AC24" s="3053">
        <v>1</v>
      </c>
    </row>
    <row r="25" spans="1:29" ht="15">
      <c r="A25" s="387"/>
      <c r="B25" s="381" t="s">
        <v>2476</v>
      </c>
      <c r="C25" s="573" t="s">
        <v>3235</v>
      </c>
      <c r="D25" s="394">
        <v>100</v>
      </c>
      <c r="E25" s="573" t="s">
        <v>3235</v>
      </c>
      <c r="F25" s="420">
        <f>SUMIF(86:86,E25,87:87)-SUMIF(86:86,C25,87:87)+100</f>
        <v>100</v>
      </c>
      <c r="G25" s="573" t="s">
        <v>3235</v>
      </c>
      <c r="H25" s="394">
        <f>SUMIF(86:86,G25,87:87)-SUMIF(86:86,C25,87:87)+100</f>
        <v>100</v>
      </c>
      <c r="I25" s="573" t="s">
        <v>3235</v>
      </c>
      <c r="J25" s="394">
        <f>SUMIF(86:86,I25,87:87)-SUMIF(86:86,C25,87:87)+100</f>
        <v>100</v>
      </c>
      <c r="K25" s="569">
        <f>'比较法-商业租金'!K25</f>
        <v>3</v>
      </c>
      <c r="L25" s="2939"/>
      <c r="M25" s="2933"/>
      <c r="N25" s="2933"/>
      <c r="O25" s="2933"/>
      <c r="P25" s="3550"/>
      <c r="Q25" s="3052" t="str">
        <f t="shared" ref="Q25:Q46" si="11">B25</f>
        <v>临街状况</v>
      </c>
      <c r="R25" s="714" t="s">
        <v>17</v>
      </c>
      <c r="S25" s="715">
        <f>F25</f>
        <v>100</v>
      </c>
      <c r="T25" s="714" t="s">
        <v>17</v>
      </c>
      <c r="U25" s="715">
        <f>H25</f>
        <v>100</v>
      </c>
      <c r="V25" s="714" t="s">
        <v>17</v>
      </c>
      <c r="W25" s="715">
        <f>J25</f>
        <v>100</v>
      </c>
      <c r="X25" s="3049"/>
      <c r="Y25" s="3552"/>
      <c r="Z25" s="3050" t="str">
        <f>Q25</f>
        <v>临街状况</v>
      </c>
      <c r="AA25" s="3053">
        <f t="shared" si="3"/>
        <v>1</v>
      </c>
      <c r="AB25" s="3053">
        <f t="shared" si="4"/>
        <v>1</v>
      </c>
      <c r="AC25" s="3053">
        <f t="shared" si="5"/>
        <v>1</v>
      </c>
    </row>
    <row r="26" spans="1:29" ht="15">
      <c r="A26" s="387"/>
      <c r="B26" s="1295" t="s">
        <v>2477</v>
      </c>
      <c r="C26" s="3256" t="s">
        <v>3533</v>
      </c>
      <c r="D26" s="394">
        <v>100</v>
      </c>
      <c r="E26" s="3256" t="s">
        <v>3534</v>
      </c>
      <c r="F26" s="420">
        <f>SUMIF(88:88,E26,89:89)-SUMIF(88:88,C26,89:89)+100</f>
        <v>105</v>
      </c>
      <c r="G26" s="3256" t="s">
        <v>3533</v>
      </c>
      <c r="H26" s="394">
        <f>SUMIF(88:88,G26,89:89)-SUMIF(88:88,C26,89:89)+100</f>
        <v>100</v>
      </c>
      <c r="I26" s="3256" t="s">
        <v>3533</v>
      </c>
      <c r="J26" s="394">
        <f>SUMIF(88:88,I26,89:89)-SUMIF(88:88,C26,89:89)+100</f>
        <v>100</v>
      </c>
      <c r="K26" s="570"/>
      <c r="L26" s="2939"/>
      <c r="M26" s="2933"/>
      <c r="N26" s="2933"/>
      <c r="O26" s="2933"/>
      <c r="P26" s="3550"/>
      <c r="Q26" s="3052" t="str">
        <f t="shared" si="11"/>
        <v>平面位置/可视性</v>
      </c>
      <c r="R26" s="714" t="s">
        <v>17</v>
      </c>
      <c r="S26" s="715">
        <f>F26</f>
        <v>105</v>
      </c>
      <c r="T26" s="714" t="s">
        <v>17</v>
      </c>
      <c r="U26" s="715">
        <f>H26</f>
        <v>100</v>
      </c>
      <c r="V26" s="714" t="s">
        <v>17</v>
      </c>
      <c r="W26" s="715">
        <f>J26</f>
        <v>100</v>
      </c>
      <c r="X26" s="3049"/>
      <c r="Y26" s="3552"/>
      <c r="Z26" s="3050" t="str">
        <f>Q26</f>
        <v>平面位置/可视性</v>
      </c>
      <c r="AA26" s="3053">
        <f t="shared" si="3"/>
        <v>0.95238095238095233</v>
      </c>
      <c r="AB26" s="3053">
        <f t="shared" si="4"/>
        <v>1</v>
      </c>
      <c r="AC26" s="3053">
        <f t="shared" si="5"/>
        <v>1</v>
      </c>
    </row>
    <row r="27" spans="1:29" s="113" customFormat="1" ht="15">
      <c r="A27" s="390"/>
      <c r="B27" s="410" t="s">
        <v>2478</v>
      </c>
      <c r="C27" s="2141" t="s">
        <v>3244</v>
      </c>
      <c r="D27" s="421">
        <v>100</v>
      </c>
      <c r="E27" s="2141" t="s">
        <v>3244</v>
      </c>
      <c r="F27" s="423">
        <f>SUMIF(90:90,E27,91:91)-SUMIF(90:90,C27,91:91)+100</f>
        <v>100</v>
      </c>
      <c r="G27" s="2141" t="s">
        <v>3244</v>
      </c>
      <c r="H27" s="421">
        <f>SUMIF(90:90,G27,91:91)-SUMIF(90:90,C27,91:91)+100</f>
        <v>100</v>
      </c>
      <c r="I27" s="2141" t="s">
        <v>3525</v>
      </c>
      <c r="J27" s="421">
        <f>SUMIF(90:90,I27,91:91)-SUMIF(90:90,C27,91:91)+100</f>
        <v>105</v>
      </c>
      <c r="K27" s="569">
        <f>'比较法-商业租金'!K27</f>
        <v>5</v>
      </c>
      <c r="L27" s="2934"/>
      <c r="M27" s="2935"/>
      <c r="N27" s="2935"/>
      <c r="O27" s="2935"/>
      <c r="P27" s="3550"/>
      <c r="Q27" s="3048" t="str">
        <f t="shared" si="11"/>
        <v>人流量</v>
      </c>
      <c r="R27" s="710" t="s">
        <v>17</v>
      </c>
      <c r="S27" s="711">
        <f>F27</f>
        <v>100</v>
      </c>
      <c r="T27" s="710" t="s">
        <v>17</v>
      </c>
      <c r="U27" s="711">
        <f>H27</f>
        <v>100</v>
      </c>
      <c r="V27" s="710" t="s">
        <v>17</v>
      </c>
      <c r="W27" s="711">
        <f>J27</f>
        <v>105</v>
      </c>
      <c r="X27" s="712"/>
      <c r="Y27" s="3552"/>
      <c r="Z27" s="3047" t="str">
        <f>Q27</f>
        <v>人流量</v>
      </c>
      <c r="AA27" s="3053">
        <f>D27/F27</f>
        <v>1</v>
      </c>
      <c r="AB27" s="3053">
        <f>D27/H27</f>
        <v>1</v>
      </c>
      <c r="AC27" s="3053">
        <f>D27/J27</f>
        <v>0.95238095238095233</v>
      </c>
    </row>
    <row r="28" spans="1:29" ht="15.75" thickBot="1">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50"/>
      <c r="Q28" s="3052" t="str">
        <f t="shared" si="11"/>
        <v>楼层</v>
      </c>
      <c r="R28" s="714" t="s">
        <v>17</v>
      </c>
      <c r="S28" s="715">
        <f t="shared" ref="S28:S46" si="12">F28</f>
        <v>100</v>
      </c>
      <c r="T28" s="714" t="s">
        <v>17</v>
      </c>
      <c r="U28" s="715">
        <f t="shared" ref="U28:U46" si="13">H28</f>
        <v>100</v>
      </c>
      <c r="V28" s="714" t="s">
        <v>17</v>
      </c>
      <c r="W28" s="715">
        <f t="shared" ref="W28:W46" si="14">J28</f>
        <v>100</v>
      </c>
      <c r="X28" s="3049"/>
      <c r="Y28" s="3552"/>
      <c r="Z28" s="3050" t="str">
        <f t="shared" ref="Z28:Z46" si="15">Q28</f>
        <v>楼层</v>
      </c>
      <c r="AA28" s="3053">
        <f t="shared" si="3"/>
        <v>1</v>
      </c>
      <c r="AB28" s="3053">
        <f t="shared" si="4"/>
        <v>1</v>
      </c>
      <c r="AC28" s="3053">
        <f t="shared" si="5"/>
        <v>1</v>
      </c>
    </row>
    <row r="29" spans="1:29" ht="15" hidden="1">
      <c r="A29" s="387"/>
      <c r="B29" s="3130"/>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0"/>
      <c r="Q29" s="3052">
        <f t="shared" si="11"/>
        <v>0</v>
      </c>
      <c r="R29" s="714" t="s">
        <v>17</v>
      </c>
      <c r="S29" s="715">
        <f t="shared" si="12"/>
        <v>100</v>
      </c>
      <c r="T29" s="714" t="s">
        <v>17</v>
      </c>
      <c r="U29" s="715">
        <f t="shared" si="13"/>
        <v>100</v>
      </c>
      <c r="V29" s="714" t="s">
        <v>17</v>
      </c>
      <c r="W29" s="715">
        <f t="shared" si="14"/>
        <v>100</v>
      </c>
      <c r="X29" s="3049"/>
      <c r="Y29" s="3552"/>
      <c r="Z29" s="3050">
        <f t="shared" si="15"/>
        <v>0</v>
      </c>
      <c r="AA29" s="3053">
        <f t="shared" si="3"/>
        <v>1</v>
      </c>
      <c r="AB29" s="3053">
        <f t="shared" si="4"/>
        <v>1</v>
      </c>
      <c r="AC29" s="3053">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0"/>
      <c r="Q30" s="3052">
        <f t="shared" si="11"/>
        <v>111</v>
      </c>
      <c r="R30" s="714" t="s">
        <v>17</v>
      </c>
      <c r="S30" s="715">
        <f t="shared" si="12"/>
        <v>100</v>
      </c>
      <c r="T30" s="714" t="s">
        <v>17</v>
      </c>
      <c r="U30" s="715">
        <f t="shared" si="13"/>
        <v>100</v>
      </c>
      <c r="V30" s="714" t="s">
        <v>17</v>
      </c>
      <c r="W30" s="715">
        <f t="shared" si="14"/>
        <v>100</v>
      </c>
      <c r="X30" s="3049"/>
      <c r="Y30" s="3552"/>
      <c r="Z30" s="3050">
        <f t="shared" si="15"/>
        <v>111</v>
      </c>
      <c r="AA30" s="3053">
        <f t="shared" si="3"/>
        <v>1</v>
      </c>
      <c r="AB30" s="3053">
        <f t="shared" si="4"/>
        <v>1</v>
      </c>
      <c r="AC30" s="3053">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0"/>
      <c r="Q31" s="3052">
        <f t="shared" si="11"/>
        <v>111</v>
      </c>
      <c r="R31" s="714" t="s">
        <v>17</v>
      </c>
      <c r="S31" s="715">
        <f t="shared" si="12"/>
        <v>100</v>
      </c>
      <c r="T31" s="714" t="s">
        <v>17</v>
      </c>
      <c r="U31" s="715">
        <f t="shared" si="13"/>
        <v>100</v>
      </c>
      <c r="V31" s="714" t="s">
        <v>17</v>
      </c>
      <c r="W31" s="715">
        <f t="shared" si="14"/>
        <v>100</v>
      </c>
      <c r="X31" s="3049"/>
      <c r="Y31" s="3552"/>
      <c r="Z31" s="3050">
        <f t="shared" si="15"/>
        <v>111</v>
      </c>
      <c r="AA31" s="3053">
        <f t="shared" si="3"/>
        <v>1</v>
      </c>
      <c r="AB31" s="3053">
        <f t="shared" si="4"/>
        <v>1</v>
      </c>
      <c r="AC31" s="3053">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f>'比较法-商业租金'!K32</f>
        <v>5</v>
      </c>
      <c r="L32" s="2939"/>
      <c r="M32" s="2933"/>
      <c r="N32" s="2933"/>
      <c r="O32" s="2933"/>
      <c r="P32" s="3553" t="s">
        <v>2385</v>
      </c>
      <c r="Q32" s="3052" t="str">
        <f t="shared" si="11"/>
        <v>商业类型</v>
      </c>
      <c r="R32" s="714" t="s">
        <v>17</v>
      </c>
      <c r="S32" s="715">
        <f t="shared" si="12"/>
        <v>100</v>
      </c>
      <c r="T32" s="714" t="s">
        <v>17</v>
      </c>
      <c r="U32" s="715">
        <f t="shared" si="13"/>
        <v>100</v>
      </c>
      <c r="V32" s="714" t="s">
        <v>17</v>
      </c>
      <c r="W32" s="715">
        <f t="shared" si="14"/>
        <v>100</v>
      </c>
      <c r="X32" s="3049"/>
      <c r="Y32" s="3556" t="s">
        <v>2385</v>
      </c>
      <c r="Z32" s="3050" t="str">
        <f t="shared" si="15"/>
        <v>商业类型</v>
      </c>
      <c r="AA32" s="3053">
        <f t="shared" si="3"/>
        <v>1</v>
      </c>
      <c r="AB32" s="3053">
        <f t="shared" si="4"/>
        <v>1</v>
      </c>
      <c r="AC32" s="3053">
        <f t="shared" si="5"/>
        <v>1</v>
      </c>
    </row>
    <row r="33" spans="1:29" s="430" customFormat="1" ht="15">
      <c r="A33" s="427"/>
      <c r="B33" s="381" t="s">
        <v>2386</v>
      </c>
      <c r="C33" s="428">
        <f>面积表!G2</f>
        <v>146.99</v>
      </c>
      <c r="D33" s="132">
        <v>100</v>
      </c>
      <c r="E33" s="389">
        <f>售价案例!$L$7</f>
        <v>96</v>
      </c>
      <c r="F33" s="384">
        <f>LOOKUP(E33,103:103,104:104)-LOOKUP(C33,103:103,104:104)+100</f>
        <v>101</v>
      </c>
      <c r="G33" s="388">
        <f>售价案例!$L$37</f>
        <v>110</v>
      </c>
      <c r="H33" s="132">
        <f>LOOKUP(G33,103:103,104:104)-LOOKUP(C33,103:103,104:104)+100</f>
        <v>100</v>
      </c>
      <c r="I33" s="388">
        <f>售价案例!$L$64</f>
        <v>81</v>
      </c>
      <c r="J33" s="132">
        <f>LOOKUP(I33,103:103,104:104)-LOOKUP(C33,103:103,104:104)+100</f>
        <v>101</v>
      </c>
      <c r="K33" s="570"/>
      <c r="L33" s="2938"/>
      <c r="M33" s="2940"/>
      <c r="N33" s="2940"/>
      <c r="O33" s="2940"/>
      <c r="P33" s="3554"/>
      <c r="Q33" s="716" t="str">
        <f t="shared" si="11"/>
        <v>项目建筑规模</v>
      </c>
      <c r="R33" s="717" t="s">
        <v>17</v>
      </c>
      <c r="S33" s="718">
        <f t="shared" si="12"/>
        <v>101</v>
      </c>
      <c r="T33" s="717" t="s">
        <v>17</v>
      </c>
      <c r="U33" s="718">
        <f t="shared" si="13"/>
        <v>100</v>
      </c>
      <c r="V33" s="717" t="s">
        <v>17</v>
      </c>
      <c r="W33" s="718">
        <f t="shared" si="14"/>
        <v>101</v>
      </c>
      <c r="X33" s="719"/>
      <c r="Y33" s="3556"/>
      <c r="Z33" s="720" t="str">
        <f t="shared" si="15"/>
        <v>项目建筑规模</v>
      </c>
      <c r="AA33" s="3053">
        <f t="shared" si="3"/>
        <v>0.99009900990099009</v>
      </c>
      <c r="AB33" s="3053">
        <f t="shared" si="4"/>
        <v>1</v>
      </c>
      <c r="AC33" s="3053">
        <f t="shared" si="5"/>
        <v>0.99009900990099009</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f>'比较法-商业租金'!K34</f>
        <v>1</v>
      </c>
      <c r="L34" s="2939"/>
      <c r="M34" s="2933"/>
      <c r="N34" s="2933"/>
      <c r="O34" s="2933"/>
      <c r="P34" s="3554"/>
      <c r="Q34" s="3052" t="str">
        <f t="shared" si="11"/>
        <v>建筑结构</v>
      </c>
      <c r="R34" s="714" t="s">
        <v>17</v>
      </c>
      <c r="S34" s="715">
        <f t="shared" si="12"/>
        <v>100</v>
      </c>
      <c r="T34" s="714" t="s">
        <v>17</v>
      </c>
      <c r="U34" s="715">
        <f t="shared" si="13"/>
        <v>100</v>
      </c>
      <c r="V34" s="714" t="s">
        <v>17</v>
      </c>
      <c r="W34" s="715">
        <f t="shared" si="14"/>
        <v>100</v>
      </c>
      <c r="X34" s="3049"/>
      <c r="Y34" s="3556"/>
      <c r="Z34" s="3050" t="str">
        <f t="shared" si="15"/>
        <v>建筑结构</v>
      </c>
      <c r="AA34" s="3053">
        <f t="shared" si="3"/>
        <v>1</v>
      </c>
      <c r="AB34" s="3053">
        <f t="shared" si="4"/>
        <v>1</v>
      </c>
      <c r="AC34" s="3053">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f>'比较法-商业租金'!K35</f>
        <v>2</v>
      </c>
      <c r="L35" s="2939"/>
      <c r="M35" s="2933"/>
      <c r="N35" s="2933"/>
      <c r="O35" s="2933"/>
      <c r="P35" s="3554"/>
      <c r="Q35" s="3052" t="str">
        <f t="shared" si="11"/>
        <v>公共部分装修</v>
      </c>
      <c r="R35" s="714" t="s">
        <v>17</v>
      </c>
      <c r="S35" s="715">
        <f t="shared" si="12"/>
        <v>100</v>
      </c>
      <c r="T35" s="714" t="s">
        <v>17</v>
      </c>
      <c r="U35" s="715">
        <f t="shared" si="13"/>
        <v>100</v>
      </c>
      <c r="V35" s="714" t="s">
        <v>17</v>
      </c>
      <c r="W35" s="715">
        <f t="shared" si="14"/>
        <v>100</v>
      </c>
      <c r="X35" s="3049"/>
      <c r="Y35" s="3556"/>
      <c r="Z35" s="3050" t="str">
        <f t="shared" si="15"/>
        <v>公共部分装修</v>
      </c>
      <c r="AA35" s="3053">
        <f t="shared" si="3"/>
        <v>1</v>
      </c>
      <c r="AB35" s="3053">
        <f t="shared" si="4"/>
        <v>1</v>
      </c>
      <c r="AC35" s="3053">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f>'比较法-商业租金'!K36</f>
        <v>2</v>
      </c>
      <c r="L36" s="2939"/>
      <c r="M36" s="2933"/>
      <c r="N36" s="2933"/>
      <c r="O36" s="2933"/>
      <c r="P36" s="3554"/>
      <c r="Q36" s="3052" t="str">
        <f t="shared" si="11"/>
        <v>成新度</v>
      </c>
      <c r="R36" s="714" t="s">
        <v>17</v>
      </c>
      <c r="S36" s="715">
        <f t="shared" si="12"/>
        <v>100</v>
      </c>
      <c r="T36" s="714" t="s">
        <v>17</v>
      </c>
      <c r="U36" s="715">
        <f t="shared" si="13"/>
        <v>100</v>
      </c>
      <c r="V36" s="714" t="s">
        <v>17</v>
      </c>
      <c r="W36" s="715">
        <f t="shared" si="14"/>
        <v>100</v>
      </c>
      <c r="X36" s="3049"/>
      <c r="Y36" s="3556"/>
      <c r="Z36" s="3050" t="str">
        <f t="shared" si="15"/>
        <v>成新度</v>
      </c>
      <c r="AA36" s="3053">
        <f t="shared" si="3"/>
        <v>1</v>
      </c>
      <c r="AB36" s="3053">
        <f t="shared" si="4"/>
        <v>1</v>
      </c>
      <c r="AC36" s="3053">
        <f t="shared" si="5"/>
        <v>1</v>
      </c>
    </row>
    <row r="37" spans="1:29" s="113" customFormat="1" ht="15">
      <c r="A37" s="432"/>
      <c r="B37" s="381" t="s">
        <v>2483</v>
      </c>
      <c r="C37" s="3137" t="s">
        <v>3222</v>
      </c>
      <c r="D37" s="132">
        <v>100</v>
      </c>
      <c r="E37" s="3137" t="s">
        <v>3222</v>
      </c>
      <c r="F37" s="420">
        <f>SUMIF(112:112,E37,113:113)-SUMIF(112:112,C37,113:113)+100</f>
        <v>100</v>
      </c>
      <c r="G37" s="3137" t="s">
        <v>3222</v>
      </c>
      <c r="H37" s="394">
        <f>SUMIF(112:112,G37,113:113)-SUMIF(112:112,C37,113:113)+100</f>
        <v>100</v>
      </c>
      <c r="I37" s="3137" t="s">
        <v>3222</v>
      </c>
      <c r="J37" s="394">
        <f>SUMIF(112:112,I37,113:113)-SUMIF(112:112,C37,113:113)+100</f>
        <v>100</v>
      </c>
      <c r="K37" s="569">
        <f>'比较法-商业租金'!K37</f>
        <v>2</v>
      </c>
      <c r="L37" s="2934"/>
      <c r="M37" s="2935"/>
      <c r="N37" s="2935"/>
      <c r="O37" s="2935"/>
      <c r="P37" s="3554"/>
      <c r="Q37" s="3048" t="str">
        <f t="shared" si="11"/>
        <v>市政基础设施</v>
      </c>
      <c r="R37" s="710" t="s">
        <v>17</v>
      </c>
      <c r="S37" s="711">
        <f t="shared" si="12"/>
        <v>100</v>
      </c>
      <c r="T37" s="710" t="s">
        <v>17</v>
      </c>
      <c r="U37" s="711">
        <f t="shared" si="13"/>
        <v>100</v>
      </c>
      <c r="V37" s="710" t="s">
        <v>17</v>
      </c>
      <c r="W37" s="711">
        <f t="shared" si="14"/>
        <v>100</v>
      </c>
      <c r="X37" s="712"/>
      <c r="Y37" s="3556"/>
      <c r="Z37" s="3047"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54" t="s">
        <v>2385</v>
      </c>
      <c r="Q38" s="3052" t="str">
        <f t="shared" si="11"/>
        <v>业态</v>
      </c>
      <c r="R38" s="714" t="s">
        <v>17</v>
      </c>
      <c r="S38" s="715">
        <f t="shared" si="12"/>
        <v>100</v>
      </c>
      <c r="T38" s="714" t="s">
        <v>17</v>
      </c>
      <c r="U38" s="715">
        <f t="shared" si="13"/>
        <v>100</v>
      </c>
      <c r="V38" s="714" t="s">
        <v>17</v>
      </c>
      <c r="W38" s="715">
        <f t="shared" si="14"/>
        <v>100</v>
      </c>
      <c r="X38" s="3049"/>
      <c r="Y38" s="3556" t="s">
        <v>2385</v>
      </c>
      <c r="Z38" s="3050" t="str">
        <f t="shared" si="15"/>
        <v>业态</v>
      </c>
      <c r="AA38" s="3053">
        <f t="shared" si="3"/>
        <v>1</v>
      </c>
      <c r="AB38" s="3053">
        <f t="shared" si="4"/>
        <v>1</v>
      </c>
      <c r="AC38" s="3053">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f>'比较法-商业租金'!K39</f>
        <v>2</v>
      </c>
      <c r="L39" s="2939"/>
      <c r="M39" s="2933"/>
      <c r="N39" s="2933"/>
      <c r="O39" s="2933"/>
      <c r="P39" s="3554"/>
      <c r="Q39" s="3052" t="str">
        <f t="shared" si="11"/>
        <v>层高</v>
      </c>
      <c r="R39" s="714" t="s">
        <v>17</v>
      </c>
      <c r="S39" s="715">
        <f t="shared" si="12"/>
        <v>100</v>
      </c>
      <c r="T39" s="714" t="s">
        <v>17</v>
      </c>
      <c r="U39" s="715">
        <f t="shared" si="13"/>
        <v>100</v>
      </c>
      <c r="V39" s="714" t="s">
        <v>17</v>
      </c>
      <c r="W39" s="715">
        <f t="shared" si="14"/>
        <v>100</v>
      </c>
      <c r="X39" s="3049"/>
      <c r="Y39" s="3556"/>
      <c r="Z39" s="3050" t="str">
        <f t="shared" si="15"/>
        <v>层高</v>
      </c>
      <c r="AA39" s="3053">
        <f t="shared" si="3"/>
        <v>1</v>
      </c>
      <c r="AB39" s="3053">
        <f t="shared" si="4"/>
        <v>1</v>
      </c>
      <c r="AC39" s="3053">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54"/>
      <c r="Q40" s="3052" t="str">
        <f t="shared" si="11"/>
        <v>单套建筑面积</v>
      </c>
      <c r="R40" s="714" t="s">
        <v>17</v>
      </c>
      <c r="S40" s="715">
        <f t="shared" si="12"/>
        <v>100</v>
      </c>
      <c r="T40" s="714" t="s">
        <v>17</v>
      </c>
      <c r="U40" s="715">
        <f t="shared" si="13"/>
        <v>100</v>
      </c>
      <c r="V40" s="714" t="s">
        <v>17</v>
      </c>
      <c r="W40" s="715">
        <f t="shared" si="14"/>
        <v>100</v>
      </c>
      <c r="X40" s="3049"/>
      <c r="Y40" s="3556"/>
      <c r="Z40" s="3050" t="str">
        <f t="shared" si="15"/>
        <v>单套建筑面积</v>
      </c>
      <c r="AA40" s="3053">
        <f t="shared" si="3"/>
        <v>1</v>
      </c>
      <c r="AB40" s="3053">
        <f t="shared" si="4"/>
        <v>1</v>
      </c>
      <c r="AC40" s="3053">
        <f t="shared" si="5"/>
        <v>1</v>
      </c>
    </row>
    <row r="41" spans="1:29" s="430" customFormat="1" ht="15" hidden="1">
      <c r="A41" s="427"/>
      <c r="B41" s="305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54"/>
      <c r="Q41" s="716" t="str">
        <f t="shared" si="11"/>
        <v>进深比</v>
      </c>
      <c r="R41" s="717" t="s">
        <v>17</v>
      </c>
      <c r="S41" s="718">
        <f t="shared" si="12"/>
        <v>100</v>
      </c>
      <c r="T41" s="717" t="s">
        <v>17</v>
      </c>
      <c r="U41" s="718">
        <f t="shared" si="13"/>
        <v>100</v>
      </c>
      <c r="V41" s="717" t="s">
        <v>17</v>
      </c>
      <c r="W41" s="718">
        <f t="shared" si="14"/>
        <v>100</v>
      </c>
      <c r="X41" s="719"/>
      <c r="Y41" s="3556"/>
      <c r="Z41" s="720" t="str">
        <f t="shared" si="15"/>
        <v>进深比</v>
      </c>
      <c r="AA41" s="3053">
        <f t="shared" si="3"/>
        <v>1</v>
      </c>
      <c r="AB41" s="3053">
        <f t="shared" si="4"/>
        <v>1</v>
      </c>
      <c r="AC41" s="3053">
        <f t="shared" si="5"/>
        <v>1</v>
      </c>
    </row>
    <row r="42" spans="1:29" ht="15">
      <c r="A42" s="431"/>
      <c r="B42" s="381" t="s">
        <v>2488</v>
      </c>
      <c r="C42" s="2091" t="s">
        <v>3241</v>
      </c>
      <c r="D42" s="394">
        <v>100</v>
      </c>
      <c r="E42" s="2091" t="s">
        <v>3220</v>
      </c>
      <c r="F42" s="420">
        <f>SUMIF(122:122,E42,123:123)-SUMIF(122:122,C42,123:123)+100</f>
        <v>102</v>
      </c>
      <c r="G42" s="2091" t="s">
        <v>3241</v>
      </c>
      <c r="H42" s="394">
        <f>SUMIF(122:122,G42,123:123)-SUMIF(122:122,C42,123:123)+100</f>
        <v>100</v>
      </c>
      <c r="I42" s="2091" t="s">
        <v>3220</v>
      </c>
      <c r="J42" s="394">
        <f>SUMIF(122:122,I42,123:123)-SUMIF(122:122,C42,123:123)+100</f>
        <v>102</v>
      </c>
      <c r="K42" s="569">
        <f>'比较法-商业租金'!K42</f>
        <v>2</v>
      </c>
      <c r="L42" s="2939"/>
      <c r="M42" s="2933"/>
      <c r="N42" s="2933"/>
      <c r="O42" s="2933"/>
      <c r="P42" s="3554"/>
      <c r="Q42" s="3052" t="str">
        <f t="shared" si="11"/>
        <v>内部装修</v>
      </c>
      <c r="R42" s="714" t="s">
        <v>17</v>
      </c>
      <c r="S42" s="715">
        <f t="shared" si="12"/>
        <v>102</v>
      </c>
      <c r="T42" s="714" t="s">
        <v>17</v>
      </c>
      <c r="U42" s="715">
        <f t="shared" si="13"/>
        <v>100</v>
      </c>
      <c r="V42" s="714" t="s">
        <v>17</v>
      </c>
      <c r="W42" s="715">
        <f t="shared" si="14"/>
        <v>102</v>
      </c>
      <c r="X42" s="3049"/>
      <c r="Y42" s="3556"/>
      <c r="Z42" s="3050" t="str">
        <f t="shared" si="15"/>
        <v>内部装修</v>
      </c>
      <c r="AA42" s="3053">
        <f t="shared" si="3"/>
        <v>0.98039215686274506</v>
      </c>
      <c r="AB42" s="3053">
        <f t="shared" si="4"/>
        <v>1</v>
      </c>
      <c r="AC42" s="3053">
        <f t="shared" si="5"/>
        <v>0.98039215686274506</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f>'比较法-商业租金'!K43</f>
        <v>2</v>
      </c>
      <c r="L43" s="2939"/>
      <c r="M43" s="2933"/>
      <c r="N43" s="2933"/>
      <c r="O43" s="2933"/>
      <c r="P43" s="3554"/>
      <c r="Q43" s="3052" t="str">
        <f t="shared" si="11"/>
        <v>内部装修维护情况</v>
      </c>
      <c r="R43" s="714" t="s">
        <v>17</v>
      </c>
      <c r="S43" s="715">
        <f t="shared" si="12"/>
        <v>100</v>
      </c>
      <c r="T43" s="714" t="s">
        <v>17</v>
      </c>
      <c r="U43" s="715">
        <f t="shared" si="13"/>
        <v>100</v>
      </c>
      <c r="V43" s="714" t="s">
        <v>17</v>
      </c>
      <c r="W43" s="715">
        <f t="shared" si="14"/>
        <v>100</v>
      </c>
      <c r="X43" s="3049"/>
      <c r="Y43" s="3556"/>
      <c r="Z43" s="3050" t="str">
        <f t="shared" si="15"/>
        <v>内部装修维护情况</v>
      </c>
      <c r="AA43" s="3053">
        <f t="shared" si="3"/>
        <v>1</v>
      </c>
      <c r="AB43" s="3053">
        <f t="shared" si="4"/>
        <v>1</v>
      </c>
      <c r="AC43" s="3053">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54"/>
      <c r="Q44" s="3048">
        <f t="shared" si="11"/>
        <v>111</v>
      </c>
      <c r="R44" s="710" t="s">
        <v>17</v>
      </c>
      <c r="S44" s="711">
        <f t="shared" si="12"/>
        <v>100</v>
      </c>
      <c r="T44" s="710" t="s">
        <v>17</v>
      </c>
      <c r="U44" s="711">
        <f t="shared" si="13"/>
        <v>100</v>
      </c>
      <c r="V44" s="710" t="s">
        <v>17</v>
      </c>
      <c r="W44" s="711">
        <f t="shared" si="14"/>
        <v>100</v>
      </c>
      <c r="X44" s="712"/>
      <c r="Y44" s="3556"/>
      <c r="Z44" s="3047">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54"/>
      <c r="Q45" s="3052">
        <f t="shared" si="11"/>
        <v>111</v>
      </c>
      <c r="R45" s="714" t="s">
        <v>17</v>
      </c>
      <c r="S45" s="715">
        <f t="shared" si="12"/>
        <v>100</v>
      </c>
      <c r="T45" s="714" t="s">
        <v>17</v>
      </c>
      <c r="U45" s="715">
        <f t="shared" si="13"/>
        <v>100</v>
      </c>
      <c r="V45" s="714" t="s">
        <v>17</v>
      </c>
      <c r="W45" s="715">
        <f t="shared" si="14"/>
        <v>100</v>
      </c>
      <c r="X45" s="3049"/>
      <c r="Y45" s="3556"/>
      <c r="Z45" s="3050">
        <f t="shared" si="15"/>
        <v>111</v>
      </c>
      <c r="AA45" s="3053">
        <f t="shared" si="3"/>
        <v>1</v>
      </c>
      <c r="AB45" s="3053">
        <f t="shared" si="4"/>
        <v>1</v>
      </c>
      <c r="AC45" s="3053">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55"/>
      <c r="Q46" s="3052">
        <f t="shared" si="11"/>
        <v>111</v>
      </c>
      <c r="R46" s="714" t="s">
        <v>17</v>
      </c>
      <c r="S46" s="715">
        <f t="shared" si="12"/>
        <v>100</v>
      </c>
      <c r="T46" s="714" t="s">
        <v>17</v>
      </c>
      <c r="U46" s="715">
        <f t="shared" si="13"/>
        <v>100</v>
      </c>
      <c r="V46" s="714" t="s">
        <v>17</v>
      </c>
      <c r="W46" s="715">
        <f t="shared" si="14"/>
        <v>100</v>
      </c>
      <c r="X46" s="3049"/>
      <c r="Y46" s="3557"/>
      <c r="Z46" s="3050">
        <f t="shared" si="15"/>
        <v>111</v>
      </c>
      <c r="AA46" s="3053">
        <f t="shared" si="3"/>
        <v>1</v>
      </c>
      <c r="AB46" s="3053">
        <f t="shared" si="4"/>
        <v>1</v>
      </c>
      <c r="AC46" s="3053">
        <f t="shared" si="5"/>
        <v>1</v>
      </c>
    </row>
    <row r="47" spans="1:29" ht="15">
      <c r="A47" s="438" t="s">
        <v>2397</v>
      </c>
      <c r="B47" s="439"/>
      <c r="C47" s="1316" t="s">
        <v>1</v>
      </c>
      <c r="D47" s="1317"/>
      <c r="E47" s="1318">
        <f>售价案例!$M$7</f>
        <v>50000</v>
      </c>
      <c r="F47" s="1319"/>
      <c r="G47" s="1320">
        <f>售价案例!$M$37</f>
        <v>50000</v>
      </c>
      <c r="H47" s="1321"/>
      <c r="I47" s="1318">
        <f>售价案例!$M$64</f>
        <v>51000</v>
      </c>
      <c r="J47" s="1321"/>
      <c r="K47" s="723"/>
      <c r="L47" s="2941"/>
      <c r="M47" s="2942"/>
      <c r="N47" s="2933"/>
      <c r="O47" s="2942"/>
      <c r="P47" s="3558" t="str">
        <f>A47</f>
        <v>成交单价（元/平方米）</v>
      </c>
      <c r="Q47" s="3558"/>
      <c r="R47" s="3544">
        <f>E47</f>
        <v>50000</v>
      </c>
      <c r="S47" s="3544"/>
      <c r="T47" s="3544">
        <f>G47</f>
        <v>50000</v>
      </c>
      <c r="U47" s="3544"/>
      <c r="V47" s="3544">
        <f>I47</f>
        <v>51000</v>
      </c>
      <c r="W47" s="3544"/>
      <c r="X47" s="699"/>
      <c r="Y47" s="721"/>
      <c r="Z47" s="699"/>
      <c r="AA47" s="699"/>
      <c r="AB47" s="699"/>
      <c r="AC47" s="699"/>
    </row>
    <row r="48" spans="1:29" ht="15.75" thickBot="1">
      <c r="A48" s="445" t="s">
        <v>2398</v>
      </c>
      <c r="B48" s="446"/>
      <c r="C48" s="1322">
        <f>R49</f>
        <v>42647</v>
      </c>
      <c r="D48" s="2528" t="s">
        <v>2878</v>
      </c>
      <c r="E48" s="1323">
        <f>R48</f>
        <v>44022</v>
      </c>
      <c r="F48" s="2529"/>
      <c r="G48" s="1322">
        <f>T48</f>
        <v>43192</v>
      </c>
      <c r="H48" s="2529"/>
      <c r="I48" s="1323">
        <f>V48</f>
        <v>40728</v>
      </c>
      <c r="J48" s="2529"/>
      <c r="K48" s="2531">
        <f>F48+H48+J48</f>
        <v>0</v>
      </c>
      <c r="L48" s="2941"/>
      <c r="M48" s="2942"/>
      <c r="N48" s="2933"/>
      <c r="O48" s="2942"/>
      <c r="P48" s="3558" t="str">
        <f>A48</f>
        <v>比较价值（元/平方米）</v>
      </c>
      <c r="Q48" s="3558"/>
      <c r="R48" s="3559">
        <f>IF(F1="售价",ROUND(PRODUCT(R47,AA7:AA46),0),ROUND(PRODUCT(R47,AA7:AA46),1))</f>
        <v>44022</v>
      </c>
      <c r="S48" s="3559"/>
      <c r="T48" s="3559">
        <f>IF(F1="售价",ROUND(PRODUCT(T47,AB7:AB46),0),ROUND(PRODUCT(T47,AB7:AB46),1))</f>
        <v>43192</v>
      </c>
      <c r="U48" s="3559"/>
      <c r="V48" s="3559">
        <f>IF(F1="售价",ROUND(PRODUCT(V47,AC7:AC46),0),ROUND(PRODUCT(V47,AC7:AC46),1))</f>
        <v>40728</v>
      </c>
      <c r="W48" s="3559"/>
      <c r="X48" s="699"/>
      <c r="Y48" s="699"/>
      <c r="Z48" s="699"/>
      <c r="AA48" s="699"/>
      <c r="AB48" s="699"/>
      <c r="AC48" s="699"/>
    </row>
    <row r="49" spans="1:29" ht="15.75" thickBot="1">
      <c r="A49" s="449" t="s">
        <v>2399</v>
      </c>
      <c r="B49" s="450"/>
      <c r="C49" s="1325">
        <f>R49</f>
        <v>42647</v>
      </c>
      <c r="D49" s="1325"/>
      <c r="E49" s="1325"/>
      <c r="F49" s="1325"/>
      <c r="G49" s="1325"/>
      <c r="H49" s="1325"/>
      <c r="I49" s="1325"/>
      <c r="J49" s="1325"/>
      <c r="K49" s="724"/>
      <c r="L49" s="2941"/>
      <c r="M49" s="2942"/>
      <c r="N49" s="2933"/>
      <c r="O49" s="2942"/>
      <c r="P49" s="3560" t="str">
        <f>A49</f>
        <v>估价对象XX用房的比较价值（楼面单价，元/平方米）</v>
      </c>
      <c r="Q49" s="3561"/>
      <c r="R49" s="3562">
        <f>IF(F1="售价",ROUND(IF(D48="简单平均",AVERAGE(R48:V48),R48*F48+T48*H48+V48*J48),0),ROUND(IF(D48="简单平均",AVERAGE(R48:V48),R48*F48+T48*H48+V48*J48),1))</f>
        <v>42647</v>
      </c>
      <c r="S49" s="3562"/>
      <c r="T49" s="3562"/>
      <c r="U49" s="3562"/>
      <c r="V49" s="3562"/>
      <c r="W49" s="3562"/>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0.13579573849438908</v>
      </c>
      <c r="F52" s="457" t="str">
        <f>IF(OR(E52&gt;=0.3,E52&lt;=-0.3),"超过30%","")</f>
        <v/>
      </c>
      <c r="G52" s="456">
        <f>IF(G47&lt;G48,G48/G47-1,G47/G48-1)</f>
        <v>0.15762178181144648</v>
      </c>
      <c r="H52" s="457" t="str">
        <f>IF(OR(G52&gt;=0.3,G52&lt;=-0.3),"超过30%","")</f>
        <v/>
      </c>
      <c r="I52" s="456">
        <f>IF(I47&lt;I48,I48/I47-1,I47/I48-1)</f>
        <v>0.25220978196817923</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1.9216521578069967E-2</v>
      </c>
      <c r="F53" s="457" t="str">
        <f>IF(OR(E53&gt;=0.2,E53&lt;=-0.2),"超过20%","")</f>
        <v/>
      </c>
      <c r="G53" s="456">
        <f>IF(G48&lt;I48,I48/G48-1,G48/I48-1)</f>
        <v>6.049891966214882E-2</v>
      </c>
      <c r="H53" s="457" t="str">
        <f>IF(OR(G53&gt;=0.2,G53&lt;=-0.2),"超过20%","")</f>
        <v/>
      </c>
      <c r="I53" s="456">
        <f>IF(I48&lt;E48,E48/I48-1,I48/E48-1)</f>
        <v>8.087802003535649E-2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v>
      </c>
      <c r="F54" s="457" t="str">
        <f>IF(OR(E54&gt;=0.3,E54&lt;=-0.3),"超过30%","")</f>
        <v/>
      </c>
      <c r="G54" s="456">
        <f>IF(G47&lt;I47,I47/G47-1,G47/I47-1)</f>
        <v>2.0000000000000018E-2</v>
      </c>
      <c r="H54" s="457" t="str">
        <f>IF(OR(G54&gt;=0.3,G54&lt;=-0.3),"超过30%","")</f>
        <v/>
      </c>
      <c r="I54" s="456">
        <f>IF(I47&lt;E47,E47/I47-1,I47/E47-1)</f>
        <v>2.0000000000000018E-2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3217</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f>'比较法-商业租金'!D62</f>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95</v>
      </c>
      <c r="E77" s="501">
        <f>D77-$K15</f>
        <v>90</v>
      </c>
      <c r="F77" s="501">
        <f>E77-$K15</f>
        <v>85</v>
      </c>
      <c r="G77" s="501">
        <f>F77-$K15</f>
        <v>80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95</v>
      </c>
      <c r="E79" s="501">
        <f>D79-$K17</f>
        <v>90</v>
      </c>
      <c r="F79" s="501">
        <f>E79-$K17</f>
        <v>85</v>
      </c>
      <c r="G79" s="501">
        <f>F79-$K17</f>
        <v>80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128" t="s">
        <v>3534</v>
      </c>
      <c r="D88" s="3128" t="s">
        <v>3533</v>
      </c>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v>100</v>
      </c>
      <c r="D89" s="493">
        <v>95</v>
      </c>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3532</v>
      </c>
      <c r="D90" s="3128" t="s">
        <v>3260</v>
      </c>
      <c r="E90" s="3128" t="s">
        <v>3529</v>
      </c>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3251</v>
      </c>
      <c r="D92" s="511" t="s">
        <v>3252</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0</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3258</v>
      </c>
      <c r="D100" s="3129" t="s">
        <v>3259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300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v>97</v>
      </c>
      <c r="G104" s="493">
        <v>96</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3253</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3254</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3255</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3254</v>
      </c>
      <c r="D122" s="3128" t="s">
        <v>3256</v>
      </c>
      <c r="E122" s="3128" t="s">
        <v>3257</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xr:uid="{00000000-0002-0000-1E00-000000000000}">
      <formula1>"简单平均,加权平均"</formula1>
    </dataValidation>
    <dataValidation type="list" allowBlank="1" showInputMessage="1" showErrorMessage="1" sqref="F2" xr:uid="{00000000-0002-0000-1E00-000001000000}">
      <formula1>估价方法</formula1>
    </dataValidation>
    <dataValidation type="list" allowBlank="1" showInputMessage="1" showErrorMessage="1" sqref="C2" xr:uid="{00000000-0002-0000-1E00-000002000000}">
      <formula1>"需扣减承租人权益,——"</formula1>
    </dataValidation>
    <dataValidation type="list" allowBlank="1" showInputMessage="1" showErrorMessage="1" sqref="F1" xr:uid="{00000000-0002-0000-1E00-000003000000}">
      <formula1>"售价,租金"</formula1>
    </dataValidation>
    <dataValidation type="list" allowBlank="1" showInputMessage="1" showErrorMessage="1" sqref="C22 E22 G22 I22" xr:uid="{00000000-0002-0000-1E00-000004000000}">
      <formula1>基础设施水平</formula1>
    </dataValidation>
    <dataValidation type="list" allowBlank="1" showInputMessage="1" showErrorMessage="1" sqref="C16 E16 G16 I16" xr:uid="{00000000-0002-0000-1E00-000005000000}">
      <formula1>商业繁华度</formula1>
    </dataValidation>
    <dataValidation type="list" allowBlank="1" showInputMessage="1" showErrorMessage="1" sqref="C8 E8 G8 I8" xr:uid="{00000000-0002-0000-1E00-000006000000}">
      <formula1>商业交易情况</formula1>
    </dataValidation>
    <dataValidation type="list" allowBlank="1" showInputMessage="1" showErrorMessage="1" sqref="C39 E39 G39 I39" xr:uid="{00000000-0002-0000-1E00-000007000000}">
      <formula1>商业层高</formula1>
    </dataValidation>
    <dataValidation type="list" allowBlank="1" showInputMessage="1" showErrorMessage="1" sqref="C38 E38 G38 I38" xr:uid="{00000000-0002-0000-1E00-000008000000}">
      <formula1>商业业态</formula1>
    </dataValidation>
    <dataValidation type="list" allowBlank="1" showInputMessage="1" showErrorMessage="1" sqref="E9 G9 I9" xr:uid="{00000000-0002-0000-1E00-000009000000}">
      <formula1>商业用途</formula1>
    </dataValidation>
    <dataValidation type="list" allowBlank="1" showInputMessage="1" showErrorMessage="1" sqref="C42 E42 G42 I42" xr:uid="{00000000-0002-0000-1E00-00000A000000}">
      <formula1>商业内部装修</formula1>
    </dataValidation>
    <dataValidation type="list" allowBlank="1" showInputMessage="1" showErrorMessage="1" sqref="C41 E41 G41 I41" xr:uid="{00000000-0002-0000-1E00-00000B000000}">
      <formula1>商业进深比</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35 E35 G35 I35" xr:uid="{00000000-0002-0000-1E00-00000D000000}">
      <formula1>商业公共部分装修</formula1>
    </dataValidation>
    <dataValidation type="list" allowBlank="1" showInputMessage="1" showErrorMessage="1" sqref="C34 E34 G34 I34" xr:uid="{00000000-0002-0000-1E00-00000E000000}">
      <formula1>商业建筑结构</formula1>
    </dataValidation>
    <dataValidation type="list" allowBlank="1" showInputMessage="1" showErrorMessage="1" sqref="C32 E32 G32 I32" xr:uid="{00000000-0002-0000-1E00-00000F000000}">
      <formula1>商业类型</formula1>
    </dataValidation>
    <dataValidation type="list" allowBlank="1" showInputMessage="1" showErrorMessage="1" sqref="C28 E28 G28 I28" xr:uid="{00000000-0002-0000-1E00-000010000000}">
      <formula1>商业楼层</formula1>
    </dataValidation>
    <dataValidation type="list" allowBlank="1" showInputMessage="1" showErrorMessage="1" sqref="C27 E27 G27 I27" xr:uid="{00000000-0002-0000-1E00-000011000000}">
      <formula1>商业人流量</formula1>
    </dataValidation>
    <dataValidation type="list" allowBlank="1" showInputMessage="1" showErrorMessage="1" sqref="C25 E25 G25 I25" xr:uid="{00000000-0002-0000-1E00-000012000000}">
      <formula1>商业临街状况</formula1>
    </dataValidation>
    <dataValidation type="list" allowBlank="1" showInputMessage="1" showErrorMessage="1" sqref="E24 G24 I24 C24" xr:uid="{00000000-0002-0000-1E00-000013000000}">
      <formula1>环境</formula1>
    </dataValidation>
    <dataValidation type="list" allowBlank="1" showInputMessage="1" showErrorMessage="1" sqref="E18 G18 I18 C18" xr:uid="{00000000-0002-0000-1E00-000014000000}">
      <formula1>交通便捷度</formula1>
    </dataValidation>
    <dataValidation type="list" allowBlank="1" showInputMessage="1" showErrorMessage="1" sqref="E20 I20 G20 C20" xr:uid="{00000000-0002-0000-1E00-000015000000}">
      <formula1>公共配套设施</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1" xr:uid="{00000000-0002-0000-1E00-000017000000}">
      <formula1>项目类型</formula1>
    </dataValidation>
    <dataValidation type="list" allowBlank="1" showInputMessage="1" showErrorMessage="1" sqref="C10 E10 G10 I10" xr:uid="{00000000-0002-0000-1E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373.76</v>
      </c>
      <c r="E3" s="2139"/>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520" t="s">
        <v>2466</v>
      </c>
      <c r="D4" s="3521"/>
      <c r="E4" s="3522" t="s">
        <v>2467</v>
      </c>
      <c r="F4" s="3523"/>
      <c r="G4" s="3520" t="s">
        <v>2468</v>
      </c>
      <c r="H4" s="3521"/>
      <c r="I4" s="3520" t="s">
        <v>2469</v>
      </c>
      <c r="J4" s="3521"/>
      <c r="K4" s="567" t="s">
        <v>2470</v>
      </c>
      <c r="L4" s="2932"/>
      <c r="M4" s="2933"/>
      <c r="N4" s="2933"/>
      <c r="O4" s="2933"/>
      <c r="P4" s="3599" t="s">
        <v>2471</v>
      </c>
      <c r="Q4" s="3600"/>
      <c r="R4" s="3594" t="s">
        <v>2467</v>
      </c>
      <c r="S4" s="3595"/>
      <c r="T4" s="3594" t="s">
        <v>2468</v>
      </c>
      <c r="U4" s="3595"/>
      <c r="V4" s="3603" t="s">
        <v>2469</v>
      </c>
      <c r="W4" s="3603"/>
      <c r="X4" s="2143"/>
      <c r="Y4" s="3594" t="s">
        <v>2471</v>
      </c>
      <c r="Z4" s="3595"/>
      <c r="AA4" s="3593" t="s">
        <v>2467</v>
      </c>
      <c r="AB4" s="3593" t="s">
        <v>2468</v>
      </c>
      <c r="AC4" s="3596" t="s">
        <v>2469</v>
      </c>
    </row>
    <row r="5" spans="1:29" ht="15">
      <c r="A5" s="364"/>
      <c r="B5" s="365"/>
      <c r="C5" s="3592" t="s">
        <v>2362</v>
      </c>
      <c r="D5" s="3535"/>
      <c r="E5" s="3591" t="s">
        <v>2363</v>
      </c>
      <c r="F5" s="3537"/>
      <c r="G5" s="3592" t="s">
        <v>2364</v>
      </c>
      <c r="H5" s="3535"/>
      <c r="I5" s="3592" t="s">
        <v>2365</v>
      </c>
      <c r="J5" s="3535"/>
      <c r="K5" s="567"/>
      <c r="L5" s="2932"/>
      <c r="M5" s="2933"/>
      <c r="N5" s="2933"/>
      <c r="O5" s="2933"/>
      <c r="P5" s="3601"/>
      <c r="Q5" s="3527"/>
      <c r="R5" s="3532"/>
      <c r="S5" s="3533"/>
      <c r="T5" s="3532"/>
      <c r="U5" s="3533"/>
      <c r="V5" s="3544"/>
      <c r="W5" s="3544"/>
      <c r="X5" s="1539"/>
      <c r="Y5" s="3532"/>
      <c r="Z5" s="3533"/>
      <c r="AA5" s="3518"/>
      <c r="AB5" s="3518"/>
      <c r="AC5" s="3597"/>
    </row>
    <row r="6" spans="1:29" ht="15.75" thickBot="1">
      <c r="A6" s="366"/>
      <c r="B6" s="367"/>
      <c r="C6" s="3538" t="s">
        <v>2366</v>
      </c>
      <c r="D6" s="3539"/>
      <c r="E6" s="3540" t="s">
        <v>2366</v>
      </c>
      <c r="F6" s="3541"/>
      <c r="G6" s="3538" t="s">
        <v>2366</v>
      </c>
      <c r="H6" s="3539"/>
      <c r="I6" s="3538" t="s">
        <v>2366</v>
      </c>
      <c r="J6" s="3539"/>
      <c r="K6" s="567" t="s">
        <v>2367</v>
      </c>
      <c r="L6" s="2932"/>
      <c r="M6" s="2933"/>
      <c r="N6" s="2933"/>
      <c r="O6" s="2933"/>
      <c r="P6" s="3602"/>
      <c r="Q6" s="3529"/>
      <c r="R6" s="3532"/>
      <c r="S6" s="3533"/>
      <c r="T6" s="3542"/>
      <c r="U6" s="3543"/>
      <c r="V6" s="3544"/>
      <c r="W6" s="3544"/>
      <c r="X6" s="1539"/>
      <c r="Y6" s="3542"/>
      <c r="Z6" s="3543"/>
      <c r="AA6" s="3519"/>
      <c r="AB6" s="3519"/>
      <c r="AC6" s="3598"/>
    </row>
    <row r="7" spans="1:29" s="113" customFormat="1" ht="15.75" thickBot="1">
      <c r="A7" s="368" t="s">
        <v>2368</v>
      </c>
      <c r="B7" s="369"/>
      <c r="C7" s="370">
        <f>'数据-取费表'!B2</f>
        <v>44775</v>
      </c>
      <c r="D7" s="371">
        <v>100</v>
      </c>
      <c r="E7" s="372"/>
      <c r="F7" s="373">
        <f>SUMIF(59:59,YEAR(E7)&amp;"-"&amp;MONTH(E7),60:60)</f>
        <v>0</v>
      </c>
      <c r="G7" s="372"/>
      <c r="H7" s="371">
        <f>SUMIF(59:59,YEAR(G7)&amp;"-"&amp;MONTH(G7),60:60)</f>
        <v>0</v>
      </c>
      <c r="I7" s="372"/>
      <c r="J7" s="371">
        <f>SUMIF(59:59,YEAR(I7)&amp;"-"&amp;MONTH(I7),60:60)</f>
        <v>0</v>
      </c>
      <c r="K7" s="568"/>
      <c r="L7" s="2934"/>
      <c r="M7" s="2935"/>
      <c r="N7" s="2935"/>
      <c r="O7" s="2935"/>
      <c r="P7" s="3604" t="s">
        <v>2369</v>
      </c>
      <c r="Q7" s="3546"/>
      <c r="R7" s="710" t="s">
        <v>17</v>
      </c>
      <c r="S7" s="711">
        <f t="shared" ref="S7:S15" si="0">F7</f>
        <v>0</v>
      </c>
      <c r="T7" s="710" t="s">
        <v>17</v>
      </c>
      <c r="U7" s="711">
        <f t="shared" ref="U7:U15" si="1">H7</f>
        <v>0</v>
      </c>
      <c r="V7" s="710" t="s">
        <v>17</v>
      </c>
      <c r="W7" s="711">
        <f t="shared" ref="W7:W15" si="2">J7</f>
        <v>0</v>
      </c>
      <c r="X7" s="712"/>
      <c r="Y7" s="3545" t="s">
        <v>2369</v>
      </c>
      <c r="Z7" s="3547"/>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604" t="s">
        <v>2372</v>
      </c>
      <c r="Q8" s="3547"/>
      <c r="R8" s="710" t="s">
        <v>17</v>
      </c>
      <c r="S8" s="711">
        <f t="shared" si="0"/>
        <v>0</v>
      </c>
      <c r="T8" s="710" t="s">
        <v>17</v>
      </c>
      <c r="U8" s="711">
        <f t="shared" si="1"/>
        <v>0</v>
      </c>
      <c r="V8" s="710" t="s">
        <v>17</v>
      </c>
      <c r="W8" s="711">
        <f t="shared" si="2"/>
        <v>0</v>
      </c>
      <c r="X8" s="712"/>
      <c r="Y8" s="3545" t="s">
        <v>2372</v>
      </c>
      <c r="Z8" s="3547"/>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548" t="s">
        <v>2375</v>
      </c>
      <c r="Q9" s="1527" t="str">
        <f t="shared" ref="Q9:Q15" si="6">B9</f>
        <v>用途</v>
      </c>
      <c r="R9" s="710" t="s">
        <v>17</v>
      </c>
      <c r="S9" s="711">
        <f t="shared" si="0"/>
        <v>100</v>
      </c>
      <c r="T9" s="710" t="s">
        <v>17</v>
      </c>
      <c r="U9" s="711">
        <f t="shared" si="1"/>
        <v>100</v>
      </c>
      <c r="V9" s="710" t="s">
        <v>17</v>
      </c>
      <c r="W9" s="711">
        <f t="shared" si="2"/>
        <v>100</v>
      </c>
      <c r="X9" s="712"/>
      <c r="Y9" s="3427"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548"/>
      <c r="Q10" s="1527" t="str">
        <f t="shared" si="6"/>
        <v>土地使用年限（年）</v>
      </c>
      <c r="R10" s="710" t="s">
        <v>17</v>
      </c>
      <c r="S10" s="711">
        <f t="shared" si="0"/>
        <v>100</v>
      </c>
      <c r="T10" s="710" t="s">
        <v>17</v>
      </c>
      <c r="U10" s="711">
        <f t="shared" si="1"/>
        <v>100</v>
      </c>
      <c r="V10" s="710" t="s">
        <v>17</v>
      </c>
      <c r="W10" s="711">
        <f t="shared" si="2"/>
        <v>100</v>
      </c>
      <c r="X10" s="712"/>
      <c r="Y10" s="3427"/>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548"/>
      <c r="Q11" s="1527" t="str">
        <f t="shared" si="6"/>
        <v>容积率</v>
      </c>
      <c r="R11" s="710" t="s">
        <v>17</v>
      </c>
      <c r="S11" s="711" t="e">
        <f t="shared" si="0"/>
        <v>#N/A</v>
      </c>
      <c r="T11" s="710" t="s">
        <v>17</v>
      </c>
      <c r="U11" s="711" t="e">
        <f t="shared" si="1"/>
        <v>#N/A</v>
      </c>
      <c r="V11" s="710" t="s">
        <v>17</v>
      </c>
      <c r="W11" s="711" t="e">
        <f t="shared" si="2"/>
        <v>#N/A</v>
      </c>
      <c r="X11" s="712"/>
      <c r="Y11" s="3427"/>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4"/>
      <c r="M12" s="2935"/>
      <c r="N12" s="2935"/>
      <c r="O12" s="2935"/>
      <c r="P12" s="3548"/>
      <c r="Q12" s="1527">
        <f t="shared" si="6"/>
        <v>111</v>
      </c>
      <c r="R12" s="710" t="s">
        <v>17</v>
      </c>
      <c r="S12" s="711">
        <f t="shared" si="0"/>
        <v>100</v>
      </c>
      <c r="T12" s="710" t="s">
        <v>17</v>
      </c>
      <c r="U12" s="711">
        <f t="shared" si="1"/>
        <v>100</v>
      </c>
      <c r="V12" s="710" t="s">
        <v>17</v>
      </c>
      <c r="W12" s="711">
        <f t="shared" si="2"/>
        <v>100</v>
      </c>
      <c r="X12" s="712"/>
      <c r="Y12" s="3427"/>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9"/>
      <c r="M13" s="2933"/>
      <c r="N13" s="2933"/>
      <c r="O13" s="2933"/>
      <c r="P13" s="3548"/>
      <c r="Q13" s="1527">
        <f t="shared" si="6"/>
        <v>111</v>
      </c>
      <c r="R13" s="710" t="s">
        <v>17</v>
      </c>
      <c r="S13" s="711">
        <f t="shared" si="0"/>
        <v>100</v>
      </c>
      <c r="T13" s="710" t="s">
        <v>17</v>
      </c>
      <c r="U13" s="711">
        <f t="shared" si="1"/>
        <v>100</v>
      </c>
      <c r="V13" s="710" t="s">
        <v>17</v>
      </c>
      <c r="W13" s="711">
        <f t="shared" si="2"/>
        <v>100</v>
      </c>
      <c r="X13" s="712"/>
      <c r="Y13" s="3427"/>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9"/>
      <c r="M14" s="2933"/>
      <c r="N14" s="2933"/>
      <c r="O14" s="2933"/>
      <c r="P14" s="3548"/>
      <c r="Q14" s="1527">
        <f t="shared" si="6"/>
        <v>111</v>
      </c>
      <c r="R14" s="710" t="s">
        <v>17</v>
      </c>
      <c r="S14" s="711">
        <f t="shared" si="0"/>
        <v>100</v>
      </c>
      <c r="T14" s="710" t="s">
        <v>17</v>
      </c>
      <c r="U14" s="711">
        <f t="shared" si="1"/>
        <v>100</v>
      </c>
      <c r="V14" s="710" t="s">
        <v>17</v>
      </c>
      <c r="W14" s="711">
        <f t="shared" si="2"/>
        <v>100</v>
      </c>
      <c r="X14" s="712"/>
      <c r="Y14" s="3427"/>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549" t="s">
        <v>2380</v>
      </c>
      <c r="Q15" s="1536" t="str">
        <f t="shared" si="6"/>
        <v>办公集聚程度</v>
      </c>
      <c r="R15" s="714" t="s">
        <v>17</v>
      </c>
      <c r="S15" s="715">
        <f t="shared" si="0"/>
        <v>100</v>
      </c>
      <c r="T15" s="714" t="s">
        <v>17</v>
      </c>
      <c r="U15" s="715">
        <f t="shared" si="1"/>
        <v>100</v>
      </c>
      <c r="V15" s="714" t="s">
        <v>17</v>
      </c>
      <c r="W15" s="715">
        <f t="shared" si="2"/>
        <v>100</v>
      </c>
      <c r="X15" s="1539"/>
      <c r="Y15" s="3551"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39"/>
      <c r="M16" s="2933"/>
      <c r="N16" s="2933"/>
      <c r="O16" s="2933"/>
      <c r="P16" s="3550"/>
      <c r="Q16" s="1536"/>
      <c r="R16" s="714"/>
      <c r="S16" s="715"/>
      <c r="T16" s="714"/>
      <c r="U16" s="715"/>
      <c r="V16" s="714"/>
      <c r="W16" s="715"/>
      <c r="X16" s="1539"/>
      <c r="Y16" s="3552"/>
      <c r="Z16" s="1540"/>
      <c r="AA16" s="1537">
        <v>1</v>
      </c>
      <c r="AB16" s="1537">
        <v>1</v>
      </c>
      <c r="AC16" s="2147">
        <v>1</v>
      </c>
    </row>
    <row r="17" spans="1:29" ht="128.25">
      <c r="A17" s="387"/>
      <c r="B17" s="587" t="s">
        <v>1944</v>
      </c>
      <c r="C17" s="2148"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550"/>
      <c r="Q17" s="1536" t="str">
        <f>B17</f>
        <v>交通便捷度</v>
      </c>
      <c r="R17" s="714" t="s">
        <v>17</v>
      </c>
      <c r="S17" s="715">
        <f>F17</f>
        <v>100</v>
      </c>
      <c r="T17" s="714" t="s">
        <v>17</v>
      </c>
      <c r="U17" s="715">
        <f>H17</f>
        <v>100</v>
      </c>
      <c r="V17" s="714" t="s">
        <v>17</v>
      </c>
      <c r="W17" s="715">
        <f>J17</f>
        <v>100</v>
      </c>
      <c r="X17" s="1539"/>
      <c r="Y17" s="3552"/>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39"/>
      <c r="M18" s="2933"/>
      <c r="N18" s="2933"/>
      <c r="O18" s="2933"/>
      <c r="P18" s="3550"/>
      <c r="Q18" s="1536"/>
      <c r="R18" s="714"/>
      <c r="S18" s="715"/>
      <c r="T18" s="714"/>
      <c r="U18" s="715"/>
      <c r="V18" s="714"/>
      <c r="W18" s="715"/>
      <c r="X18" s="1539"/>
      <c r="Y18" s="3552"/>
      <c r="Z18" s="1540"/>
      <c r="AA18" s="1537">
        <v>1</v>
      </c>
      <c r="AB18" s="1537">
        <v>1</v>
      </c>
      <c r="AC18" s="2147">
        <v>1</v>
      </c>
    </row>
    <row r="19" spans="1:29" ht="285">
      <c r="A19" s="387"/>
      <c r="B19" s="587" t="s">
        <v>2508</v>
      </c>
      <c r="C19" s="2148"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550"/>
      <c r="Q19" s="1536" t="str">
        <f>B19</f>
        <v>公共配套设施</v>
      </c>
      <c r="R19" s="714" t="s">
        <v>17</v>
      </c>
      <c r="S19" s="715">
        <f>F19</f>
        <v>100</v>
      </c>
      <c r="T19" s="714" t="s">
        <v>17</v>
      </c>
      <c r="U19" s="715">
        <f>H19</f>
        <v>100</v>
      </c>
      <c r="V19" s="714" t="s">
        <v>17</v>
      </c>
      <c r="W19" s="715">
        <f>J19</f>
        <v>100</v>
      </c>
      <c r="X19" s="1539"/>
      <c r="Y19" s="3552"/>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39"/>
      <c r="M20" s="2933"/>
      <c r="N20" s="2933"/>
      <c r="O20" s="2933"/>
      <c r="P20" s="3550"/>
      <c r="Q20" s="1536"/>
      <c r="R20" s="714"/>
      <c r="S20" s="715"/>
      <c r="T20" s="714"/>
      <c r="U20" s="715"/>
      <c r="V20" s="714"/>
      <c r="W20" s="715"/>
      <c r="X20" s="1539"/>
      <c r="Y20" s="3552"/>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550"/>
      <c r="Q21" s="1536" t="str">
        <f>B21</f>
        <v>基础设施水平</v>
      </c>
      <c r="R21" s="714" t="s">
        <v>17</v>
      </c>
      <c r="S21" s="715">
        <f>F21</f>
        <v>100</v>
      </c>
      <c r="T21" s="714" t="s">
        <v>17</v>
      </c>
      <c r="U21" s="715">
        <f>H21</f>
        <v>100</v>
      </c>
      <c r="V21" s="714" t="s">
        <v>17</v>
      </c>
      <c r="W21" s="715">
        <f>J21</f>
        <v>100</v>
      </c>
      <c r="X21" s="1539"/>
      <c r="Y21" s="3552"/>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39"/>
      <c r="M22" s="2933"/>
      <c r="N22" s="2933"/>
      <c r="O22" s="2933"/>
      <c r="P22" s="3550"/>
      <c r="Q22" s="1536"/>
      <c r="R22" s="714"/>
      <c r="S22" s="715"/>
      <c r="T22" s="714"/>
      <c r="U22" s="715"/>
      <c r="V22" s="714"/>
      <c r="W22" s="715"/>
      <c r="X22" s="1539"/>
      <c r="Y22" s="3552"/>
      <c r="Z22" s="1540"/>
      <c r="AA22" s="1537">
        <v>1</v>
      </c>
      <c r="AB22" s="1537">
        <v>1</v>
      </c>
      <c r="AC22" s="2147">
        <v>1</v>
      </c>
    </row>
    <row r="23" spans="1:29" ht="128.25">
      <c r="A23" s="387"/>
      <c r="B23" s="587" t="s">
        <v>2510</v>
      </c>
      <c r="C23" s="2148"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550"/>
      <c r="Q23" s="1536" t="str">
        <f>B23</f>
        <v>环境质量</v>
      </c>
      <c r="R23" s="714" t="s">
        <v>17</v>
      </c>
      <c r="S23" s="715">
        <f>F23</f>
        <v>100</v>
      </c>
      <c r="T23" s="714" t="s">
        <v>17</v>
      </c>
      <c r="U23" s="715">
        <f>H23</f>
        <v>100</v>
      </c>
      <c r="V23" s="714" t="s">
        <v>17</v>
      </c>
      <c r="W23" s="715">
        <f>J23</f>
        <v>100</v>
      </c>
      <c r="X23" s="1539"/>
      <c r="Y23" s="3552"/>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39"/>
      <c r="M24" s="2933"/>
      <c r="N24" s="2933"/>
      <c r="O24" s="2933"/>
      <c r="P24" s="3550"/>
      <c r="Q24" s="1536"/>
      <c r="R24" s="714"/>
      <c r="S24" s="715"/>
      <c r="T24" s="714"/>
      <c r="U24" s="715"/>
      <c r="V24" s="714"/>
      <c r="W24" s="715"/>
      <c r="X24" s="1539"/>
      <c r="Y24" s="3552"/>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9"/>
      <c r="M25" s="2933"/>
      <c r="N25" s="2933"/>
      <c r="O25" s="2933"/>
      <c r="P25" s="3550"/>
      <c r="Q25" s="1536" t="str">
        <f>B25</f>
        <v>毗邻道路的类型与等级</v>
      </c>
      <c r="R25" s="714" t="s">
        <v>17</v>
      </c>
      <c r="S25" s="715">
        <f>F25</f>
        <v>100</v>
      </c>
      <c r="T25" s="714" t="s">
        <v>17</v>
      </c>
      <c r="U25" s="715">
        <f>H25</f>
        <v>100</v>
      </c>
      <c r="V25" s="714" t="s">
        <v>17</v>
      </c>
      <c r="W25" s="715">
        <f>J25</f>
        <v>100</v>
      </c>
      <c r="X25" s="1539"/>
      <c r="Y25" s="3552"/>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39"/>
      <c r="M26" s="2933"/>
      <c r="N26" s="2933"/>
      <c r="O26" s="2933"/>
      <c r="P26" s="3550"/>
      <c r="Q26" s="1536"/>
      <c r="R26" s="714"/>
      <c r="S26" s="715"/>
      <c r="T26" s="714"/>
      <c r="U26" s="715"/>
      <c r="V26" s="714"/>
      <c r="W26" s="715"/>
      <c r="X26" s="1539"/>
      <c r="Y26" s="3552"/>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550"/>
      <c r="Q27" s="1536" t="str">
        <f t="shared" ref="Q27:Q47" si="11">B27</f>
        <v>楼层</v>
      </c>
      <c r="R27" s="714" t="s">
        <v>17</v>
      </c>
      <c r="S27" s="715">
        <f>F27</f>
        <v>100</v>
      </c>
      <c r="T27" s="714" t="s">
        <v>17</v>
      </c>
      <c r="U27" s="715">
        <f>H27</f>
        <v>100</v>
      </c>
      <c r="V27" s="714" t="s">
        <v>17</v>
      </c>
      <c r="W27" s="715">
        <f>J27</f>
        <v>100</v>
      </c>
      <c r="X27" s="1539"/>
      <c r="Y27" s="3552"/>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4"/>
      <c r="M28" s="2935"/>
      <c r="N28" s="2935"/>
      <c r="O28" s="2935"/>
      <c r="P28" s="3550"/>
      <c r="Q28" s="1527" t="str">
        <f t="shared" si="11"/>
        <v>朝向</v>
      </c>
      <c r="R28" s="710" t="s">
        <v>17</v>
      </c>
      <c r="S28" s="711">
        <f>F28</f>
        <v>100</v>
      </c>
      <c r="T28" s="710" t="s">
        <v>17</v>
      </c>
      <c r="U28" s="711">
        <f>H28</f>
        <v>100</v>
      </c>
      <c r="V28" s="710" t="s">
        <v>17</v>
      </c>
      <c r="W28" s="711">
        <f>J28</f>
        <v>100</v>
      </c>
      <c r="X28" s="712"/>
      <c r="Y28" s="3552"/>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9"/>
      <c r="M29" s="2933"/>
      <c r="N29" s="2933"/>
      <c r="O29" s="2933"/>
      <c r="P29" s="3550"/>
      <c r="Q29" s="1536">
        <f t="shared" si="11"/>
        <v>111</v>
      </c>
      <c r="R29" s="714" t="s">
        <v>17</v>
      </c>
      <c r="S29" s="715">
        <f t="shared" ref="S29:S47" si="12">F29</f>
        <v>100</v>
      </c>
      <c r="T29" s="714" t="s">
        <v>17</v>
      </c>
      <c r="U29" s="715">
        <f t="shared" ref="U29:U47" si="13">H29</f>
        <v>100</v>
      </c>
      <c r="V29" s="714" t="s">
        <v>17</v>
      </c>
      <c r="W29" s="715">
        <f t="shared" ref="W29:W47" si="14">J29</f>
        <v>100</v>
      </c>
      <c r="X29" s="1539"/>
      <c r="Y29" s="3552"/>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9"/>
      <c r="M30" s="2933"/>
      <c r="N30" s="2933"/>
      <c r="O30" s="2933"/>
      <c r="P30" s="3550"/>
      <c r="Q30" s="1536">
        <f t="shared" si="11"/>
        <v>111</v>
      </c>
      <c r="R30" s="714" t="s">
        <v>17</v>
      </c>
      <c r="S30" s="715">
        <f t="shared" si="12"/>
        <v>100</v>
      </c>
      <c r="T30" s="714" t="s">
        <v>17</v>
      </c>
      <c r="U30" s="715">
        <f t="shared" si="13"/>
        <v>100</v>
      </c>
      <c r="V30" s="714" t="s">
        <v>17</v>
      </c>
      <c r="W30" s="715">
        <f t="shared" si="14"/>
        <v>100</v>
      </c>
      <c r="X30" s="1539"/>
      <c r="Y30" s="3552"/>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9"/>
      <c r="M31" s="2933"/>
      <c r="N31" s="2933"/>
      <c r="O31" s="2933"/>
      <c r="P31" s="3550"/>
      <c r="Q31" s="1536">
        <f t="shared" si="11"/>
        <v>111</v>
      </c>
      <c r="R31" s="714" t="s">
        <v>17</v>
      </c>
      <c r="S31" s="715">
        <f t="shared" si="12"/>
        <v>100</v>
      </c>
      <c r="T31" s="714" t="s">
        <v>17</v>
      </c>
      <c r="U31" s="715">
        <f t="shared" si="13"/>
        <v>100</v>
      </c>
      <c r="V31" s="714" t="s">
        <v>17</v>
      </c>
      <c r="W31" s="715">
        <f t="shared" si="14"/>
        <v>100</v>
      </c>
      <c r="X31" s="1539"/>
      <c r="Y31" s="3552"/>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9"/>
      <c r="M32" s="2933"/>
      <c r="N32" s="2933"/>
      <c r="O32" s="2933"/>
      <c r="P32" s="3550"/>
      <c r="Q32" s="1536">
        <f t="shared" si="11"/>
        <v>111</v>
      </c>
      <c r="R32" s="714" t="s">
        <v>17</v>
      </c>
      <c r="S32" s="715">
        <f t="shared" si="12"/>
        <v>100</v>
      </c>
      <c r="T32" s="714" t="s">
        <v>17</v>
      </c>
      <c r="U32" s="715">
        <f t="shared" si="13"/>
        <v>100</v>
      </c>
      <c r="V32" s="714" t="s">
        <v>17</v>
      </c>
      <c r="W32" s="715">
        <f t="shared" si="14"/>
        <v>100</v>
      </c>
      <c r="X32" s="1539"/>
      <c r="Y32" s="3552"/>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9"/>
      <c r="M33" s="2933"/>
      <c r="N33" s="2933"/>
      <c r="O33" s="2933"/>
      <c r="P33" s="3553" t="s">
        <v>2385</v>
      </c>
      <c r="Q33" s="1536" t="str">
        <f t="shared" si="11"/>
        <v>建筑类型</v>
      </c>
      <c r="R33" s="714" t="s">
        <v>17</v>
      </c>
      <c r="S33" s="715">
        <f t="shared" si="12"/>
        <v>100</v>
      </c>
      <c r="T33" s="714" t="s">
        <v>17</v>
      </c>
      <c r="U33" s="715">
        <f t="shared" si="13"/>
        <v>100</v>
      </c>
      <c r="V33" s="714" t="s">
        <v>17</v>
      </c>
      <c r="W33" s="715">
        <f t="shared" si="14"/>
        <v>100</v>
      </c>
      <c r="X33" s="1539"/>
      <c r="Y33" s="3556"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554"/>
      <c r="Q34" s="716" t="str">
        <f t="shared" si="11"/>
        <v>项目建筑规模</v>
      </c>
      <c r="R34" s="717" t="s">
        <v>17</v>
      </c>
      <c r="S34" s="718" t="e">
        <f t="shared" si="12"/>
        <v>#N/A</v>
      </c>
      <c r="T34" s="717" t="s">
        <v>17</v>
      </c>
      <c r="U34" s="718" t="e">
        <f t="shared" si="13"/>
        <v>#N/A</v>
      </c>
      <c r="V34" s="717" t="s">
        <v>17</v>
      </c>
      <c r="W34" s="718" t="e">
        <f t="shared" si="14"/>
        <v>#N/A</v>
      </c>
      <c r="X34" s="719"/>
      <c r="Y34" s="3556"/>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554"/>
      <c r="Q35" s="1536" t="str">
        <f t="shared" si="11"/>
        <v>建筑结构</v>
      </c>
      <c r="R35" s="714" t="s">
        <v>17</v>
      </c>
      <c r="S35" s="715">
        <f t="shared" si="12"/>
        <v>100</v>
      </c>
      <c r="T35" s="714" t="s">
        <v>17</v>
      </c>
      <c r="U35" s="715">
        <f t="shared" si="13"/>
        <v>100</v>
      </c>
      <c r="V35" s="714" t="s">
        <v>17</v>
      </c>
      <c r="W35" s="715">
        <f t="shared" si="14"/>
        <v>100</v>
      </c>
      <c r="X35" s="1539"/>
      <c r="Y35" s="3556"/>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554"/>
      <c r="Q36" s="1536" t="str">
        <f t="shared" si="11"/>
        <v>公共部分装修</v>
      </c>
      <c r="R36" s="714" t="s">
        <v>17</v>
      </c>
      <c r="S36" s="715">
        <f t="shared" si="12"/>
        <v>100</v>
      </c>
      <c r="T36" s="714" t="s">
        <v>17</v>
      </c>
      <c r="U36" s="715">
        <f t="shared" si="13"/>
        <v>100</v>
      </c>
      <c r="V36" s="714" t="s">
        <v>17</v>
      </c>
      <c r="W36" s="715">
        <f t="shared" si="14"/>
        <v>100</v>
      </c>
      <c r="X36" s="1539"/>
      <c r="Y36" s="3556"/>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554"/>
      <c r="Q37" s="1536" t="str">
        <f t="shared" si="11"/>
        <v>成新度</v>
      </c>
      <c r="R37" s="714" t="s">
        <v>17</v>
      </c>
      <c r="S37" s="715" t="e">
        <f t="shared" si="12"/>
        <v>#N/A</v>
      </c>
      <c r="T37" s="714" t="s">
        <v>17</v>
      </c>
      <c r="U37" s="715" t="e">
        <f t="shared" si="13"/>
        <v>#N/A</v>
      </c>
      <c r="V37" s="714" t="s">
        <v>17</v>
      </c>
      <c r="W37" s="715" t="e">
        <f t="shared" si="14"/>
        <v>#N/A</v>
      </c>
      <c r="X37" s="1539"/>
      <c r="Y37" s="3556"/>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554"/>
      <c r="Q38" s="1527" t="str">
        <f t="shared" si="11"/>
        <v>写字楼等级</v>
      </c>
      <c r="R38" s="710" t="s">
        <v>17</v>
      </c>
      <c r="S38" s="711">
        <f t="shared" si="12"/>
        <v>100</v>
      </c>
      <c r="T38" s="710" t="s">
        <v>17</v>
      </c>
      <c r="U38" s="711">
        <f t="shared" si="13"/>
        <v>100</v>
      </c>
      <c r="V38" s="710" t="s">
        <v>17</v>
      </c>
      <c r="W38" s="711">
        <f t="shared" si="14"/>
        <v>100</v>
      </c>
      <c r="X38" s="712"/>
      <c r="Y38" s="3556"/>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554" t="s">
        <v>2385</v>
      </c>
      <c r="Q39" s="1536" t="str">
        <f t="shared" si="11"/>
        <v>物业管理</v>
      </c>
      <c r="R39" s="714" t="s">
        <v>17</v>
      </c>
      <c r="S39" s="715">
        <f t="shared" si="12"/>
        <v>100</v>
      </c>
      <c r="T39" s="714" t="s">
        <v>17</v>
      </c>
      <c r="U39" s="715">
        <f t="shared" si="13"/>
        <v>100</v>
      </c>
      <c r="V39" s="714" t="s">
        <v>17</v>
      </c>
      <c r="W39" s="715">
        <f t="shared" si="14"/>
        <v>100</v>
      </c>
      <c r="X39" s="1539"/>
      <c r="Y39" s="3556"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554"/>
      <c r="Q40" s="1536" t="str">
        <f t="shared" si="11"/>
        <v>市政基础设施</v>
      </c>
      <c r="R40" s="714" t="s">
        <v>17</v>
      </c>
      <c r="S40" s="715">
        <f t="shared" si="12"/>
        <v>100</v>
      </c>
      <c r="T40" s="714" t="s">
        <v>17</v>
      </c>
      <c r="U40" s="715">
        <f t="shared" si="13"/>
        <v>100</v>
      </c>
      <c r="V40" s="714" t="s">
        <v>17</v>
      </c>
      <c r="W40" s="715">
        <f t="shared" si="14"/>
        <v>100</v>
      </c>
      <c r="X40" s="1539"/>
      <c r="Y40" s="3556"/>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554"/>
      <c r="Q41" s="1536" t="str">
        <f t="shared" si="11"/>
        <v>层高</v>
      </c>
      <c r="R41" s="714" t="s">
        <v>17</v>
      </c>
      <c r="S41" s="715">
        <f t="shared" si="12"/>
        <v>100</v>
      </c>
      <c r="T41" s="714" t="s">
        <v>17</v>
      </c>
      <c r="U41" s="715">
        <f t="shared" si="13"/>
        <v>100</v>
      </c>
      <c r="V41" s="714" t="s">
        <v>17</v>
      </c>
      <c r="W41" s="715">
        <f t="shared" si="14"/>
        <v>100</v>
      </c>
      <c r="X41" s="1539"/>
      <c r="Y41" s="3556"/>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554"/>
      <c r="Q42" s="716" t="str">
        <f t="shared" si="11"/>
        <v>单套建筑面积</v>
      </c>
      <c r="R42" s="717" t="s">
        <v>17</v>
      </c>
      <c r="S42" s="718">
        <f t="shared" si="12"/>
        <v>100</v>
      </c>
      <c r="T42" s="717" t="s">
        <v>17</v>
      </c>
      <c r="U42" s="718">
        <f t="shared" si="13"/>
        <v>100</v>
      </c>
      <c r="V42" s="717" t="s">
        <v>17</v>
      </c>
      <c r="W42" s="718">
        <f t="shared" si="14"/>
        <v>100</v>
      </c>
      <c r="X42" s="719"/>
      <c r="Y42" s="3556"/>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554"/>
      <c r="Q43" s="1536" t="str">
        <f t="shared" si="11"/>
        <v>内部装修</v>
      </c>
      <c r="R43" s="714" t="s">
        <v>17</v>
      </c>
      <c r="S43" s="715">
        <f t="shared" si="12"/>
        <v>100</v>
      </c>
      <c r="T43" s="714" t="s">
        <v>17</v>
      </c>
      <c r="U43" s="715">
        <f t="shared" si="13"/>
        <v>100</v>
      </c>
      <c r="V43" s="714" t="s">
        <v>17</v>
      </c>
      <c r="W43" s="715">
        <f t="shared" si="14"/>
        <v>100</v>
      </c>
      <c r="X43" s="1539"/>
      <c r="Y43" s="3556"/>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9"/>
      <c r="M44" s="2933"/>
      <c r="N44" s="2933"/>
      <c r="O44" s="2933"/>
      <c r="P44" s="3554"/>
      <c r="Q44" s="1536" t="str">
        <f t="shared" si="11"/>
        <v>内部装修维护情况</v>
      </c>
      <c r="R44" s="714" t="s">
        <v>17</v>
      </c>
      <c r="S44" s="715">
        <f t="shared" si="12"/>
        <v>100</v>
      </c>
      <c r="T44" s="714" t="s">
        <v>17</v>
      </c>
      <c r="U44" s="715">
        <f t="shared" si="13"/>
        <v>100</v>
      </c>
      <c r="V44" s="714" t="s">
        <v>17</v>
      </c>
      <c r="W44" s="715">
        <f t="shared" si="14"/>
        <v>100</v>
      </c>
      <c r="X44" s="1539"/>
      <c r="Y44" s="3556"/>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554"/>
      <c r="Q45" s="1527">
        <f t="shared" si="11"/>
        <v>111</v>
      </c>
      <c r="R45" s="710" t="s">
        <v>17</v>
      </c>
      <c r="S45" s="711">
        <f t="shared" si="12"/>
        <v>100</v>
      </c>
      <c r="T45" s="710" t="s">
        <v>17</v>
      </c>
      <c r="U45" s="711">
        <f t="shared" si="13"/>
        <v>100</v>
      </c>
      <c r="V45" s="710" t="s">
        <v>17</v>
      </c>
      <c r="W45" s="711">
        <f t="shared" si="14"/>
        <v>100</v>
      </c>
      <c r="X45" s="712"/>
      <c r="Y45" s="3556"/>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554"/>
      <c r="Q46" s="1536">
        <f t="shared" si="11"/>
        <v>111</v>
      </c>
      <c r="R46" s="714" t="s">
        <v>17</v>
      </c>
      <c r="S46" s="715">
        <f t="shared" si="12"/>
        <v>100</v>
      </c>
      <c r="T46" s="714" t="s">
        <v>17</v>
      </c>
      <c r="U46" s="715">
        <f t="shared" si="13"/>
        <v>100</v>
      </c>
      <c r="V46" s="714" t="s">
        <v>17</v>
      </c>
      <c r="W46" s="715">
        <f t="shared" si="14"/>
        <v>100</v>
      </c>
      <c r="X46" s="1539"/>
      <c r="Y46" s="3556"/>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555"/>
      <c r="Q47" s="1536">
        <f t="shared" si="11"/>
        <v>111</v>
      </c>
      <c r="R47" s="714" t="s">
        <v>17</v>
      </c>
      <c r="S47" s="715">
        <f t="shared" si="12"/>
        <v>100</v>
      </c>
      <c r="T47" s="714" t="s">
        <v>17</v>
      </c>
      <c r="U47" s="715">
        <f t="shared" si="13"/>
        <v>100</v>
      </c>
      <c r="V47" s="714" t="s">
        <v>17</v>
      </c>
      <c r="W47" s="715">
        <f t="shared" si="14"/>
        <v>100</v>
      </c>
      <c r="X47" s="1539"/>
      <c r="Y47" s="3557"/>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41"/>
      <c r="M48" s="2933"/>
      <c r="N48" s="2933"/>
      <c r="O48" s="2933"/>
      <c r="P48" s="3548" t="str">
        <f>A48</f>
        <v>成交单价（元/平方米）</v>
      </c>
      <c r="Q48" s="3558"/>
      <c r="R48" s="3559">
        <f>E48</f>
        <v>0</v>
      </c>
      <c r="S48" s="3559"/>
      <c r="T48" s="3559">
        <f>G48</f>
        <v>0</v>
      </c>
      <c r="U48" s="3559"/>
      <c r="V48" s="3559">
        <f>I48</f>
        <v>0</v>
      </c>
      <c r="W48" s="3559"/>
      <c r="X48" s="405"/>
      <c r="Y48" s="721"/>
      <c r="Z48" s="405"/>
      <c r="AA48" s="405"/>
      <c r="AB48" s="405"/>
      <c r="AC48" s="586"/>
    </row>
    <row r="49" spans="1:29" ht="15.75" thickBot="1">
      <c r="A49" s="445" t="s">
        <v>2489</v>
      </c>
      <c r="B49" s="446"/>
      <c r="C49" s="1322" t="e">
        <f>R50</f>
        <v>#DIV/0!</v>
      </c>
      <c r="D49" s="2528" t="s">
        <v>2878</v>
      </c>
      <c r="E49" s="1323" t="e">
        <f>R49</f>
        <v>#DIV/0!</v>
      </c>
      <c r="F49" s="2529"/>
      <c r="G49" s="1322" t="e">
        <f>T49</f>
        <v>#DIV/0!</v>
      </c>
      <c r="H49" s="2529"/>
      <c r="I49" s="1323" t="e">
        <f>V49</f>
        <v>#DIV/0!</v>
      </c>
      <c r="J49" s="2529"/>
      <c r="K49" s="2531">
        <f>F49+H49+J49</f>
        <v>0</v>
      </c>
      <c r="L49" s="2941"/>
      <c r="M49" s="2933"/>
      <c r="N49" s="2933"/>
      <c r="O49" s="2933"/>
      <c r="P49" s="3548" t="str">
        <f>A49</f>
        <v>比较价值（元/平方米）</v>
      </c>
      <c r="Q49" s="3558"/>
      <c r="R49" s="3559" t="e">
        <f>IF(F1="售价",ROUND(PRODUCT(R48,AA7:AA47),0),ROUND(PRODUCT(R48,AA7:AA47),1))</f>
        <v>#DIV/0!</v>
      </c>
      <c r="S49" s="3559"/>
      <c r="T49" s="3559" t="e">
        <f>IF(F1="售价",ROUND(PRODUCT(T48,AB7:AB47),0),ROUND(PRODUCT(T48,AB7:AB47),1))</f>
        <v>#DIV/0!</v>
      </c>
      <c r="U49" s="3559"/>
      <c r="V49" s="3559" t="e">
        <f>IF(F1="售价",ROUND(PRODUCT(V48,AC7:AC47),0),ROUND(PRODUCT(V48,AC7:AC47),1))</f>
        <v>#DIV/0!</v>
      </c>
      <c r="W49" s="3559"/>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1"/>
      <c r="M50" s="2933"/>
      <c r="N50" s="2933"/>
      <c r="O50" s="2933"/>
      <c r="P50" s="3605" t="str">
        <f>A50</f>
        <v>估价对象XX用房的比较价值（楼面单价，元/平方米）</v>
      </c>
      <c r="Q50" s="3606"/>
      <c r="R50" s="3607" t="e">
        <f>IF(F1="售价",ROUND(IF(D49="简单平均",AVERAGE(R49:V49),R49*F49+T49*H49+V49*J49),0),ROUND(IF(D49="简单平均",AVERAGE(R49:V49),R49*F49+T49*H49+V49*J49),1))</f>
        <v>#DIV/0!</v>
      </c>
      <c r="S50" s="3607"/>
      <c r="T50" s="3607"/>
      <c r="U50" s="3607"/>
      <c r="V50" s="3607"/>
      <c r="W50" s="3607"/>
      <c r="X50" s="2131"/>
      <c r="Y50" s="2131"/>
      <c r="Z50" s="2131"/>
      <c r="AA50" s="2131"/>
      <c r="AB50" s="2131"/>
      <c r="AC50" s="2132"/>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2022-8</v>
      </c>
      <c r="D59" s="1347">
        <f>EDATE(C59,-1)</f>
        <v>44743</v>
      </c>
      <c r="E59" s="1347">
        <f>EDATE(D59,-1)</f>
        <v>44713</v>
      </c>
      <c r="F59" s="1347">
        <f t="shared" ref="F59:O59" si="16">EDATE(E59,-1)</f>
        <v>44682</v>
      </c>
      <c r="G59" s="1347">
        <f t="shared" si="16"/>
        <v>44652</v>
      </c>
      <c r="H59" s="1347">
        <f t="shared" si="16"/>
        <v>44621</v>
      </c>
      <c r="I59" s="1347">
        <f t="shared" si="16"/>
        <v>44593</v>
      </c>
      <c r="J59" s="1347">
        <f t="shared" si="16"/>
        <v>44562</v>
      </c>
      <c r="K59" s="1347">
        <f t="shared" si="16"/>
        <v>44531</v>
      </c>
      <c r="L59" s="1347">
        <f t="shared" si="16"/>
        <v>44501</v>
      </c>
      <c r="M59" s="1347">
        <f t="shared" si="16"/>
        <v>44470</v>
      </c>
      <c r="N59" s="1347">
        <f t="shared" si="16"/>
        <v>44440</v>
      </c>
      <c r="O59" s="1347">
        <f t="shared" si="16"/>
        <v>44409</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3"/>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c r="D119" s="540"/>
      <c r="E119" s="540"/>
      <c r="F119" s="540"/>
      <c r="G119" s="540"/>
      <c r="H119" s="540"/>
      <c r="I119" s="540"/>
      <c r="J119" s="540"/>
      <c r="K119" s="540"/>
      <c r="L119" s="2153"/>
      <c r="M119" s="2154"/>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3"/>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373.76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520" t="s">
        <v>2466</v>
      </c>
      <c r="D4" s="3521"/>
      <c r="E4" s="3522" t="s">
        <v>2467</v>
      </c>
      <c r="F4" s="3523"/>
      <c r="G4" s="3520" t="s">
        <v>2468</v>
      </c>
      <c r="H4" s="3521"/>
      <c r="I4" s="3520" t="s">
        <v>2469</v>
      </c>
      <c r="J4" s="3521"/>
      <c r="K4" s="567" t="s">
        <v>2470</v>
      </c>
      <c r="L4" s="1044"/>
      <c r="M4" s="1045"/>
      <c r="N4" s="1045"/>
      <c r="O4" s="1045"/>
      <c r="P4" s="3524" t="s">
        <v>2471</v>
      </c>
      <c r="Q4" s="3525"/>
      <c r="R4" s="3530" t="s">
        <v>2467</v>
      </c>
      <c r="S4" s="3531"/>
      <c r="T4" s="3530" t="s">
        <v>2468</v>
      </c>
      <c r="U4" s="3531"/>
      <c r="V4" s="3544" t="s">
        <v>2469</v>
      </c>
      <c r="W4" s="3544"/>
      <c r="X4" s="1539"/>
      <c r="Y4" s="3530" t="s">
        <v>2471</v>
      </c>
      <c r="Z4" s="3531"/>
      <c r="AA4" s="3517" t="s">
        <v>2467</v>
      </c>
      <c r="AB4" s="3518" t="s">
        <v>2468</v>
      </c>
      <c r="AC4" s="3517" t="s">
        <v>2469</v>
      </c>
    </row>
    <row r="5" spans="1:29" ht="15">
      <c r="A5" s="364"/>
      <c r="B5" s="365"/>
      <c r="C5" s="3592" t="s">
        <v>2362</v>
      </c>
      <c r="D5" s="3535"/>
      <c r="E5" s="3591" t="s">
        <v>2363</v>
      </c>
      <c r="F5" s="3537"/>
      <c r="G5" s="3592" t="s">
        <v>2364</v>
      </c>
      <c r="H5" s="3535"/>
      <c r="I5" s="3592" t="s">
        <v>2365</v>
      </c>
      <c r="J5" s="3535"/>
      <c r="K5" s="567"/>
      <c r="L5" s="1044"/>
      <c r="M5" s="1045"/>
      <c r="N5" s="1045"/>
      <c r="O5" s="1045"/>
      <c r="P5" s="3526"/>
      <c r="Q5" s="3527"/>
      <c r="R5" s="3532"/>
      <c r="S5" s="3533"/>
      <c r="T5" s="3532"/>
      <c r="U5" s="3533"/>
      <c r="V5" s="3544"/>
      <c r="W5" s="3544"/>
      <c r="X5" s="1539"/>
      <c r="Y5" s="3532"/>
      <c r="Z5" s="3533"/>
      <c r="AA5" s="3518"/>
      <c r="AB5" s="3518"/>
      <c r="AC5" s="3518"/>
    </row>
    <row r="6" spans="1:29" ht="15.75" thickBot="1">
      <c r="A6" s="366"/>
      <c r="B6" s="367"/>
      <c r="C6" s="3538" t="s">
        <v>2366</v>
      </c>
      <c r="D6" s="3539"/>
      <c r="E6" s="3540" t="s">
        <v>2366</v>
      </c>
      <c r="F6" s="3541"/>
      <c r="G6" s="3538" t="s">
        <v>2366</v>
      </c>
      <c r="H6" s="3539"/>
      <c r="I6" s="3538" t="s">
        <v>2366</v>
      </c>
      <c r="J6" s="3539"/>
      <c r="K6" s="567" t="s">
        <v>2367</v>
      </c>
      <c r="L6" s="1044"/>
      <c r="M6" s="1045"/>
      <c r="N6" s="1045"/>
      <c r="O6" s="1045"/>
      <c r="P6" s="3528"/>
      <c r="Q6" s="3529"/>
      <c r="R6" s="3532"/>
      <c r="S6" s="3533"/>
      <c r="T6" s="3542"/>
      <c r="U6" s="3543"/>
      <c r="V6" s="3544"/>
      <c r="W6" s="3544"/>
      <c r="X6" s="1539"/>
      <c r="Y6" s="3542"/>
      <c r="Z6" s="3543"/>
      <c r="AA6" s="3519"/>
      <c r="AB6" s="3519"/>
      <c r="AC6" s="3519"/>
    </row>
    <row r="7" spans="1:29" s="113" customFormat="1" ht="15.75" thickBot="1">
      <c r="A7" s="368" t="s">
        <v>2368</v>
      </c>
      <c r="B7" s="369"/>
      <c r="C7" s="370">
        <f>'数据-取费表'!B2</f>
        <v>44775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45" t="s">
        <v>2369</v>
      </c>
      <c r="Q7" s="3546"/>
      <c r="R7" s="710" t="s">
        <v>17</v>
      </c>
      <c r="S7" s="711">
        <f t="shared" ref="S7:S15" si="0">F7</f>
        <v>0</v>
      </c>
      <c r="T7" s="710" t="s">
        <v>17</v>
      </c>
      <c r="U7" s="711">
        <f t="shared" ref="U7:U15" si="1">H7</f>
        <v>0</v>
      </c>
      <c r="V7" s="710" t="s">
        <v>17</v>
      </c>
      <c r="W7" s="711">
        <f t="shared" ref="W7:W15" si="2">J7</f>
        <v>0</v>
      </c>
      <c r="X7" s="712"/>
      <c r="Y7" s="3545" t="s">
        <v>2369</v>
      </c>
      <c r="Z7" s="354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45" t="s">
        <v>2372</v>
      </c>
      <c r="Q8" s="3547"/>
      <c r="R8" s="710" t="s">
        <v>17</v>
      </c>
      <c r="S8" s="711">
        <f t="shared" si="0"/>
        <v>0</v>
      </c>
      <c r="T8" s="710" t="s">
        <v>17</v>
      </c>
      <c r="U8" s="711">
        <f t="shared" si="1"/>
        <v>0</v>
      </c>
      <c r="V8" s="710" t="s">
        <v>17</v>
      </c>
      <c r="W8" s="711">
        <f t="shared" si="2"/>
        <v>0</v>
      </c>
      <c r="X8" s="712"/>
      <c r="Y8" s="3545" t="s">
        <v>2372</v>
      </c>
      <c r="Z8" s="354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58" t="s">
        <v>2375</v>
      </c>
      <c r="Q9" s="1527" t="str">
        <f t="shared" ref="Q9:Q15" si="6">B9</f>
        <v>用途</v>
      </c>
      <c r="R9" s="710" t="s">
        <v>17</v>
      </c>
      <c r="S9" s="711">
        <f t="shared" si="0"/>
        <v>100</v>
      </c>
      <c r="T9" s="710" t="s">
        <v>17</v>
      </c>
      <c r="U9" s="711">
        <f t="shared" si="1"/>
        <v>100</v>
      </c>
      <c r="V9" s="710" t="s">
        <v>17</v>
      </c>
      <c r="W9" s="711">
        <f t="shared" si="2"/>
        <v>100</v>
      </c>
      <c r="X9" s="712"/>
      <c r="Y9" s="342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58"/>
      <c r="Q10" s="1527" t="str">
        <f t="shared" si="6"/>
        <v>土地使用年限（年）</v>
      </c>
      <c r="R10" s="710" t="s">
        <v>17</v>
      </c>
      <c r="S10" s="711">
        <f t="shared" si="0"/>
        <v>100</v>
      </c>
      <c r="T10" s="710" t="s">
        <v>17</v>
      </c>
      <c r="U10" s="711">
        <f t="shared" si="1"/>
        <v>100</v>
      </c>
      <c r="V10" s="710" t="s">
        <v>17</v>
      </c>
      <c r="W10" s="711">
        <f t="shared" si="2"/>
        <v>100</v>
      </c>
      <c r="X10" s="712"/>
      <c r="Y10" s="3427"/>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58"/>
      <c r="Q11" s="1527" t="str">
        <f t="shared" si="6"/>
        <v>容积率</v>
      </c>
      <c r="R11" s="710" t="s">
        <v>17</v>
      </c>
      <c r="S11" s="711" t="e">
        <f t="shared" si="0"/>
        <v>#N/A</v>
      </c>
      <c r="T11" s="710" t="s">
        <v>17</v>
      </c>
      <c r="U11" s="711" t="e">
        <f t="shared" si="1"/>
        <v>#N/A</v>
      </c>
      <c r="V11" s="710" t="s">
        <v>17</v>
      </c>
      <c r="W11" s="711" t="e">
        <f t="shared" si="2"/>
        <v>#N/A</v>
      </c>
      <c r="X11" s="712"/>
      <c r="Y11" s="342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58"/>
      <c r="Q12" s="1527">
        <f t="shared" si="6"/>
        <v>111</v>
      </c>
      <c r="R12" s="710" t="s">
        <v>17</v>
      </c>
      <c r="S12" s="711">
        <f t="shared" si="0"/>
        <v>100</v>
      </c>
      <c r="T12" s="710" t="s">
        <v>17</v>
      </c>
      <c r="U12" s="711">
        <f t="shared" si="1"/>
        <v>100</v>
      </c>
      <c r="V12" s="710" t="s">
        <v>17</v>
      </c>
      <c r="W12" s="711">
        <f t="shared" si="2"/>
        <v>100</v>
      </c>
      <c r="X12" s="712"/>
      <c r="Y12" s="3427"/>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58"/>
      <c r="Q13" s="1527">
        <f t="shared" si="6"/>
        <v>111</v>
      </c>
      <c r="R13" s="710" t="s">
        <v>17</v>
      </c>
      <c r="S13" s="711">
        <f t="shared" si="0"/>
        <v>100</v>
      </c>
      <c r="T13" s="710" t="s">
        <v>17</v>
      </c>
      <c r="U13" s="711">
        <f t="shared" si="1"/>
        <v>100</v>
      </c>
      <c r="V13" s="710" t="s">
        <v>17</v>
      </c>
      <c r="W13" s="711">
        <f t="shared" si="2"/>
        <v>100</v>
      </c>
      <c r="X13" s="712"/>
      <c r="Y13" s="3427"/>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58"/>
      <c r="Q14" s="1527">
        <f t="shared" si="6"/>
        <v>111</v>
      </c>
      <c r="R14" s="710" t="s">
        <v>17</v>
      </c>
      <c r="S14" s="711">
        <f t="shared" si="0"/>
        <v>100</v>
      </c>
      <c r="T14" s="710" t="s">
        <v>17</v>
      </c>
      <c r="U14" s="711">
        <f t="shared" si="1"/>
        <v>100</v>
      </c>
      <c r="V14" s="710" t="s">
        <v>17</v>
      </c>
      <c r="W14" s="711">
        <f t="shared" si="2"/>
        <v>100</v>
      </c>
      <c r="X14" s="712"/>
      <c r="Y14" s="3427"/>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51" t="s">
        <v>2380</v>
      </c>
      <c r="Q15" s="1536" t="str">
        <f t="shared" si="6"/>
        <v>产业集聚程度</v>
      </c>
      <c r="R15" s="714" t="s">
        <v>17</v>
      </c>
      <c r="S15" s="715">
        <f t="shared" si="0"/>
        <v>100</v>
      </c>
      <c r="T15" s="714" t="s">
        <v>17</v>
      </c>
      <c r="U15" s="715">
        <f t="shared" si="1"/>
        <v>100</v>
      </c>
      <c r="V15" s="714" t="s">
        <v>17</v>
      </c>
      <c r="W15" s="715">
        <f t="shared" si="2"/>
        <v>100</v>
      </c>
      <c r="X15" s="1539"/>
      <c r="Y15" s="3551"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52"/>
      <c r="Q16" s="1536"/>
      <c r="R16" s="714"/>
      <c r="S16" s="715"/>
      <c r="T16" s="714"/>
      <c r="U16" s="715"/>
      <c r="V16" s="714"/>
      <c r="W16" s="715"/>
      <c r="X16" s="1539"/>
      <c r="Y16" s="3552"/>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52"/>
      <c r="Q17" s="1536" t="str">
        <f>B17</f>
        <v>交通便捷度</v>
      </c>
      <c r="R17" s="714" t="s">
        <v>17</v>
      </c>
      <c r="S17" s="715">
        <f>F17</f>
        <v>100</v>
      </c>
      <c r="T17" s="714" t="s">
        <v>17</v>
      </c>
      <c r="U17" s="715">
        <f>H17</f>
        <v>100</v>
      </c>
      <c r="V17" s="714" t="s">
        <v>17</v>
      </c>
      <c r="W17" s="715">
        <f>J17</f>
        <v>100</v>
      </c>
      <c r="X17" s="1539"/>
      <c r="Y17" s="3552"/>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52"/>
      <c r="Q18" s="1536"/>
      <c r="R18" s="714"/>
      <c r="S18" s="715"/>
      <c r="T18" s="714"/>
      <c r="U18" s="715"/>
      <c r="V18" s="714"/>
      <c r="W18" s="715"/>
      <c r="X18" s="1539"/>
      <c r="Y18" s="3552"/>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52"/>
      <c r="Q19" s="1536" t="str">
        <f>B19</f>
        <v>公共配套设施</v>
      </c>
      <c r="R19" s="714" t="s">
        <v>17</v>
      </c>
      <c r="S19" s="715">
        <f>F19</f>
        <v>100</v>
      </c>
      <c r="T19" s="714" t="s">
        <v>17</v>
      </c>
      <c r="U19" s="715">
        <f>H19</f>
        <v>100</v>
      </c>
      <c r="V19" s="714" t="s">
        <v>17</v>
      </c>
      <c r="W19" s="715">
        <f>J19</f>
        <v>100</v>
      </c>
      <c r="X19" s="1539"/>
      <c r="Y19" s="3552"/>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52"/>
      <c r="Q20" s="1536"/>
      <c r="R20" s="714"/>
      <c r="S20" s="715"/>
      <c r="T20" s="714"/>
      <c r="U20" s="715"/>
      <c r="V20" s="714"/>
      <c r="W20" s="715"/>
      <c r="X20" s="1539"/>
      <c r="Y20" s="3552"/>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52"/>
      <c r="Q21" s="1536" t="str">
        <f>B21</f>
        <v>基础设施水平</v>
      </c>
      <c r="R21" s="714" t="s">
        <v>17</v>
      </c>
      <c r="S21" s="715">
        <f>F21</f>
        <v>100</v>
      </c>
      <c r="T21" s="714" t="s">
        <v>17</v>
      </c>
      <c r="U21" s="715">
        <f>H21</f>
        <v>100</v>
      </c>
      <c r="V21" s="714" t="s">
        <v>17</v>
      </c>
      <c r="W21" s="715">
        <f>J21</f>
        <v>100</v>
      </c>
      <c r="X21" s="1539"/>
      <c r="Y21" s="3552"/>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52"/>
      <c r="Q22" s="1536"/>
      <c r="R22" s="714"/>
      <c r="S22" s="715"/>
      <c r="T22" s="714"/>
      <c r="U22" s="715"/>
      <c r="V22" s="714"/>
      <c r="W22" s="715"/>
      <c r="X22" s="1539"/>
      <c r="Y22" s="3552"/>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52"/>
      <c r="Q23" s="1536" t="str">
        <f>B23</f>
        <v>环境质量</v>
      </c>
      <c r="R23" s="714" t="s">
        <v>17</v>
      </c>
      <c r="S23" s="715">
        <f>F23</f>
        <v>100</v>
      </c>
      <c r="T23" s="714" t="s">
        <v>17</v>
      </c>
      <c r="U23" s="715">
        <f>H23</f>
        <v>100</v>
      </c>
      <c r="V23" s="714" t="s">
        <v>17</v>
      </c>
      <c r="W23" s="715">
        <f>J23</f>
        <v>100</v>
      </c>
      <c r="X23" s="1539"/>
      <c r="Y23" s="3552"/>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52"/>
      <c r="Q24" s="1536"/>
      <c r="R24" s="714"/>
      <c r="S24" s="715"/>
      <c r="T24" s="714"/>
      <c r="U24" s="715"/>
      <c r="V24" s="714"/>
      <c r="W24" s="715"/>
      <c r="X24" s="1539"/>
      <c r="Y24" s="355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52"/>
      <c r="Q25" s="1536">
        <f>B25</f>
        <v>111</v>
      </c>
      <c r="R25" s="714" t="s">
        <v>17</v>
      </c>
      <c r="S25" s="715">
        <f>F25</f>
        <v>100</v>
      </c>
      <c r="T25" s="714" t="s">
        <v>17</v>
      </c>
      <c r="U25" s="715">
        <f>H25</f>
        <v>100</v>
      </c>
      <c r="V25" s="714" t="s">
        <v>17</v>
      </c>
      <c r="W25" s="715">
        <f>J25</f>
        <v>100</v>
      </c>
      <c r="X25" s="1539"/>
      <c r="Y25" s="355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52"/>
      <c r="Q26" s="1536">
        <f t="shared" ref="Q26:Q40" si="11">B26</f>
        <v>111</v>
      </c>
      <c r="R26" s="714" t="s">
        <v>17</v>
      </c>
      <c r="S26" s="715">
        <f>F26</f>
        <v>100</v>
      </c>
      <c r="T26" s="714" t="s">
        <v>17</v>
      </c>
      <c r="U26" s="715">
        <f>H26</f>
        <v>100</v>
      </c>
      <c r="V26" s="714" t="s">
        <v>17</v>
      </c>
      <c r="W26" s="715">
        <f>J26</f>
        <v>100</v>
      </c>
      <c r="X26" s="1539"/>
      <c r="Y26" s="355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52"/>
      <c r="Q27" s="1527">
        <f t="shared" si="11"/>
        <v>111</v>
      </c>
      <c r="R27" s="710" t="s">
        <v>17</v>
      </c>
      <c r="S27" s="711">
        <f>F27</f>
        <v>100</v>
      </c>
      <c r="T27" s="710" t="s">
        <v>17</v>
      </c>
      <c r="U27" s="711">
        <f>H27</f>
        <v>100</v>
      </c>
      <c r="V27" s="710" t="s">
        <v>17</v>
      </c>
      <c r="W27" s="711">
        <f>J27</f>
        <v>100</v>
      </c>
      <c r="X27" s="712"/>
      <c r="Y27" s="355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52"/>
      <c r="Q28" s="1536">
        <f t="shared" si="11"/>
        <v>111</v>
      </c>
      <c r="R28" s="714" t="s">
        <v>17</v>
      </c>
      <c r="S28" s="715">
        <f t="shared" ref="S28:S40" si="12">F28</f>
        <v>100</v>
      </c>
      <c r="T28" s="714" t="s">
        <v>17</v>
      </c>
      <c r="U28" s="715">
        <f t="shared" ref="U28:U40" si="13">H28</f>
        <v>100</v>
      </c>
      <c r="V28" s="714" t="s">
        <v>17</v>
      </c>
      <c r="W28" s="715">
        <f t="shared" ref="W28:W40" si="14">J28</f>
        <v>100</v>
      </c>
      <c r="X28" s="1539"/>
      <c r="Y28" s="3552"/>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608" t="s">
        <v>2385</v>
      </c>
      <c r="Q29" s="1536" t="str">
        <f t="shared" si="11"/>
        <v>建筑类型</v>
      </c>
      <c r="R29" s="714" t="s">
        <v>17</v>
      </c>
      <c r="S29" s="715">
        <f t="shared" si="12"/>
        <v>100</v>
      </c>
      <c r="T29" s="714" t="s">
        <v>17</v>
      </c>
      <c r="U29" s="715">
        <f t="shared" si="13"/>
        <v>100</v>
      </c>
      <c r="V29" s="714" t="s">
        <v>17</v>
      </c>
      <c r="W29" s="715">
        <f t="shared" si="14"/>
        <v>100</v>
      </c>
      <c r="X29" s="1539"/>
      <c r="Y29" s="3556"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56"/>
      <c r="Q30" s="716" t="str">
        <f t="shared" si="11"/>
        <v>项目建筑规模</v>
      </c>
      <c r="R30" s="717" t="s">
        <v>17</v>
      </c>
      <c r="S30" s="718" t="e">
        <f t="shared" si="12"/>
        <v>#N/A</v>
      </c>
      <c r="T30" s="717" t="s">
        <v>17</v>
      </c>
      <c r="U30" s="718" t="e">
        <f t="shared" si="13"/>
        <v>#N/A</v>
      </c>
      <c r="V30" s="717" t="s">
        <v>17</v>
      </c>
      <c r="W30" s="718" t="e">
        <f t="shared" si="14"/>
        <v>#N/A</v>
      </c>
      <c r="X30" s="719"/>
      <c r="Y30" s="3556"/>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56"/>
      <c r="Q31" s="1536" t="str">
        <f t="shared" si="11"/>
        <v>建筑结构</v>
      </c>
      <c r="R31" s="714" t="s">
        <v>17</v>
      </c>
      <c r="S31" s="715">
        <f t="shared" si="12"/>
        <v>100</v>
      </c>
      <c r="T31" s="714" t="s">
        <v>17</v>
      </c>
      <c r="U31" s="715">
        <f t="shared" si="13"/>
        <v>100</v>
      </c>
      <c r="V31" s="714" t="s">
        <v>17</v>
      </c>
      <c r="W31" s="715">
        <f t="shared" si="14"/>
        <v>100</v>
      </c>
      <c r="X31" s="1539"/>
      <c r="Y31" s="3556"/>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56"/>
      <c r="Q32" s="1536" t="str">
        <f t="shared" si="11"/>
        <v>公共部分装修</v>
      </c>
      <c r="R32" s="714" t="s">
        <v>17</v>
      </c>
      <c r="S32" s="715">
        <f t="shared" si="12"/>
        <v>100</v>
      </c>
      <c r="T32" s="714" t="s">
        <v>17</v>
      </c>
      <c r="U32" s="715">
        <f t="shared" si="13"/>
        <v>100</v>
      </c>
      <c r="V32" s="714" t="s">
        <v>17</v>
      </c>
      <c r="W32" s="715">
        <f t="shared" si="14"/>
        <v>100</v>
      </c>
      <c r="X32" s="1539"/>
      <c r="Y32" s="3556"/>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56"/>
      <c r="Q33" s="1536" t="str">
        <f t="shared" si="11"/>
        <v>成新度</v>
      </c>
      <c r="R33" s="714" t="s">
        <v>17</v>
      </c>
      <c r="S33" s="715" t="e">
        <f t="shared" si="12"/>
        <v>#N/A</v>
      </c>
      <c r="T33" s="714" t="s">
        <v>17</v>
      </c>
      <c r="U33" s="715" t="e">
        <f t="shared" si="13"/>
        <v>#N/A</v>
      </c>
      <c r="V33" s="714" t="s">
        <v>17</v>
      </c>
      <c r="W33" s="715" t="e">
        <f t="shared" si="14"/>
        <v>#N/A</v>
      </c>
      <c r="X33" s="1539"/>
      <c r="Y33" s="3556"/>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56"/>
      <c r="Q34" s="1527" t="str">
        <f t="shared" si="11"/>
        <v>物业管理</v>
      </c>
      <c r="R34" s="710" t="s">
        <v>17</v>
      </c>
      <c r="S34" s="711">
        <f t="shared" si="12"/>
        <v>100</v>
      </c>
      <c r="T34" s="710" t="s">
        <v>17</v>
      </c>
      <c r="U34" s="711">
        <f t="shared" si="13"/>
        <v>100</v>
      </c>
      <c r="V34" s="710" t="s">
        <v>17</v>
      </c>
      <c r="W34" s="711">
        <f t="shared" si="14"/>
        <v>100</v>
      </c>
      <c r="X34" s="712"/>
      <c r="Y34" s="3556"/>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56" t="s">
        <v>2385</v>
      </c>
      <c r="Q35" s="1536" t="str">
        <f t="shared" si="11"/>
        <v>市政基础设施</v>
      </c>
      <c r="R35" s="714" t="s">
        <v>17</v>
      </c>
      <c r="S35" s="715">
        <f t="shared" si="12"/>
        <v>100</v>
      </c>
      <c r="T35" s="714" t="s">
        <v>17</v>
      </c>
      <c r="U35" s="715">
        <f t="shared" si="13"/>
        <v>100</v>
      </c>
      <c r="V35" s="714" t="s">
        <v>17</v>
      </c>
      <c r="W35" s="715">
        <f t="shared" si="14"/>
        <v>100</v>
      </c>
      <c r="X35" s="1539"/>
      <c r="Y35" s="3556"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56"/>
      <c r="Q36" s="1536" t="str">
        <f t="shared" si="11"/>
        <v>内部装修</v>
      </c>
      <c r="R36" s="714" t="s">
        <v>17</v>
      </c>
      <c r="S36" s="715">
        <f t="shared" si="12"/>
        <v>100</v>
      </c>
      <c r="T36" s="714" t="s">
        <v>17</v>
      </c>
      <c r="U36" s="715">
        <f t="shared" si="13"/>
        <v>100</v>
      </c>
      <c r="V36" s="714" t="s">
        <v>17</v>
      </c>
      <c r="W36" s="715">
        <f t="shared" si="14"/>
        <v>100</v>
      </c>
      <c r="X36" s="1539"/>
      <c r="Y36" s="3556"/>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56"/>
      <c r="Q37" s="1536" t="str">
        <f t="shared" si="11"/>
        <v>内部装修状况</v>
      </c>
      <c r="R37" s="714" t="s">
        <v>17</v>
      </c>
      <c r="S37" s="715">
        <f t="shared" si="12"/>
        <v>100</v>
      </c>
      <c r="T37" s="714" t="s">
        <v>17</v>
      </c>
      <c r="U37" s="715">
        <f t="shared" si="13"/>
        <v>100</v>
      </c>
      <c r="V37" s="714" t="s">
        <v>17</v>
      </c>
      <c r="W37" s="715">
        <f t="shared" si="14"/>
        <v>100</v>
      </c>
      <c r="X37" s="1539"/>
      <c r="Y37" s="355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56"/>
      <c r="Q38" s="716">
        <f t="shared" si="11"/>
        <v>111</v>
      </c>
      <c r="R38" s="717" t="s">
        <v>17</v>
      </c>
      <c r="S38" s="718">
        <f t="shared" si="12"/>
        <v>100</v>
      </c>
      <c r="T38" s="717" t="s">
        <v>17</v>
      </c>
      <c r="U38" s="718">
        <f t="shared" si="13"/>
        <v>100</v>
      </c>
      <c r="V38" s="717" t="s">
        <v>17</v>
      </c>
      <c r="W38" s="718">
        <f t="shared" si="14"/>
        <v>100</v>
      </c>
      <c r="X38" s="719"/>
      <c r="Y38" s="355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56"/>
      <c r="Q39" s="1536">
        <f t="shared" si="11"/>
        <v>111</v>
      </c>
      <c r="R39" s="714" t="s">
        <v>17</v>
      </c>
      <c r="S39" s="715">
        <f t="shared" si="12"/>
        <v>100</v>
      </c>
      <c r="T39" s="714" t="s">
        <v>17</v>
      </c>
      <c r="U39" s="715">
        <f t="shared" si="13"/>
        <v>100</v>
      </c>
      <c r="V39" s="714" t="s">
        <v>17</v>
      </c>
      <c r="W39" s="715">
        <f t="shared" si="14"/>
        <v>100</v>
      </c>
      <c r="X39" s="1539"/>
      <c r="Y39" s="3556"/>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57"/>
      <c r="Q40" s="1536">
        <f t="shared" si="11"/>
        <v>111</v>
      </c>
      <c r="R40" s="714" t="s">
        <v>17</v>
      </c>
      <c r="S40" s="715">
        <f t="shared" si="12"/>
        <v>100</v>
      </c>
      <c r="T40" s="714" t="s">
        <v>17</v>
      </c>
      <c r="U40" s="715">
        <f t="shared" si="13"/>
        <v>100</v>
      </c>
      <c r="V40" s="714" t="s">
        <v>17</v>
      </c>
      <c r="W40" s="715">
        <f t="shared" si="14"/>
        <v>100</v>
      </c>
      <c r="X40" s="1539"/>
      <c r="Y40" s="3557"/>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58" t="str">
        <f>A41</f>
        <v>成交单价（元/平方米）</v>
      </c>
      <c r="Q41" s="3558"/>
      <c r="R41" s="3559">
        <f>E41</f>
        <v>0</v>
      </c>
      <c r="S41" s="3559"/>
      <c r="T41" s="3559">
        <f>G41</f>
        <v>0</v>
      </c>
      <c r="U41" s="3559"/>
      <c r="V41" s="3559">
        <f>I41</f>
        <v>0</v>
      </c>
      <c r="W41" s="3559"/>
      <c r="X41" s="699"/>
      <c r="Y41" s="721"/>
      <c r="Z41" s="699"/>
      <c r="AA41" s="699"/>
      <c r="AB41" s="699"/>
      <c r="AC41" s="699"/>
    </row>
    <row r="42" spans="1:29" ht="15.75" thickBot="1">
      <c r="A42" s="445" t="s">
        <v>2489</v>
      </c>
      <c r="B42" s="446"/>
      <c r="C42" s="1322" t="e">
        <f>R43</f>
        <v>#DIV/0!</v>
      </c>
      <c r="D42" s="2528" t="s">
        <v>2878</v>
      </c>
      <c r="E42" s="1323" t="e">
        <f>R42</f>
        <v>#DIV/0!</v>
      </c>
      <c r="F42" s="2529"/>
      <c r="G42" s="1322" t="e">
        <f>T42</f>
        <v>#DIV/0!</v>
      </c>
      <c r="H42" s="2529"/>
      <c r="I42" s="1323" t="e">
        <f>V42</f>
        <v>#DIV/0!</v>
      </c>
      <c r="J42" s="2529"/>
      <c r="K42" s="2531">
        <f>F42+H42+J42</f>
        <v>0</v>
      </c>
      <c r="L42" s="1057"/>
      <c r="M42" s="1058"/>
      <c r="N42" s="1045"/>
      <c r="O42" s="1058"/>
      <c r="P42" s="3558" t="str">
        <f>A42</f>
        <v>比较价值（元/平方米）</v>
      </c>
      <c r="Q42" s="3558"/>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60" t="str">
        <f>A43</f>
        <v>估价对象XX用房的比较价值（楼面单价，元/平方米）</v>
      </c>
      <c r="Q43" s="3561"/>
      <c r="R43" s="3562" t="e">
        <f>IF(F1="售价",ROUND(IF(D42="简单平均",AVERAGE(R42:V42),R42*F42+T42*H42+V42*J42),0),ROUND(IF(D42="简单平均",AVERAGE(R42:V42),R42*F42+T42*H42+V42*J42),1))</f>
        <v>#DIV/0!</v>
      </c>
      <c r="S43" s="3562"/>
      <c r="T43" s="3562"/>
      <c r="U43" s="3562"/>
      <c r="V43" s="3562"/>
      <c r="W43" s="3562"/>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2022-8</v>
      </c>
      <c r="D52" s="1347">
        <f>EDATE(C52,-1)</f>
        <v>44743</v>
      </c>
      <c r="E52" s="1347">
        <f t="shared" ref="E52:O52" si="16">EDATE(D52,-1)</f>
        <v>44713</v>
      </c>
      <c r="F52" s="1347">
        <f t="shared" si="16"/>
        <v>44682</v>
      </c>
      <c r="G52" s="1347">
        <f t="shared" si="16"/>
        <v>44652</v>
      </c>
      <c r="H52" s="1347">
        <f t="shared" si="16"/>
        <v>44621</v>
      </c>
      <c r="I52" s="1347">
        <f t="shared" si="16"/>
        <v>44593</v>
      </c>
      <c r="J52" s="1347">
        <f t="shared" si="16"/>
        <v>44562</v>
      </c>
      <c r="K52" s="1347">
        <f t="shared" si="16"/>
        <v>44531</v>
      </c>
      <c r="L52" s="1347">
        <f t="shared" si="16"/>
        <v>44501</v>
      </c>
      <c r="M52" s="1347">
        <f t="shared" si="16"/>
        <v>44470</v>
      </c>
      <c r="N52" s="1347">
        <f t="shared" si="16"/>
        <v>44440</v>
      </c>
      <c r="O52" s="1347">
        <f t="shared" si="16"/>
        <v>44409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520" t="s">
        <v>2466</v>
      </c>
      <c r="D4" s="3521"/>
      <c r="E4" s="3522" t="s">
        <v>2467</v>
      </c>
      <c r="F4" s="3523"/>
      <c r="G4" s="3520" t="s">
        <v>2468</v>
      </c>
      <c r="H4" s="3521"/>
      <c r="I4" s="3520" t="s">
        <v>2469</v>
      </c>
      <c r="J4" s="3521"/>
      <c r="K4" s="567" t="s">
        <v>2470</v>
      </c>
      <c r="L4" s="2932"/>
      <c r="M4" s="2933"/>
      <c r="N4" s="2933"/>
      <c r="O4" s="2933"/>
      <c r="P4" s="3524" t="s">
        <v>2471</v>
      </c>
      <c r="Q4" s="3525"/>
      <c r="R4" s="3530" t="s">
        <v>2467</v>
      </c>
      <c r="S4" s="3531"/>
      <c r="T4" s="3530" t="s">
        <v>2468</v>
      </c>
      <c r="U4" s="3531"/>
      <c r="V4" s="3544" t="s">
        <v>2469</v>
      </c>
      <c r="W4" s="3544"/>
      <c r="X4" s="1539"/>
      <c r="Y4" s="3530" t="s">
        <v>2471</v>
      </c>
      <c r="Z4" s="3531"/>
      <c r="AA4" s="3517" t="s">
        <v>2467</v>
      </c>
      <c r="AB4" s="3518" t="s">
        <v>2468</v>
      </c>
      <c r="AC4" s="3517" t="s">
        <v>2469</v>
      </c>
    </row>
    <row r="5" spans="1:29" ht="15">
      <c r="A5" s="364"/>
      <c r="B5" s="365"/>
      <c r="C5" s="3592" t="s">
        <v>2362</v>
      </c>
      <c r="D5" s="3535"/>
      <c r="E5" s="3591" t="s">
        <v>2363</v>
      </c>
      <c r="F5" s="3537"/>
      <c r="G5" s="3592" t="s">
        <v>2364</v>
      </c>
      <c r="H5" s="3535"/>
      <c r="I5" s="3592" t="s">
        <v>2365</v>
      </c>
      <c r="J5" s="3535"/>
      <c r="K5" s="567"/>
      <c r="L5" s="2932"/>
      <c r="M5" s="2933"/>
      <c r="N5" s="2933"/>
      <c r="O5" s="2933"/>
      <c r="P5" s="3526"/>
      <c r="Q5" s="3527"/>
      <c r="R5" s="3532"/>
      <c r="S5" s="3533"/>
      <c r="T5" s="3532"/>
      <c r="U5" s="3533"/>
      <c r="V5" s="3544"/>
      <c r="W5" s="3544"/>
      <c r="X5" s="1539"/>
      <c r="Y5" s="3532"/>
      <c r="Z5" s="3533"/>
      <c r="AA5" s="3518"/>
      <c r="AB5" s="3518"/>
      <c r="AC5" s="3518"/>
    </row>
    <row r="6" spans="1:29" ht="15.75" thickBot="1">
      <c r="A6" s="366"/>
      <c r="B6" s="367"/>
      <c r="C6" s="3538" t="s">
        <v>2366</v>
      </c>
      <c r="D6" s="3539"/>
      <c r="E6" s="3540" t="s">
        <v>2366</v>
      </c>
      <c r="F6" s="3541"/>
      <c r="G6" s="3538" t="s">
        <v>2366</v>
      </c>
      <c r="H6" s="3539"/>
      <c r="I6" s="3538" t="s">
        <v>2366</v>
      </c>
      <c r="J6" s="3539"/>
      <c r="K6" s="567" t="s">
        <v>2367</v>
      </c>
      <c r="L6" s="2932"/>
      <c r="M6" s="2933"/>
      <c r="N6" s="2933"/>
      <c r="O6" s="2933"/>
      <c r="P6" s="3528"/>
      <c r="Q6" s="3529"/>
      <c r="R6" s="3532"/>
      <c r="S6" s="3533"/>
      <c r="T6" s="3542"/>
      <c r="U6" s="3543"/>
      <c r="V6" s="3544"/>
      <c r="W6" s="3544"/>
      <c r="X6" s="1539"/>
      <c r="Y6" s="3542"/>
      <c r="Z6" s="3543"/>
      <c r="AA6" s="3519"/>
      <c r="AB6" s="3519"/>
      <c r="AC6" s="3519"/>
    </row>
    <row r="7" spans="1:29" s="113" customFormat="1" ht="15.75" thickBot="1">
      <c r="A7" s="368" t="s">
        <v>2368</v>
      </c>
      <c r="B7" s="369"/>
      <c r="C7" s="370">
        <f>'数据-取费表'!B2</f>
        <v>44775</v>
      </c>
      <c r="D7" s="371">
        <v>100</v>
      </c>
      <c r="E7" s="372"/>
      <c r="F7" s="373">
        <f>SUMIF(48:48,YEAR(E7)&amp;"-"&amp;MONTH(E7),49:49)</f>
        <v>0</v>
      </c>
      <c r="G7" s="372"/>
      <c r="H7" s="371">
        <f>SUMIF(48:48,YEAR(G7)&amp;"-"&amp;MONTH(G7),49:49)</f>
        <v>0</v>
      </c>
      <c r="I7" s="372"/>
      <c r="J7" s="371">
        <f>SUMIF(48:48,YEAR(I7)&amp;"-"&amp;MONTH(I7),49:49)</f>
        <v>0</v>
      </c>
      <c r="K7" s="568"/>
      <c r="L7" s="2934"/>
      <c r="M7" s="2935"/>
      <c r="N7" s="2935"/>
      <c r="O7" s="2935"/>
      <c r="P7" s="3545" t="s">
        <v>2369</v>
      </c>
      <c r="Q7" s="3546"/>
      <c r="R7" s="710" t="s">
        <v>17</v>
      </c>
      <c r="S7" s="711">
        <f t="shared" ref="S7:S14" si="0">F7</f>
        <v>0</v>
      </c>
      <c r="T7" s="710" t="s">
        <v>17</v>
      </c>
      <c r="U7" s="711">
        <f t="shared" ref="U7:U14" si="1">H7</f>
        <v>0</v>
      </c>
      <c r="V7" s="710" t="s">
        <v>17</v>
      </c>
      <c r="W7" s="711">
        <f t="shared" ref="W7:W14" si="2">J7</f>
        <v>0</v>
      </c>
      <c r="X7" s="712"/>
      <c r="Y7" s="3545" t="s">
        <v>2369</v>
      </c>
      <c r="Z7" s="354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545" t="s">
        <v>2372</v>
      </c>
      <c r="Q8" s="3547"/>
      <c r="R8" s="710" t="s">
        <v>17</v>
      </c>
      <c r="S8" s="711">
        <f t="shared" si="0"/>
        <v>0</v>
      </c>
      <c r="T8" s="710" t="s">
        <v>17</v>
      </c>
      <c r="U8" s="711">
        <f t="shared" si="1"/>
        <v>0</v>
      </c>
      <c r="V8" s="710" t="s">
        <v>17</v>
      </c>
      <c r="W8" s="711">
        <f t="shared" si="2"/>
        <v>0</v>
      </c>
      <c r="X8" s="712"/>
      <c r="Y8" s="3545" t="s">
        <v>2372</v>
      </c>
      <c r="Z8" s="354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558" t="s">
        <v>2375</v>
      </c>
      <c r="Q9" s="1527" t="str">
        <f t="shared" ref="Q9:Q14" si="6">B9</f>
        <v>用途</v>
      </c>
      <c r="R9" s="710" t="s">
        <v>17</v>
      </c>
      <c r="S9" s="711">
        <f t="shared" si="0"/>
        <v>100</v>
      </c>
      <c r="T9" s="710" t="s">
        <v>17</v>
      </c>
      <c r="U9" s="711">
        <f t="shared" si="1"/>
        <v>100</v>
      </c>
      <c r="V9" s="710" t="s">
        <v>17</v>
      </c>
      <c r="W9" s="711">
        <f t="shared" si="2"/>
        <v>100</v>
      </c>
      <c r="X9" s="712"/>
      <c r="Y9" s="3427"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558"/>
      <c r="Q10" s="1527" t="str">
        <f t="shared" si="6"/>
        <v>土地使用年限（年）</v>
      </c>
      <c r="R10" s="710" t="s">
        <v>17</v>
      </c>
      <c r="S10" s="711">
        <f t="shared" si="0"/>
        <v>100</v>
      </c>
      <c r="T10" s="710" t="s">
        <v>17</v>
      </c>
      <c r="U10" s="711">
        <f t="shared" si="1"/>
        <v>100</v>
      </c>
      <c r="V10" s="710" t="s">
        <v>17</v>
      </c>
      <c r="W10" s="711">
        <f t="shared" si="2"/>
        <v>100</v>
      </c>
      <c r="X10" s="712"/>
      <c r="Y10" s="342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558"/>
      <c r="Q11" s="1527">
        <f t="shared" si="6"/>
        <v>111</v>
      </c>
      <c r="R11" s="710" t="s">
        <v>17</v>
      </c>
      <c r="S11" s="711">
        <f t="shared" si="0"/>
        <v>100</v>
      </c>
      <c r="T11" s="710" t="s">
        <v>17</v>
      </c>
      <c r="U11" s="711">
        <f t="shared" si="1"/>
        <v>100</v>
      </c>
      <c r="V11" s="710" t="s">
        <v>17</v>
      </c>
      <c r="W11" s="711">
        <f t="shared" si="2"/>
        <v>100</v>
      </c>
      <c r="X11" s="712"/>
      <c r="Y11" s="342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558"/>
      <c r="Q12" s="1527">
        <f t="shared" si="6"/>
        <v>111</v>
      </c>
      <c r="R12" s="710" t="s">
        <v>17</v>
      </c>
      <c r="S12" s="711">
        <f t="shared" si="0"/>
        <v>100</v>
      </c>
      <c r="T12" s="710" t="s">
        <v>17</v>
      </c>
      <c r="U12" s="711">
        <f t="shared" si="1"/>
        <v>100</v>
      </c>
      <c r="V12" s="710" t="s">
        <v>17</v>
      </c>
      <c r="W12" s="711">
        <f t="shared" si="2"/>
        <v>100</v>
      </c>
      <c r="X12" s="712"/>
      <c r="Y12" s="342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558"/>
      <c r="Q13" s="1527">
        <f t="shared" si="6"/>
        <v>111</v>
      </c>
      <c r="R13" s="710" t="s">
        <v>17</v>
      </c>
      <c r="S13" s="711">
        <f t="shared" si="0"/>
        <v>100</v>
      </c>
      <c r="T13" s="710" t="s">
        <v>17</v>
      </c>
      <c r="U13" s="711">
        <f t="shared" si="1"/>
        <v>100</v>
      </c>
      <c r="V13" s="710" t="s">
        <v>17</v>
      </c>
      <c r="W13" s="711">
        <f t="shared" si="2"/>
        <v>100</v>
      </c>
      <c r="X13" s="712"/>
      <c r="Y13" s="3427"/>
      <c r="Z13" s="55">
        <f t="shared" si="7"/>
        <v>111</v>
      </c>
      <c r="AA13" s="713">
        <f t="shared" si="3"/>
        <v>1</v>
      </c>
      <c r="AB13" s="713">
        <f t="shared" si="4"/>
        <v>1</v>
      </c>
      <c r="AC13" s="713">
        <f t="shared" si="5"/>
        <v>1</v>
      </c>
    </row>
    <row r="14" spans="1:29" ht="142.5">
      <c r="A14" s="361" t="s">
        <v>2379</v>
      </c>
      <c r="B14" s="58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551" t="s">
        <v>2380</v>
      </c>
      <c r="Q14" s="1536" t="str">
        <f t="shared" si="6"/>
        <v>交通便捷度</v>
      </c>
      <c r="R14" s="714" t="s">
        <v>17</v>
      </c>
      <c r="S14" s="715">
        <f t="shared" si="0"/>
        <v>100</v>
      </c>
      <c r="T14" s="714" t="s">
        <v>17</v>
      </c>
      <c r="U14" s="715">
        <f t="shared" si="1"/>
        <v>100</v>
      </c>
      <c r="V14" s="714" t="s">
        <v>17</v>
      </c>
      <c r="W14" s="715">
        <f t="shared" si="2"/>
        <v>100</v>
      </c>
      <c r="X14" s="1539"/>
      <c r="Y14" s="3551"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552"/>
      <c r="Q15" s="1536"/>
      <c r="R15" s="714"/>
      <c r="S15" s="715"/>
      <c r="T15" s="714"/>
      <c r="U15" s="715"/>
      <c r="V15" s="714"/>
      <c r="W15" s="715"/>
      <c r="X15" s="1539"/>
      <c r="Y15" s="3552"/>
      <c r="Z15" s="1540"/>
      <c r="AA15" s="1537">
        <v>1</v>
      </c>
      <c r="AB15" s="1537">
        <v>1</v>
      </c>
      <c r="AC15" s="1537">
        <v>1</v>
      </c>
    </row>
    <row r="16" spans="1:29" ht="327.75">
      <c r="A16" s="364"/>
      <c r="B16" s="587"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552"/>
      <c r="Q16" s="1536" t="str">
        <f>B16</f>
        <v>公共配套设施</v>
      </c>
      <c r="R16" s="714" t="s">
        <v>17</v>
      </c>
      <c r="S16" s="715">
        <f>F16</f>
        <v>100</v>
      </c>
      <c r="T16" s="714" t="s">
        <v>17</v>
      </c>
      <c r="U16" s="715">
        <f>H16</f>
        <v>100</v>
      </c>
      <c r="V16" s="714" t="s">
        <v>17</v>
      </c>
      <c r="W16" s="715">
        <f>J16</f>
        <v>100</v>
      </c>
      <c r="X16" s="1539"/>
      <c r="Y16" s="3552"/>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9"/>
      <c r="M17" s="2933"/>
      <c r="N17" s="2933"/>
      <c r="O17" s="2933"/>
      <c r="P17" s="3552"/>
      <c r="Q17" s="1536"/>
      <c r="R17" s="714"/>
      <c r="S17" s="715"/>
      <c r="T17" s="714"/>
      <c r="U17" s="715"/>
      <c r="V17" s="714"/>
      <c r="W17" s="715"/>
      <c r="X17" s="1539"/>
      <c r="Y17" s="3552"/>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552"/>
      <c r="Q18" s="1536" t="str">
        <f>B18</f>
        <v>基础设施水平</v>
      </c>
      <c r="R18" s="714" t="s">
        <v>17</v>
      </c>
      <c r="S18" s="715">
        <f>F18</f>
        <v>100</v>
      </c>
      <c r="T18" s="714" t="s">
        <v>17</v>
      </c>
      <c r="U18" s="715">
        <f>H18</f>
        <v>100</v>
      </c>
      <c r="V18" s="714" t="s">
        <v>17</v>
      </c>
      <c r="W18" s="715">
        <f>J18</f>
        <v>100</v>
      </c>
      <c r="X18" s="1539"/>
      <c r="Y18" s="3552"/>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9"/>
      <c r="M19" s="2933"/>
      <c r="N19" s="2933"/>
      <c r="O19" s="2933"/>
      <c r="P19" s="3552"/>
      <c r="Q19" s="1536"/>
      <c r="R19" s="714"/>
      <c r="S19" s="715"/>
      <c r="T19" s="714"/>
      <c r="U19" s="715"/>
      <c r="V19" s="714"/>
      <c r="W19" s="715"/>
      <c r="X19" s="1539"/>
      <c r="Y19" s="3552"/>
      <c r="Z19" s="1540"/>
      <c r="AA19" s="1537">
        <v>1</v>
      </c>
      <c r="AB19" s="1537">
        <v>1</v>
      </c>
      <c r="AC19" s="1537">
        <v>1</v>
      </c>
    </row>
    <row r="20" spans="1:29" ht="128.25">
      <c r="A20" s="364"/>
      <c r="B20" s="587"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552"/>
      <c r="Q20" s="1536" t="str">
        <f>B20</f>
        <v>自然及人文环境</v>
      </c>
      <c r="R20" s="714" t="s">
        <v>17</v>
      </c>
      <c r="S20" s="715">
        <f>F20</f>
        <v>100</v>
      </c>
      <c r="T20" s="714" t="s">
        <v>17</v>
      </c>
      <c r="U20" s="715">
        <f>H20</f>
        <v>100</v>
      </c>
      <c r="V20" s="714" t="s">
        <v>17</v>
      </c>
      <c r="W20" s="715">
        <f>J20</f>
        <v>100</v>
      </c>
      <c r="X20" s="1539"/>
      <c r="Y20" s="355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552"/>
      <c r="Q21" s="1536"/>
      <c r="R21" s="714"/>
      <c r="S21" s="715"/>
      <c r="T21" s="714"/>
      <c r="U21" s="715"/>
      <c r="V21" s="714"/>
      <c r="W21" s="715"/>
      <c r="X21" s="1539"/>
      <c r="Y21" s="3552"/>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552"/>
      <c r="Q22" s="1536" t="str">
        <f>B22</f>
        <v>楼层</v>
      </c>
      <c r="R22" s="714" t="s">
        <v>17</v>
      </c>
      <c r="S22" s="715">
        <f>F22</f>
        <v>100</v>
      </c>
      <c r="T22" s="714" t="s">
        <v>17</v>
      </c>
      <c r="U22" s="715">
        <f>H22</f>
        <v>100</v>
      </c>
      <c r="V22" s="714" t="s">
        <v>17</v>
      </c>
      <c r="W22" s="715">
        <f>J22</f>
        <v>100</v>
      </c>
      <c r="X22" s="1539"/>
      <c r="Y22" s="355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552"/>
      <c r="Q23" s="1536">
        <f>B23</f>
        <v>111</v>
      </c>
      <c r="R23" s="714" t="s">
        <v>17</v>
      </c>
      <c r="S23" s="715">
        <f>F23</f>
        <v>100</v>
      </c>
      <c r="T23" s="714" t="s">
        <v>17</v>
      </c>
      <c r="U23" s="715">
        <f>H23</f>
        <v>100</v>
      </c>
      <c r="V23" s="714" t="s">
        <v>17</v>
      </c>
      <c r="W23" s="715">
        <f>J23</f>
        <v>100</v>
      </c>
      <c r="X23" s="1539"/>
      <c r="Y23" s="355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552"/>
      <c r="Q24" s="1536">
        <f t="shared" ref="Q24:Q36" si="11">B24</f>
        <v>111</v>
      </c>
      <c r="R24" s="714" t="s">
        <v>17</v>
      </c>
      <c r="S24" s="715">
        <f>F24</f>
        <v>100</v>
      </c>
      <c r="T24" s="714" t="s">
        <v>17</v>
      </c>
      <c r="U24" s="715">
        <f>H24</f>
        <v>100</v>
      </c>
      <c r="V24" s="714" t="s">
        <v>17</v>
      </c>
      <c r="W24" s="715">
        <f>J24</f>
        <v>100</v>
      </c>
      <c r="X24" s="1539"/>
      <c r="Y24" s="355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552"/>
      <c r="Q25" s="1527">
        <f t="shared" si="11"/>
        <v>111</v>
      </c>
      <c r="R25" s="710" t="s">
        <v>17</v>
      </c>
      <c r="S25" s="711">
        <f>F25</f>
        <v>100</v>
      </c>
      <c r="T25" s="710" t="s">
        <v>17</v>
      </c>
      <c r="U25" s="711">
        <f>H25</f>
        <v>100</v>
      </c>
      <c r="V25" s="710" t="s">
        <v>17</v>
      </c>
      <c r="W25" s="711">
        <f>J25</f>
        <v>100</v>
      </c>
      <c r="X25" s="712"/>
      <c r="Y25" s="3552"/>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60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56"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556"/>
      <c r="Q27" s="716" t="str">
        <f t="shared" si="11"/>
        <v>项目停车位配比</v>
      </c>
      <c r="R27" s="717" t="s">
        <v>17</v>
      </c>
      <c r="S27" s="718">
        <f t="shared" si="12"/>
        <v>100</v>
      </c>
      <c r="T27" s="717" t="s">
        <v>17</v>
      </c>
      <c r="U27" s="718">
        <f t="shared" si="13"/>
        <v>100</v>
      </c>
      <c r="V27" s="717" t="s">
        <v>17</v>
      </c>
      <c r="W27" s="718">
        <f t="shared" si="14"/>
        <v>100</v>
      </c>
      <c r="X27" s="719"/>
      <c r="Y27" s="3556"/>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556"/>
      <c r="Q28" s="1536" t="str">
        <f t="shared" si="11"/>
        <v>公共部分装修</v>
      </c>
      <c r="R28" s="714" t="s">
        <v>17</v>
      </c>
      <c r="S28" s="715">
        <f t="shared" si="12"/>
        <v>100</v>
      </c>
      <c r="T28" s="714" t="s">
        <v>17</v>
      </c>
      <c r="U28" s="715">
        <f t="shared" si="13"/>
        <v>100</v>
      </c>
      <c r="V28" s="714" t="s">
        <v>17</v>
      </c>
      <c r="W28" s="715">
        <f t="shared" si="14"/>
        <v>100</v>
      </c>
      <c r="X28" s="1539"/>
      <c r="Y28" s="3556"/>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556"/>
      <c r="Q29" s="1536" t="str">
        <f t="shared" si="11"/>
        <v>成新率</v>
      </c>
      <c r="R29" s="714" t="s">
        <v>17</v>
      </c>
      <c r="S29" s="715" t="e">
        <f t="shared" si="12"/>
        <v>#N/A</v>
      </c>
      <c r="T29" s="714" t="s">
        <v>17</v>
      </c>
      <c r="U29" s="715" t="e">
        <f t="shared" si="13"/>
        <v>#N/A</v>
      </c>
      <c r="V29" s="714" t="s">
        <v>17</v>
      </c>
      <c r="W29" s="715" t="e">
        <f t="shared" si="14"/>
        <v>#N/A</v>
      </c>
      <c r="X29" s="1539"/>
      <c r="Y29" s="3556"/>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556"/>
      <c r="Q30" s="1536" t="str">
        <f t="shared" si="11"/>
        <v>物业等级</v>
      </c>
      <c r="R30" s="714" t="s">
        <v>17</v>
      </c>
      <c r="S30" s="715">
        <f t="shared" si="12"/>
        <v>100</v>
      </c>
      <c r="T30" s="714" t="s">
        <v>17</v>
      </c>
      <c r="U30" s="715">
        <f t="shared" si="13"/>
        <v>100</v>
      </c>
      <c r="V30" s="714" t="s">
        <v>17</v>
      </c>
      <c r="W30" s="715">
        <f t="shared" si="14"/>
        <v>100</v>
      </c>
      <c r="X30" s="1539"/>
      <c r="Y30" s="3556"/>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556"/>
      <c r="Q31" s="1527" t="str">
        <f t="shared" si="11"/>
        <v>停车位面积</v>
      </c>
      <c r="R31" s="710" t="s">
        <v>17</v>
      </c>
      <c r="S31" s="711" t="e">
        <f t="shared" si="12"/>
        <v>#N/A</v>
      </c>
      <c r="T31" s="710" t="s">
        <v>17</v>
      </c>
      <c r="U31" s="711" t="e">
        <f t="shared" si="13"/>
        <v>#N/A</v>
      </c>
      <c r="V31" s="710" t="s">
        <v>17</v>
      </c>
      <c r="W31" s="711" t="e">
        <f t="shared" si="14"/>
        <v>#N/A</v>
      </c>
      <c r="X31" s="712"/>
      <c r="Y31" s="3556"/>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556" t="s">
        <v>2385</v>
      </c>
      <c r="Q32" s="1536" t="str">
        <f t="shared" si="11"/>
        <v>车位类型</v>
      </c>
      <c r="R32" s="714" t="s">
        <v>17</v>
      </c>
      <c r="S32" s="715">
        <f t="shared" si="12"/>
        <v>100</v>
      </c>
      <c r="T32" s="714" t="s">
        <v>17</v>
      </c>
      <c r="U32" s="715">
        <f t="shared" si="13"/>
        <v>100</v>
      </c>
      <c r="V32" s="714" t="s">
        <v>17</v>
      </c>
      <c r="W32" s="715">
        <f t="shared" si="14"/>
        <v>100</v>
      </c>
      <c r="X32" s="1539"/>
      <c r="Y32" s="3556"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556"/>
      <c r="Q33" s="1536" t="str">
        <f t="shared" si="11"/>
        <v>是否直接入户</v>
      </c>
      <c r="R33" s="714" t="s">
        <v>17</v>
      </c>
      <c r="S33" s="715">
        <f t="shared" si="12"/>
        <v>100</v>
      </c>
      <c r="T33" s="714" t="s">
        <v>17</v>
      </c>
      <c r="U33" s="715">
        <f t="shared" si="13"/>
        <v>100</v>
      </c>
      <c r="V33" s="714" t="s">
        <v>17</v>
      </c>
      <c r="W33" s="715">
        <f t="shared" si="14"/>
        <v>100</v>
      </c>
      <c r="X33" s="1539"/>
      <c r="Y33" s="355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556"/>
      <c r="Q34" s="1536">
        <f t="shared" si="11"/>
        <v>111</v>
      </c>
      <c r="R34" s="714" t="s">
        <v>17</v>
      </c>
      <c r="S34" s="715">
        <f t="shared" si="12"/>
        <v>100</v>
      </c>
      <c r="T34" s="714" t="s">
        <v>17</v>
      </c>
      <c r="U34" s="715">
        <f t="shared" si="13"/>
        <v>100</v>
      </c>
      <c r="V34" s="714" t="s">
        <v>17</v>
      </c>
      <c r="W34" s="715">
        <f t="shared" si="14"/>
        <v>100</v>
      </c>
      <c r="X34" s="1539"/>
      <c r="Y34" s="355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556"/>
      <c r="Q35" s="716">
        <f t="shared" si="11"/>
        <v>111</v>
      </c>
      <c r="R35" s="717" t="s">
        <v>17</v>
      </c>
      <c r="S35" s="718">
        <f t="shared" si="12"/>
        <v>100</v>
      </c>
      <c r="T35" s="717" t="s">
        <v>17</v>
      </c>
      <c r="U35" s="718">
        <f t="shared" si="13"/>
        <v>100</v>
      </c>
      <c r="V35" s="717" t="s">
        <v>17</v>
      </c>
      <c r="W35" s="718">
        <f t="shared" si="14"/>
        <v>100</v>
      </c>
      <c r="X35" s="719"/>
      <c r="Y35" s="355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556"/>
      <c r="Q36" s="1536">
        <f t="shared" si="11"/>
        <v>111</v>
      </c>
      <c r="R36" s="714" t="s">
        <v>17</v>
      </c>
      <c r="S36" s="715">
        <f t="shared" si="12"/>
        <v>100</v>
      </c>
      <c r="T36" s="714" t="s">
        <v>17</v>
      </c>
      <c r="U36" s="715">
        <f t="shared" si="13"/>
        <v>100</v>
      </c>
      <c r="V36" s="714" t="s">
        <v>17</v>
      </c>
      <c r="W36" s="715">
        <f t="shared" si="14"/>
        <v>100</v>
      </c>
      <c r="X36" s="1539"/>
      <c r="Y36" s="3556"/>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1"/>
      <c r="M37" s="2942"/>
      <c r="N37" s="2933"/>
      <c r="O37" s="2942"/>
      <c r="P37" s="3558" t="str">
        <f>A37</f>
        <v>成交单价</v>
      </c>
      <c r="Q37" s="3558"/>
      <c r="R37" s="3559">
        <f>E37</f>
        <v>0</v>
      </c>
      <c r="S37" s="3559"/>
      <c r="T37" s="3559">
        <f>G37</f>
        <v>0</v>
      </c>
      <c r="U37" s="3559"/>
      <c r="V37" s="3559">
        <f>I37</f>
        <v>0</v>
      </c>
      <c r="W37" s="3559"/>
      <c r="X37" s="699"/>
      <c r="Y37" s="721"/>
      <c r="Z37" s="699"/>
      <c r="AA37" s="699"/>
      <c r="AB37" s="699"/>
      <c r="AC37" s="699"/>
    </row>
    <row r="38" spans="1:29" ht="15.75" thickBot="1">
      <c r="A38" s="445" t="s">
        <v>2542</v>
      </c>
      <c r="B38" s="446" t="str">
        <f>B37</f>
        <v>元/车位</v>
      </c>
      <c r="C38" s="1322" t="e">
        <f>R39</f>
        <v>#DIV/0!</v>
      </c>
      <c r="D38" s="2528" t="s">
        <v>2878</v>
      </c>
      <c r="E38" s="1323" t="e">
        <f>R38</f>
        <v>#DIV/0!</v>
      </c>
      <c r="F38" s="2529"/>
      <c r="G38" s="1322" t="e">
        <f>T38</f>
        <v>#DIV/0!</v>
      </c>
      <c r="H38" s="2529"/>
      <c r="I38" s="1323" t="e">
        <f>V38</f>
        <v>#DIV/0!</v>
      </c>
      <c r="J38" s="2529"/>
      <c r="K38" s="2531">
        <f>F38+H38+J38</f>
        <v>0</v>
      </c>
      <c r="L38" s="2941"/>
      <c r="M38" s="2942"/>
      <c r="N38" s="2942"/>
      <c r="O38" s="2942"/>
      <c r="P38" s="3558" t="str">
        <f>A38</f>
        <v>比较价值（元/平方米）</v>
      </c>
      <c r="Q38" s="3558"/>
      <c r="R38" s="3559" t="e">
        <f>IF(F1="售价",ROUND(PRODUCT(R37,AA7:AA36),0),ROUND(PRODUCT(R37,AA7:AA36),1))</f>
        <v>#DIV/0!</v>
      </c>
      <c r="S38" s="3559"/>
      <c r="T38" s="3559" t="e">
        <f>IF(F1="售价",ROUND(PRODUCT(T37,AB7:AB36),0),ROUND(PRODUCT(T37,AB7:AB36),1))</f>
        <v>#DIV/0!</v>
      </c>
      <c r="U38" s="3559"/>
      <c r="V38" s="3559" t="e">
        <f>IF(F1="售价",ROUND(PRODUCT(V37,AC7:AC36),0),ROUND(PRODUCT(V37,AC7:AC36),1))</f>
        <v>#DIV/0!</v>
      </c>
      <c r="W38" s="3559"/>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560" t="str">
        <f>A39</f>
        <v>估价对象XX用房的比较价值（楼面单价，元/平方米）</v>
      </c>
      <c r="Q39" s="3561"/>
      <c r="R39" s="3609" t="e">
        <f>IF(F1="售价",ROUND(IF(D38="简单平均",AVERAGE(R38:W38),R38*F38+T38*H38+V38*J38),0),ROUND(IF(D38="简单平均",AVERAGE(R38:V38),R38*F38+T38*H38+V38*J38),1))</f>
        <v>#DIV/0!</v>
      </c>
      <c r="S39" s="3609"/>
      <c r="T39" s="3609"/>
      <c r="U39" s="3609"/>
      <c r="V39" s="3609"/>
      <c r="W39" s="3609"/>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2022-8</v>
      </c>
      <c r="D48" s="1347">
        <f>EDATE(C48,-1)</f>
        <v>44743</v>
      </c>
      <c r="E48" s="1347">
        <f t="shared" ref="E48:O48" si="16">EDATE(D48,-1)</f>
        <v>44713</v>
      </c>
      <c r="F48" s="1347">
        <f t="shared" si="16"/>
        <v>44682</v>
      </c>
      <c r="G48" s="1347">
        <f t="shared" si="16"/>
        <v>44652</v>
      </c>
      <c r="H48" s="1347">
        <f t="shared" si="16"/>
        <v>44621</v>
      </c>
      <c r="I48" s="1347">
        <f t="shared" si="16"/>
        <v>44593</v>
      </c>
      <c r="J48" s="1347">
        <f t="shared" si="16"/>
        <v>44562</v>
      </c>
      <c r="K48" s="1347">
        <f t="shared" si="16"/>
        <v>44531</v>
      </c>
      <c r="L48" s="1347">
        <f t="shared" si="16"/>
        <v>44501</v>
      </c>
      <c r="M48" s="1347">
        <f t="shared" si="16"/>
        <v>44470</v>
      </c>
      <c r="N48" s="1347">
        <f t="shared" si="16"/>
        <v>44440</v>
      </c>
      <c r="O48" s="1347">
        <f t="shared" si="16"/>
        <v>44409</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C1" zoomScale="80" zoomScaleNormal="70" zoomScaleSheetLayoutView="80" workbookViewId="0">
      <selection activeCell="H17" sqref="H1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3203</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6.5</v>
      </c>
      <c r="C3" s="360" t="s">
        <v>2464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2465</v>
      </c>
      <c r="B4" s="362"/>
      <c r="C4" s="3520" t="s">
        <v>2466</v>
      </c>
      <c r="D4" s="3521"/>
      <c r="E4" s="3522" t="s">
        <v>2467</v>
      </c>
      <c r="F4" s="3523"/>
      <c r="G4" s="3520" t="s">
        <v>2468</v>
      </c>
      <c r="H4" s="3521"/>
      <c r="I4" s="3520" t="s">
        <v>2469</v>
      </c>
      <c r="J4" s="3521"/>
      <c r="K4" s="567" t="s">
        <v>2470</v>
      </c>
      <c r="L4" s="2932"/>
      <c r="M4" s="2933"/>
      <c r="N4" s="2933"/>
      <c r="O4" s="2933"/>
      <c r="P4" s="3524" t="s">
        <v>2471</v>
      </c>
      <c r="Q4" s="3525"/>
      <c r="R4" s="3530" t="s">
        <v>2467</v>
      </c>
      <c r="S4" s="3531"/>
      <c r="T4" s="3530" t="s">
        <v>2468</v>
      </c>
      <c r="U4" s="3531"/>
      <c r="V4" s="3544" t="s">
        <v>2469</v>
      </c>
      <c r="W4" s="3544"/>
      <c r="X4" s="1539"/>
      <c r="Y4" s="3530" t="s">
        <v>2471</v>
      </c>
      <c r="Z4" s="3531"/>
      <c r="AA4" s="3517" t="s">
        <v>2467</v>
      </c>
      <c r="AB4" s="3544" t="s">
        <v>2468</v>
      </c>
      <c r="AC4" s="3517" t="s">
        <v>2469</v>
      </c>
    </row>
    <row r="5" spans="1:29" ht="15">
      <c r="A5" s="364"/>
      <c r="B5" s="365"/>
      <c r="C5" s="3534" t="s">
        <v>3297</v>
      </c>
      <c r="D5" s="3535"/>
      <c r="E5" s="3536" t="s">
        <v>3522</v>
      </c>
      <c r="F5" s="3537"/>
      <c r="G5" s="3534" t="s">
        <v>3298</v>
      </c>
      <c r="H5" s="3535"/>
      <c r="I5" s="3534" t="s">
        <v>3523</v>
      </c>
      <c r="J5" s="3535"/>
      <c r="K5" s="567"/>
      <c r="L5" s="2932"/>
      <c r="M5" s="2933"/>
      <c r="N5" s="2933"/>
      <c r="O5" s="2933"/>
      <c r="P5" s="3526"/>
      <c r="Q5" s="3527"/>
      <c r="R5" s="3532"/>
      <c r="S5" s="3533"/>
      <c r="T5" s="3532"/>
      <c r="U5" s="3533"/>
      <c r="V5" s="3544"/>
      <c r="W5" s="3544"/>
      <c r="X5" s="1539"/>
      <c r="Y5" s="3532"/>
      <c r="Z5" s="3533"/>
      <c r="AA5" s="3518"/>
      <c r="AB5" s="3544"/>
      <c r="AC5" s="3518"/>
    </row>
    <row r="6" spans="1:29" ht="15.75" thickBot="1">
      <c r="A6" s="366"/>
      <c r="B6" s="367"/>
      <c r="C6" s="3538" t="s">
        <v>2366</v>
      </c>
      <c r="D6" s="3539"/>
      <c r="E6" s="3540" t="s">
        <v>2366</v>
      </c>
      <c r="F6" s="3541"/>
      <c r="G6" s="3538" t="s">
        <v>2366</v>
      </c>
      <c r="H6" s="3539"/>
      <c r="I6" s="3538" t="s">
        <v>2366</v>
      </c>
      <c r="J6" s="3539"/>
      <c r="K6" s="567" t="s">
        <v>2367</v>
      </c>
      <c r="L6" s="2932"/>
      <c r="M6" s="2933"/>
      <c r="N6" s="2933"/>
      <c r="O6" s="2933"/>
      <c r="P6" s="3528"/>
      <c r="Q6" s="3529"/>
      <c r="R6" s="3532"/>
      <c r="S6" s="3533"/>
      <c r="T6" s="3542"/>
      <c r="U6" s="3543"/>
      <c r="V6" s="3544"/>
      <c r="W6" s="3544"/>
      <c r="X6" s="1539"/>
      <c r="Y6" s="3542"/>
      <c r="Z6" s="3543"/>
      <c r="AA6" s="3519"/>
      <c r="AB6" s="3544"/>
      <c r="AC6" s="3519"/>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45" t="s">
        <v>2369</v>
      </c>
      <c r="Q7" s="3546"/>
      <c r="R7" s="710" t="s">
        <v>17</v>
      </c>
      <c r="S7" s="711">
        <f t="shared" ref="S7:S15" si="0">F7</f>
        <v>100</v>
      </c>
      <c r="T7" s="710" t="s">
        <v>17</v>
      </c>
      <c r="U7" s="711">
        <f t="shared" ref="U7:U15" si="1">H7</f>
        <v>100</v>
      </c>
      <c r="V7" s="710" t="s">
        <v>17</v>
      </c>
      <c r="W7" s="711">
        <f t="shared" ref="W7:W15" si="2">J7</f>
        <v>100</v>
      </c>
      <c r="X7" s="712"/>
      <c r="Y7" s="3545" t="s">
        <v>2369</v>
      </c>
      <c r="Z7" s="3547"/>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105</v>
      </c>
      <c r="G8" s="374" t="s">
        <v>3216</v>
      </c>
      <c r="H8" s="371">
        <f>SUMIF(61:61,G8,62:62)-SUMIF(61:61,C8,62:62)+100</f>
        <v>105</v>
      </c>
      <c r="I8" s="374" t="s">
        <v>3216</v>
      </c>
      <c r="J8" s="371">
        <f>SUMIF(61:61,I8,62:62)-SUMIF(61:61,C8,62:62)+100</f>
        <v>105</v>
      </c>
      <c r="K8" s="568"/>
      <c r="L8" s="2934"/>
      <c r="M8" s="2935"/>
      <c r="N8" s="2935"/>
      <c r="O8" s="2935"/>
      <c r="P8" s="3545" t="s">
        <v>2372</v>
      </c>
      <c r="Q8" s="3547"/>
      <c r="R8" s="710" t="s">
        <v>17</v>
      </c>
      <c r="S8" s="711">
        <f t="shared" si="0"/>
        <v>105</v>
      </c>
      <c r="T8" s="710" t="s">
        <v>17</v>
      </c>
      <c r="U8" s="711">
        <f t="shared" si="1"/>
        <v>105</v>
      </c>
      <c r="V8" s="710" t="s">
        <v>17</v>
      </c>
      <c r="W8" s="711">
        <f t="shared" si="2"/>
        <v>105</v>
      </c>
      <c r="X8" s="712"/>
      <c r="Y8" s="3545" t="s">
        <v>2372</v>
      </c>
      <c r="Z8" s="3547"/>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7" t="s">
        <v>3247</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48" t="s">
        <v>2375</v>
      </c>
      <c r="Q9" s="1527" t="str">
        <f t="shared" ref="Q9:Q15" si="6">B9</f>
        <v>用途</v>
      </c>
      <c r="R9" s="710" t="s">
        <v>17</v>
      </c>
      <c r="S9" s="711">
        <f t="shared" si="0"/>
        <v>100</v>
      </c>
      <c r="T9" s="710" t="s">
        <v>17</v>
      </c>
      <c r="U9" s="711">
        <f t="shared" si="1"/>
        <v>100</v>
      </c>
      <c r="V9" s="710" t="s">
        <v>17</v>
      </c>
      <c r="W9" s="711">
        <f t="shared" si="2"/>
        <v>100</v>
      </c>
      <c r="X9" s="712"/>
      <c r="Y9" s="3427" t="s">
        <v>2376</v>
      </c>
      <c r="Z9" s="55" t="str">
        <f t="shared" ref="Z9:Z15" si="7">Q9</f>
        <v>用途</v>
      </c>
      <c r="AA9" s="713">
        <f t="shared" si="3"/>
        <v>1</v>
      </c>
      <c r="AB9" s="713">
        <f t="shared" si="4"/>
        <v>1</v>
      </c>
      <c r="AC9" s="713">
        <f t="shared" si="5"/>
        <v>1</v>
      </c>
    </row>
    <row r="10" spans="1:29" s="386" customFormat="1" ht="27" hidden="1">
      <c r="A10" s="380"/>
      <c r="B10" s="381" t="s">
        <v>2377</v>
      </c>
      <c r="C10" s="382" t="s">
        <v>3248</v>
      </c>
      <c r="D10" s="132">
        <v>100</v>
      </c>
      <c r="E10" s="383" t="s">
        <v>3248</v>
      </c>
      <c r="F10" s="384">
        <f>SUMIF(65:65,E10,66:66)-SUMIF(65:65,C10,66:66)+100</f>
        <v>100</v>
      </c>
      <c r="G10" s="382" t="s">
        <v>3248</v>
      </c>
      <c r="H10" s="132">
        <f>SUMIF(65:65,G10,66:66)-SUMIF(65:65,C10,66:66)+100</f>
        <v>100</v>
      </c>
      <c r="I10" s="3136" t="s">
        <v>3248</v>
      </c>
      <c r="J10" s="132">
        <f>SUMIF(65:65,I10,66:66)-SUMIF(65:65,C10,66:66)+100</f>
        <v>100</v>
      </c>
      <c r="K10" s="569">
        <v>2</v>
      </c>
      <c r="L10" s="2936"/>
      <c r="M10" s="2937"/>
      <c r="N10" s="2937"/>
      <c r="O10" s="2937"/>
      <c r="P10" s="3548"/>
      <c r="Q10" s="1527" t="str">
        <f t="shared" si="6"/>
        <v>土地使用年限（年）</v>
      </c>
      <c r="R10" s="710" t="s">
        <v>17</v>
      </c>
      <c r="S10" s="711">
        <f t="shared" si="0"/>
        <v>100</v>
      </c>
      <c r="T10" s="710" t="s">
        <v>17</v>
      </c>
      <c r="U10" s="711">
        <f t="shared" si="1"/>
        <v>100</v>
      </c>
      <c r="V10" s="710" t="s">
        <v>17</v>
      </c>
      <c r="W10" s="711">
        <f t="shared" si="2"/>
        <v>100</v>
      </c>
      <c r="X10" s="712"/>
      <c r="Y10" s="3427"/>
      <c r="Z10" s="55"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48"/>
      <c r="Q11" s="1527" t="str">
        <f t="shared" si="6"/>
        <v>容积率</v>
      </c>
      <c r="R11" s="710" t="s">
        <v>17</v>
      </c>
      <c r="S11" s="711">
        <f t="shared" si="0"/>
        <v>100</v>
      </c>
      <c r="T11" s="710" t="s">
        <v>17</v>
      </c>
      <c r="U11" s="711">
        <f t="shared" si="1"/>
        <v>100</v>
      </c>
      <c r="V11" s="710" t="s">
        <v>17</v>
      </c>
      <c r="W11" s="711">
        <f t="shared" si="2"/>
        <v>100</v>
      </c>
      <c r="X11" s="712"/>
      <c r="Y11" s="3427"/>
      <c r="Z11" s="55"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48"/>
      <c r="Q12" s="1527">
        <f t="shared" si="6"/>
        <v>111</v>
      </c>
      <c r="R12" s="710" t="s">
        <v>17</v>
      </c>
      <c r="S12" s="711">
        <f t="shared" si="0"/>
        <v>100</v>
      </c>
      <c r="T12" s="710" t="s">
        <v>17</v>
      </c>
      <c r="U12" s="711">
        <f t="shared" si="1"/>
        <v>100</v>
      </c>
      <c r="V12" s="710" t="s">
        <v>17</v>
      </c>
      <c r="W12" s="711">
        <f t="shared" si="2"/>
        <v>100</v>
      </c>
      <c r="X12" s="712"/>
      <c r="Y12" s="3427"/>
      <c r="Z12" s="55">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48"/>
      <c r="Q13" s="1527">
        <f t="shared" si="6"/>
        <v>111</v>
      </c>
      <c r="R13" s="710" t="s">
        <v>17</v>
      </c>
      <c r="S13" s="711">
        <f t="shared" si="0"/>
        <v>100</v>
      </c>
      <c r="T13" s="710" t="s">
        <v>17</v>
      </c>
      <c r="U13" s="711">
        <f t="shared" si="1"/>
        <v>100</v>
      </c>
      <c r="V13" s="710" t="s">
        <v>17</v>
      </c>
      <c r="W13" s="711">
        <f t="shared" si="2"/>
        <v>100</v>
      </c>
      <c r="X13" s="712"/>
      <c r="Y13" s="3427"/>
      <c r="Z13" s="55">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48"/>
      <c r="Q14" s="1527">
        <f t="shared" si="6"/>
        <v>111</v>
      </c>
      <c r="R14" s="710" t="s">
        <v>17</v>
      </c>
      <c r="S14" s="711">
        <f t="shared" si="0"/>
        <v>100</v>
      </c>
      <c r="T14" s="710" t="s">
        <v>17</v>
      </c>
      <c r="U14" s="711">
        <f t="shared" si="1"/>
        <v>100</v>
      </c>
      <c r="V14" s="710" t="s">
        <v>17</v>
      </c>
      <c r="W14" s="711">
        <f t="shared" si="2"/>
        <v>100</v>
      </c>
      <c r="X14" s="712"/>
      <c r="Y14" s="3427"/>
      <c r="Z14" s="55">
        <f t="shared" si="7"/>
        <v>111</v>
      </c>
      <c r="AA14" s="713">
        <f t="shared" si="3"/>
        <v>1</v>
      </c>
      <c r="AB14" s="713">
        <f t="shared" si="4"/>
        <v>1</v>
      </c>
      <c r="AC14" s="713">
        <f t="shared" si="5"/>
        <v>1</v>
      </c>
    </row>
    <row r="15" spans="1:29" ht="30"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105</v>
      </c>
      <c r="G15" s="403"/>
      <c r="H15" s="400">
        <f>SUMIF(76:76,G16,77:77)-SUMIF(76:76,C16,77:77)+100</f>
        <v>100</v>
      </c>
      <c r="I15" s="401"/>
      <c r="J15" s="400">
        <f>SUMIF(76:76,I16,77:77)-SUMIF(76:76,C16,77:77)+100</f>
        <v>100</v>
      </c>
      <c r="K15" s="571">
        <v>5</v>
      </c>
      <c r="L15" s="2939"/>
      <c r="M15" s="2933"/>
      <c r="N15" s="2933"/>
      <c r="O15" s="2933"/>
      <c r="P15" s="3549" t="s">
        <v>2380</v>
      </c>
      <c r="Q15" s="1536" t="str">
        <f t="shared" si="6"/>
        <v>商业繁华度</v>
      </c>
      <c r="R15" s="714" t="s">
        <v>17</v>
      </c>
      <c r="S15" s="715">
        <f t="shared" si="0"/>
        <v>105</v>
      </c>
      <c r="T15" s="714" t="s">
        <v>17</v>
      </c>
      <c r="U15" s="715">
        <f t="shared" si="1"/>
        <v>100</v>
      </c>
      <c r="V15" s="714" t="s">
        <v>17</v>
      </c>
      <c r="W15" s="715">
        <f t="shared" si="2"/>
        <v>100</v>
      </c>
      <c r="X15" s="1539"/>
      <c r="Y15" s="3551" t="s">
        <v>2380</v>
      </c>
      <c r="Z15" s="1540" t="str">
        <f t="shared" si="7"/>
        <v>商业繁华度</v>
      </c>
      <c r="AA15" s="1537">
        <f t="shared" si="3"/>
        <v>0.95238095238095233</v>
      </c>
      <c r="AB15" s="1537">
        <f t="shared" si="4"/>
        <v>1</v>
      </c>
      <c r="AC15" s="1537">
        <f t="shared" si="5"/>
        <v>1</v>
      </c>
    </row>
    <row r="16" spans="1:29" ht="15">
      <c r="A16" s="387"/>
      <c r="B16" s="405"/>
      <c r="C16" s="406" t="s">
        <v>3240</v>
      </c>
      <c r="D16" s="407"/>
      <c r="E16" s="406" t="s">
        <v>3243</v>
      </c>
      <c r="F16" s="408"/>
      <c r="G16" s="406" t="s">
        <v>3240</v>
      </c>
      <c r="H16" s="409"/>
      <c r="I16" s="406" t="s">
        <v>3240</v>
      </c>
      <c r="J16" s="407"/>
      <c r="K16" s="572"/>
      <c r="L16" s="2939"/>
      <c r="M16" s="2933"/>
      <c r="N16" s="2933"/>
      <c r="O16" s="2933"/>
      <c r="P16" s="3550"/>
      <c r="Q16" s="1536"/>
      <c r="R16" s="714"/>
      <c r="S16" s="715"/>
      <c r="T16" s="714"/>
      <c r="U16" s="715"/>
      <c r="V16" s="714"/>
      <c r="W16" s="715"/>
      <c r="X16" s="1539"/>
      <c r="Y16" s="3552"/>
      <c r="Z16" s="1540"/>
      <c r="AA16" s="1537">
        <v>1</v>
      </c>
      <c r="AB16" s="1537">
        <v>1</v>
      </c>
      <c r="AC16" s="1537">
        <v>1</v>
      </c>
    </row>
    <row r="17" spans="1:29" ht="24"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105</v>
      </c>
      <c r="G17" s="413"/>
      <c r="H17" s="414">
        <f>SUMIF(78:78,G18,79:79)-SUMIF(78:78,C18,79:79)+100</f>
        <v>105</v>
      </c>
      <c r="I17" s="411"/>
      <c r="J17" s="414">
        <f>SUMIF(78:78,I18,79:79)-SUMIF(78:78,C18,79:79)+100</f>
        <v>100</v>
      </c>
      <c r="K17" s="571">
        <v>5</v>
      </c>
      <c r="L17" s="2939"/>
      <c r="M17" s="2933"/>
      <c r="N17" s="2933"/>
      <c r="O17" s="2933"/>
      <c r="P17" s="3550"/>
      <c r="Q17" s="1536" t="str">
        <f>B17</f>
        <v>交通便捷度</v>
      </c>
      <c r="R17" s="714" t="s">
        <v>17</v>
      </c>
      <c r="S17" s="715">
        <f>F17</f>
        <v>105</v>
      </c>
      <c r="T17" s="714" t="s">
        <v>17</v>
      </c>
      <c r="U17" s="715">
        <f>H17</f>
        <v>105</v>
      </c>
      <c r="V17" s="714" t="s">
        <v>17</v>
      </c>
      <c r="W17" s="715">
        <f>J17</f>
        <v>100</v>
      </c>
      <c r="X17" s="1539"/>
      <c r="Y17" s="3552"/>
      <c r="Z17" s="1540" t="str">
        <f>Q17</f>
        <v>交通便捷度</v>
      </c>
      <c r="AA17" s="1537">
        <f t="shared" si="3"/>
        <v>0.95238095238095233</v>
      </c>
      <c r="AB17" s="1537">
        <f t="shared" si="4"/>
        <v>0.95238095238095233</v>
      </c>
      <c r="AC17" s="1537">
        <f t="shared" si="5"/>
        <v>1</v>
      </c>
    </row>
    <row r="18" spans="1:29" ht="15">
      <c r="A18" s="387"/>
      <c r="B18" s="415"/>
      <c r="C18" s="2086" t="s">
        <v>3240</v>
      </c>
      <c r="D18" s="409"/>
      <c r="E18" s="2086" t="s">
        <v>3243</v>
      </c>
      <c r="F18" s="412"/>
      <c r="G18" s="2086" t="s">
        <v>3243</v>
      </c>
      <c r="H18" s="407"/>
      <c r="I18" s="2086" t="s">
        <v>3240</v>
      </c>
      <c r="J18" s="407"/>
      <c r="K18" s="572"/>
      <c r="L18" s="2939"/>
      <c r="M18" s="2933"/>
      <c r="N18" s="2933"/>
      <c r="O18" s="2933"/>
      <c r="P18" s="3550"/>
      <c r="Q18" s="1536"/>
      <c r="R18" s="714"/>
      <c r="S18" s="715"/>
      <c r="T18" s="714"/>
      <c r="U18" s="715"/>
      <c r="V18" s="714"/>
      <c r="W18" s="715"/>
      <c r="X18" s="1539"/>
      <c r="Y18" s="3552"/>
      <c r="Z18" s="1540"/>
      <c r="AA18" s="1537">
        <v>1</v>
      </c>
      <c r="AB18" s="1537">
        <v>1</v>
      </c>
      <c r="AC18" s="1537">
        <v>1</v>
      </c>
    </row>
    <row r="19" spans="1:29" ht="21"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0"/>
      <c r="Q19" s="1536" t="str">
        <f>B19</f>
        <v>公共配套设施</v>
      </c>
      <c r="R19" s="714" t="s">
        <v>17</v>
      </c>
      <c r="S19" s="715">
        <f>F19</f>
        <v>100</v>
      </c>
      <c r="T19" s="714" t="s">
        <v>17</v>
      </c>
      <c r="U19" s="715">
        <f>H19</f>
        <v>100</v>
      </c>
      <c r="V19" s="714" t="s">
        <v>17</v>
      </c>
      <c r="W19" s="715">
        <f>J19</f>
        <v>100</v>
      </c>
      <c r="X19" s="1539"/>
      <c r="Y19" s="3552"/>
      <c r="Z19" s="1540" t="str">
        <f>Q19</f>
        <v>公共配套设施</v>
      </c>
      <c r="AA19" s="1537">
        <f t="shared" si="3"/>
        <v>1</v>
      </c>
      <c r="AB19" s="1537">
        <f t="shared" si="4"/>
        <v>1</v>
      </c>
      <c r="AC19" s="1537">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50"/>
      <c r="Q20" s="1536"/>
      <c r="R20" s="714"/>
      <c r="S20" s="715"/>
      <c r="T20" s="714"/>
      <c r="U20" s="715"/>
      <c r="V20" s="714"/>
      <c r="W20" s="715"/>
      <c r="X20" s="1539"/>
      <c r="Y20" s="3552"/>
      <c r="Z20" s="1540"/>
      <c r="AA20" s="1537">
        <v>1</v>
      </c>
      <c r="AB20" s="1537">
        <v>1</v>
      </c>
      <c r="AC20" s="1537">
        <v>1</v>
      </c>
    </row>
    <row r="21" spans="1:29" ht="24.7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0"/>
      <c r="Q21" s="1536" t="str">
        <f>B21</f>
        <v>基础设施水平</v>
      </c>
      <c r="R21" s="714" t="s">
        <v>17</v>
      </c>
      <c r="S21" s="715">
        <f>F21</f>
        <v>100</v>
      </c>
      <c r="T21" s="714" t="s">
        <v>17</v>
      </c>
      <c r="U21" s="715">
        <f>H21</f>
        <v>100</v>
      </c>
      <c r="V21" s="714" t="s">
        <v>17</v>
      </c>
      <c r="W21" s="715">
        <f>J21</f>
        <v>100</v>
      </c>
      <c r="X21" s="1539"/>
      <c r="Y21" s="3552"/>
      <c r="Z21" s="1540" t="str">
        <f>Q21</f>
        <v>基础设施水平</v>
      </c>
      <c r="AA21" s="1537">
        <f t="shared" ref="AA21" si="8">D21/F21</f>
        <v>1</v>
      </c>
      <c r="AB21" s="1537">
        <f t="shared" ref="AB21" si="9">D21/H21</f>
        <v>1</v>
      </c>
      <c r="AC21" s="1537">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50"/>
      <c r="Q22" s="1536"/>
      <c r="R22" s="714"/>
      <c r="S22" s="715"/>
      <c r="T22" s="714"/>
      <c r="U22" s="715"/>
      <c r="V22" s="714"/>
      <c r="W22" s="715"/>
      <c r="X22" s="1539"/>
      <c r="Y22" s="3552"/>
      <c r="Z22" s="1540"/>
      <c r="AA22" s="1537">
        <v>1</v>
      </c>
      <c r="AB22" s="1537">
        <v>1</v>
      </c>
      <c r="AC22" s="1537">
        <v>1</v>
      </c>
    </row>
    <row r="23" spans="1:29" ht="30"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0"/>
      <c r="Q23" s="1536" t="str">
        <f>B23</f>
        <v>自然及人文环境</v>
      </c>
      <c r="R23" s="714" t="s">
        <v>17</v>
      </c>
      <c r="S23" s="715">
        <f>F23</f>
        <v>100</v>
      </c>
      <c r="T23" s="714" t="s">
        <v>17</v>
      </c>
      <c r="U23" s="715">
        <f>H23</f>
        <v>100</v>
      </c>
      <c r="V23" s="714" t="s">
        <v>17</v>
      </c>
      <c r="W23" s="715">
        <f>J23</f>
        <v>100</v>
      </c>
      <c r="X23" s="1539"/>
      <c r="Y23" s="3552"/>
      <c r="Z23" s="1540" t="str">
        <f>Q23</f>
        <v>自然及人文环境</v>
      </c>
      <c r="AA23" s="1537">
        <f t="shared" si="3"/>
        <v>1</v>
      </c>
      <c r="AB23" s="1537">
        <f t="shared" si="4"/>
        <v>1</v>
      </c>
      <c r="AC23" s="1537">
        <f t="shared" si="5"/>
        <v>1</v>
      </c>
    </row>
    <row r="24" spans="1:29" ht="15">
      <c r="A24" s="387"/>
      <c r="B24" s="415"/>
      <c r="C24" s="406" t="s">
        <v>3239</v>
      </c>
      <c r="D24" s="407"/>
      <c r="E24" s="406" t="s">
        <v>3239</v>
      </c>
      <c r="F24" s="408"/>
      <c r="G24" s="406" t="s">
        <v>3239</v>
      </c>
      <c r="H24" s="407"/>
      <c r="I24" s="406" t="s">
        <v>3239</v>
      </c>
      <c r="J24" s="407"/>
      <c r="K24" s="572"/>
      <c r="L24" s="2939"/>
      <c r="M24" s="2933"/>
      <c r="N24" s="2933"/>
      <c r="O24" s="2933"/>
      <c r="P24" s="3550"/>
      <c r="Q24" s="1536"/>
      <c r="R24" s="714"/>
      <c r="S24" s="715"/>
      <c r="T24" s="714"/>
      <c r="U24" s="715"/>
      <c r="V24" s="714"/>
      <c r="W24" s="715"/>
      <c r="X24" s="1539"/>
      <c r="Y24" s="3552"/>
      <c r="Z24" s="1540"/>
      <c r="AA24" s="1537">
        <v>1</v>
      </c>
      <c r="AB24" s="1537">
        <v>1</v>
      </c>
      <c r="AC24" s="1537">
        <v>1</v>
      </c>
    </row>
    <row r="25" spans="1:29" ht="15">
      <c r="A25" s="387"/>
      <c r="B25" s="381" t="s">
        <v>2476</v>
      </c>
      <c r="C25" s="573" t="s">
        <v>3235</v>
      </c>
      <c r="D25" s="394">
        <v>100</v>
      </c>
      <c r="E25" s="573" t="s">
        <v>3524</v>
      </c>
      <c r="F25" s="420">
        <f>SUMIF(86:86,E25,87:87)-SUMIF(86:86,C25,87:87)+100</f>
        <v>103</v>
      </c>
      <c r="G25" s="573" t="s">
        <v>3235</v>
      </c>
      <c r="H25" s="394">
        <f>SUMIF(86:86,G25,87:87)-SUMIF(86:86,C25,87:87)+100</f>
        <v>100</v>
      </c>
      <c r="I25" s="573" t="s">
        <v>3235</v>
      </c>
      <c r="J25" s="394">
        <f>SUMIF(86:86,I25,87:87)-SUMIF(86:86,C25,87:87)+100</f>
        <v>100</v>
      </c>
      <c r="K25" s="569">
        <v>3</v>
      </c>
      <c r="L25" s="2939"/>
      <c r="M25" s="2933"/>
      <c r="N25" s="2933"/>
      <c r="O25" s="2933"/>
      <c r="P25" s="3550"/>
      <c r="Q25" s="1536" t="str">
        <f t="shared" ref="Q25:Q46" si="11">B25</f>
        <v>临街状况</v>
      </c>
      <c r="R25" s="714" t="s">
        <v>17</v>
      </c>
      <c r="S25" s="715">
        <f>F25</f>
        <v>103</v>
      </c>
      <c r="T25" s="714" t="s">
        <v>17</v>
      </c>
      <c r="U25" s="715">
        <f>H25</f>
        <v>100</v>
      </c>
      <c r="V25" s="714" t="s">
        <v>17</v>
      </c>
      <c r="W25" s="715">
        <f>J25</f>
        <v>100</v>
      </c>
      <c r="X25" s="1539"/>
      <c r="Y25" s="3552"/>
      <c r="Z25" s="1540" t="str">
        <f>Q25</f>
        <v>临街状况</v>
      </c>
      <c r="AA25" s="1537">
        <f t="shared" si="3"/>
        <v>0.970873786407767</v>
      </c>
      <c r="AB25" s="1537">
        <f t="shared" si="4"/>
        <v>1</v>
      </c>
      <c r="AC25" s="1537">
        <f t="shared" si="5"/>
        <v>1</v>
      </c>
    </row>
    <row r="26" spans="1:29" ht="15">
      <c r="A26" s="387"/>
      <c r="B26" s="1295" t="s">
        <v>2477</v>
      </c>
      <c r="C26" s="3256" t="s">
        <v>3530</v>
      </c>
      <c r="D26" s="394">
        <v>100</v>
      </c>
      <c r="E26" s="3256" t="s">
        <v>3530</v>
      </c>
      <c r="F26" s="420">
        <f>SUMIF(88:88,E26,89:89)-SUMIF(88:88,C26,89:89)+100</f>
        <v>100</v>
      </c>
      <c r="G26" s="3256" t="s">
        <v>3530</v>
      </c>
      <c r="H26" s="394">
        <f>SUMIF(88:88,G26,89:89)-SUMIF(88:88,C26,89:89)+100</f>
        <v>100</v>
      </c>
      <c r="I26" s="3256" t="s">
        <v>3530</v>
      </c>
      <c r="J26" s="394">
        <f>SUMIF(88:88,I26,89:89)-SUMIF(88:88,C26,89:89)+100</f>
        <v>100</v>
      </c>
      <c r="K26" s="570"/>
      <c r="L26" s="2939"/>
      <c r="M26" s="2933"/>
      <c r="N26" s="2933"/>
      <c r="O26" s="2933"/>
      <c r="P26" s="3550"/>
      <c r="Q26" s="1536" t="str">
        <f t="shared" si="11"/>
        <v>平面位置/可视性</v>
      </c>
      <c r="R26" s="714" t="s">
        <v>17</v>
      </c>
      <c r="S26" s="715">
        <f>F26</f>
        <v>100</v>
      </c>
      <c r="T26" s="714" t="s">
        <v>17</v>
      </c>
      <c r="U26" s="715">
        <f>H26</f>
        <v>100</v>
      </c>
      <c r="V26" s="714" t="s">
        <v>17</v>
      </c>
      <c r="W26" s="715">
        <f>J26</f>
        <v>100</v>
      </c>
      <c r="X26" s="1539"/>
      <c r="Y26" s="3552"/>
      <c r="Z26" s="1540" t="str">
        <f>Q26</f>
        <v>平面位置/可视性</v>
      </c>
      <c r="AA26" s="1537">
        <f t="shared" si="3"/>
        <v>1</v>
      </c>
      <c r="AB26" s="1537">
        <f t="shared" si="4"/>
        <v>1</v>
      </c>
      <c r="AC26" s="1537">
        <f t="shared" si="5"/>
        <v>1</v>
      </c>
    </row>
    <row r="27" spans="1:29" s="113" customFormat="1" ht="15">
      <c r="A27" s="390"/>
      <c r="B27" s="410" t="s">
        <v>2478</v>
      </c>
      <c r="C27" s="2141" t="s">
        <v>3244</v>
      </c>
      <c r="D27" s="421">
        <v>100</v>
      </c>
      <c r="E27" s="2141" t="s">
        <v>3525</v>
      </c>
      <c r="F27" s="423">
        <f>SUMIF(90:90,E27,91:91)-SUMIF(90:90,C27,91:91)+100</f>
        <v>105</v>
      </c>
      <c r="G27" s="2141" t="s">
        <v>3244</v>
      </c>
      <c r="H27" s="421">
        <f>SUMIF(90:90,G27,91:91)-SUMIF(90:90,C27,91:91)+100</f>
        <v>100</v>
      </c>
      <c r="I27" s="2141" t="s">
        <v>3244</v>
      </c>
      <c r="J27" s="421">
        <f>SUMIF(90:90,I27,91:91)-SUMIF(90:90,C27,91:91)+100</f>
        <v>100</v>
      </c>
      <c r="K27" s="569">
        <v>5</v>
      </c>
      <c r="L27" s="2934"/>
      <c r="M27" s="2935"/>
      <c r="N27" s="2935"/>
      <c r="O27" s="2935"/>
      <c r="P27" s="3550"/>
      <c r="Q27" s="1527" t="str">
        <f t="shared" si="11"/>
        <v>人流量</v>
      </c>
      <c r="R27" s="710" t="s">
        <v>17</v>
      </c>
      <c r="S27" s="711">
        <f>F27</f>
        <v>105</v>
      </c>
      <c r="T27" s="710" t="s">
        <v>17</v>
      </c>
      <c r="U27" s="711">
        <f>H27</f>
        <v>100</v>
      </c>
      <c r="V27" s="710" t="s">
        <v>17</v>
      </c>
      <c r="W27" s="711">
        <f>J27</f>
        <v>100</v>
      </c>
      <c r="X27" s="712"/>
      <c r="Y27" s="3552"/>
      <c r="Z27" s="55" t="str">
        <f>Q27</f>
        <v>人流量</v>
      </c>
      <c r="AA27" s="1537">
        <f>D27/F27</f>
        <v>0.95238095238095233</v>
      </c>
      <c r="AB27" s="1537">
        <f>D27/H27</f>
        <v>1</v>
      </c>
      <c r="AC27" s="1537">
        <f>D27/J27</f>
        <v>1</v>
      </c>
    </row>
    <row r="28" spans="1:29" ht="15.75" thickBot="1">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5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52"/>
      <c r="Z28" s="1540" t="str">
        <f t="shared" ref="Z28:Z46" si="15">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0"/>
      <c r="Q29" s="1536">
        <f t="shared" si="11"/>
        <v>111</v>
      </c>
      <c r="R29" s="714" t="s">
        <v>17</v>
      </c>
      <c r="S29" s="715">
        <f t="shared" si="12"/>
        <v>100</v>
      </c>
      <c r="T29" s="714" t="s">
        <v>17</v>
      </c>
      <c r="U29" s="715">
        <f t="shared" si="13"/>
        <v>100</v>
      </c>
      <c r="V29" s="714" t="s">
        <v>17</v>
      </c>
      <c r="W29" s="715">
        <f t="shared" si="14"/>
        <v>100</v>
      </c>
      <c r="X29" s="1539"/>
      <c r="Y29" s="3552"/>
      <c r="Z29" s="1540">
        <f t="shared" si="15"/>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0"/>
      <c r="Q30" s="1536">
        <f t="shared" si="11"/>
        <v>111</v>
      </c>
      <c r="R30" s="714" t="s">
        <v>17</v>
      </c>
      <c r="S30" s="715">
        <f t="shared" si="12"/>
        <v>100</v>
      </c>
      <c r="T30" s="714" t="s">
        <v>17</v>
      </c>
      <c r="U30" s="715">
        <f t="shared" si="13"/>
        <v>100</v>
      </c>
      <c r="V30" s="714" t="s">
        <v>17</v>
      </c>
      <c r="W30" s="715">
        <f t="shared" si="14"/>
        <v>100</v>
      </c>
      <c r="X30" s="1539"/>
      <c r="Y30" s="3552"/>
      <c r="Z30" s="1540">
        <f t="shared" si="15"/>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0"/>
      <c r="Q31" s="1536">
        <f t="shared" si="11"/>
        <v>111</v>
      </c>
      <c r="R31" s="714" t="s">
        <v>17</v>
      </c>
      <c r="S31" s="715">
        <f t="shared" si="12"/>
        <v>100</v>
      </c>
      <c r="T31" s="714" t="s">
        <v>17</v>
      </c>
      <c r="U31" s="715">
        <f t="shared" si="13"/>
        <v>100</v>
      </c>
      <c r="V31" s="714" t="s">
        <v>17</v>
      </c>
      <c r="W31" s="715">
        <f t="shared" si="14"/>
        <v>100</v>
      </c>
      <c r="X31" s="1539"/>
      <c r="Y31" s="3552"/>
      <c r="Z31" s="1540">
        <f t="shared" si="15"/>
        <v>111</v>
      </c>
      <c r="AA31" s="1537">
        <f t="shared" si="3"/>
        <v>1</v>
      </c>
      <c r="AB31" s="1537">
        <f t="shared" si="4"/>
        <v>1</v>
      </c>
      <c r="AC31" s="1537">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v>5</v>
      </c>
      <c r="L32" s="2939"/>
      <c r="M32" s="2933"/>
      <c r="N32" s="2933"/>
      <c r="O32" s="2933"/>
      <c r="P32" s="3553" t="s">
        <v>2385</v>
      </c>
      <c r="Q32" s="1536" t="str">
        <f t="shared" si="11"/>
        <v>商业类型</v>
      </c>
      <c r="R32" s="714" t="s">
        <v>17</v>
      </c>
      <c r="S32" s="715">
        <f t="shared" si="12"/>
        <v>100</v>
      </c>
      <c r="T32" s="714" t="s">
        <v>17</v>
      </c>
      <c r="U32" s="715">
        <f t="shared" si="13"/>
        <v>100</v>
      </c>
      <c r="V32" s="714" t="s">
        <v>17</v>
      </c>
      <c r="W32" s="715">
        <f t="shared" si="14"/>
        <v>100</v>
      </c>
      <c r="X32" s="1539"/>
      <c r="Y32" s="3556" t="s">
        <v>2385</v>
      </c>
      <c r="Z32" s="1540" t="str">
        <f t="shared" si="15"/>
        <v>商业类型</v>
      </c>
      <c r="AA32" s="1537">
        <f t="shared" si="3"/>
        <v>1</v>
      </c>
      <c r="AB32" s="1537">
        <f t="shared" si="4"/>
        <v>1</v>
      </c>
      <c r="AC32" s="1537">
        <f t="shared" si="5"/>
        <v>1</v>
      </c>
    </row>
    <row r="33" spans="1:29" s="430" customFormat="1" ht="15">
      <c r="A33" s="427"/>
      <c r="B33" s="381" t="s">
        <v>2386</v>
      </c>
      <c r="C33" s="428">
        <f>面积表!G2</f>
        <v>146.99</v>
      </c>
      <c r="D33" s="132">
        <v>100</v>
      </c>
      <c r="E33" s="389">
        <f>租金案例!N6</f>
        <v>265</v>
      </c>
      <c r="F33" s="384">
        <f>LOOKUP(E33,103:103,104:104)-LOOKUP(C33,103:103,104:104)+100</f>
        <v>99</v>
      </c>
      <c r="G33" s="388">
        <f>租金案例!N27</f>
        <v>50</v>
      </c>
      <c r="H33" s="132">
        <f>LOOKUP(G33,103:103,104:104)-LOOKUP(C33,103:103,104:104)+100</f>
        <v>101</v>
      </c>
      <c r="I33" s="388">
        <f>租金案例!N57</f>
        <v>308</v>
      </c>
      <c r="J33" s="132">
        <f>LOOKUP(I33,103:103,104:104)-LOOKUP(C33,103:103,104:104)+100</f>
        <v>99</v>
      </c>
      <c r="K33" s="570"/>
      <c r="L33" s="2938"/>
      <c r="M33" s="2940"/>
      <c r="N33" s="2940"/>
      <c r="O33" s="2940"/>
      <c r="P33" s="3554"/>
      <c r="Q33" s="716" t="str">
        <f t="shared" si="11"/>
        <v>项目建筑规模</v>
      </c>
      <c r="R33" s="717" t="s">
        <v>17</v>
      </c>
      <c r="S33" s="718">
        <f t="shared" si="12"/>
        <v>99</v>
      </c>
      <c r="T33" s="717" t="s">
        <v>17</v>
      </c>
      <c r="U33" s="718">
        <f t="shared" si="13"/>
        <v>101</v>
      </c>
      <c r="V33" s="717" t="s">
        <v>17</v>
      </c>
      <c r="W33" s="718">
        <f t="shared" si="14"/>
        <v>99</v>
      </c>
      <c r="X33" s="719"/>
      <c r="Y33" s="3556"/>
      <c r="Z33" s="720" t="str">
        <f t="shared" si="15"/>
        <v>项目建筑规模</v>
      </c>
      <c r="AA33" s="1537">
        <f t="shared" si="3"/>
        <v>1.0101010101010102</v>
      </c>
      <c r="AB33" s="1537">
        <f t="shared" si="4"/>
        <v>0.99009900990099009</v>
      </c>
      <c r="AC33" s="1537">
        <f t="shared" si="5"/>
        <v>1.0101010101010102</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v>1</v>
      </c>
      <c r="L34" s="2939"/>
      <c r="M34" s="2933"/>
      <c r="N34" s="2933"/>
      <c r="O34" s="2933"/>
      <c r="P34" s="3554"/>
      <c r="Q34" s="1536" t="str">
        <f t="shared" si="11"/>
        <v>建筑结构</v>
      </c>
      <c r="R34" s="714" t="s">
        <v>17</v>
      </c>
      <c r="S34" s="715">
        <f t="shared" si="12"/>
        <v>100</v>
      </c>
      <c r="T34" s="714" t="s">
        <v>17</v>
      </c>
      <c r="U34" s="715">
        <f t="shared" si="13"/>
        <v>100</v>
      </c>
      <c r="V34" s="714" t="s">
        <v>17</v>
      </c>
      <c r="W34" s="715">
        <f t="shared" si="14"/>
        <v>100</v>
      </c>
      <c r="X34" s="1539"/>
      <c r="Y34" s="3556"/>
      <c r="Z34" s="1540" t="str">
        <f t="shared" si="15"/>
        <v>建筑结构</v>
      </c>
      <c r="AA34" s="1537">
        <f t="shared" si="3"/>
        <v>1</v>
      </c>
      <c r="AB34" s="1537">
        <f t="shared" si="4"/>
        <v>1</v>
      </c>
      <c r="AC34" s="1537">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v>2</v>
      </c>
      <c r="L35" s="2939"/>
      <c r="M35" s="2933"/>
      <c r="N35" s="2933"/>
      <c r="O35" s="2933"/>
      <c r="P35" s="3554"/>
      <c r="Q35" s="1536" t="str">
        <f t="shared" si="11"/>
        <v>公共部分装修</v>
      </c>
      <c r="R35" s="714" t="s">
        <v>17</v>
      </c>
      <c r="S35" s="715">
        <f t="shared" si="12"/>
        <v>100</v>
      </c>
      <c r="T35" s="714" t="s">
        <v>17</v>
      </c>
      <c r="U35" s="715">
        <f t="shared" si="13"/>
        <v>100</v>
      </c>
      <c r="V35" s="714" t="s">
        <v>17</v>
      </c>
      <c r="W35" s="715">
        <f t="shared" si="14"/>
        <v>100</v>
      </c>
      <c r="X35" s="1539"/>
      <c r="Y35" s="3556"/>
      <c r="Z35" s="1540" t="str">
        <f t="shared" si="15"/>
        <v>公共部分装修</v>
      </c>
      <c r="AA35" s="1537">
        <f t="shared" si="3"/>
        <v>1</v>
      </c>
      <c r="AB35" s="1537">
        <f t="shared" si="4"/>
        <v>1</v>
      </c>
      <c r="AC35" s="1537">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39"/>
      <c r="M36" s="2933"/>
      <c r="N36" s="2933"/>
      <c r="O36" s="2933"/>
      <c r="P36" s="3554"/>
      <c r="Q36" s="1536" t="str">
        <f t="shared" si="11"/>
        <v>成新度</v>
      </c>
      <c r="R36" s="714" t="s">
        <v>17</v>
      </c>
      <c r="S36" s="715">
        <f t="shared" si="12"/>
        <v>100</v>
      </c>
      <c r="T36" s="714" t="s">
        <v>17</v>
      </c>
      <c r="U36" s="715">
        <f t="shared" si="13"/>
        <v>100</v>
      </c>
      <c r="V36" s="714" t="s">
        <v>17</v>
      </c>
      <c r="W36" s="715">
        <f t="shared" si="14"/>
        <v>100</v>
      </c>
      <c r="X36" s="1539"/>
      <c r="Y36" s="3556"/>
      <c r="Z36" s="1540" t="str">
        <f t="shared" si="15"/>
        <v>成新度</v>
      </c>
      <c r="AA36" s="1537">
        <f t="shared" si="3"/>
        <v>1</v>
      </c>
      <c r="AB36" s="1537">
        <f t="shared" si="4"/>
        <v>1</v>
      </c>
      <c r="AC36" s="1537">
        <f t="shared" si="5"/>
        <v>1</v>
      </c>
    </row>
    <row r="37" spans="1:29" s="113" customFormat="1" ht="15">
      <c r="A37" s="432"/>
      <c r="B37" s="381" t="s">
        <v>2483</v>
      </c>
      <c r="C37" s="3137" t="s">
        <v>3222</v>
      </c>
      <c r="D37" s="132">
        <v>100</v>
      </c>
      <c r="E37" s="3137" t="s">
        <v>3222</v>
      </c>
      <c r="F37" s="420">
        <f>SUMIF(112:112,E37,113:113)-SUMIF(112:112,C37,113:113)+100</f>
        <v>100</v>
      </c>
      <c r="G37" s="3137" t="s">
        <v>3222</v>
      </c>
      <c r="H37" s="394">
        <f>SUMIF(112:112,G37,113:113)-SUMIF(112:112,C37,113:113)+100</f>
        <v>100</v>
      </c>
      <c r="I37" s="3137" t="s">
        <v>3222</v>
      </c>
      <c r="J37" s="394">
        <f>SUMIF(112:112,I37,113:113)-SUMIF(112:112,C37,113:113)+100</f>
        <v>100</v>
      </c>
      <c r="K37" s="569">
        <v>2</v>
      </c>
      <c r="L37" s="2934"/>
      <c r="M37" s="2935"/>
      <c r="N37" s="2935"/>
      <c r="O37" s="2935"/>
      <c r="P37" s="3554"/>
      <c r="Q37" s="1527" t="str">
        <f t="shared" si="11"/>
        <v>市政基础设施</v>
      </c>
      <c r="R37" s="710" t="s">
        <v>17</v>
      </c>
      <c r="S37" s="711">
        <f t="shared" si="12"/>
        <v>100</v>
      </c>
      <c r="T37" s="710" t="s">
        <v>17</v>
      </c>
      <c r="U37" s="711">
        <f t="shared" si="13"/>
        <v>100</v>
      </c>
      <c r="V37" s="710" t="s">
        <v>17</v>
      </c>
      <c r="W37" s="711">
        <f t="shared" si="14"/>
        <v>100</v>
      </c>
      <c r="X37" s="712"/>
      <c r="Y37" s="3556"/>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54" t="s">
        <v>2385</v>
      </c>
      <c r="Q38" s="1536" t="str">
        <f t="shared" si="11"/>
        <v>业态</v>
      </c>
      <c r="R38" s="714" t="s">
        <v>17</v>
      </c>
      <c r="S38" s="715">
        <f t="shared" si="12"/>
        <v>100</v>
      </c>
      <c r="T38" s="714" t="s">
        <v>17</v>
      </c>
      <c r="U38" s="715">
        <f t="shared" si="13"/>
        <v>100</v>
      </c>
      <c r="V38" s="714" t="s">
        <v>17</v>
      </c>
      <c r="W38" s="715">
        <f t="shared" si="14"/>
        <v>100</v>
      </c>
      <c r="X38" s="1539"/>
      <c r="Y38" s="3556" t="s">
        <v>2385</v>
      </c>
      <c r="Z38" s="1540" t="str">
        <f t="shared" si="15"/>
        <v>业态</v>
      </c>
      <c r="AA38" s="1537">
        <f t="shared" si="3"/>
        <v>1</v>
      </c>
      <c r="AB38" s="1537">
        <f t="shared" si="4"/>
        <v>1</v>
      </c>
      <c r="AC38" s="1537">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v>2</v>
      </c>
      <c r="L39" s="2939"/>
      <c r="M39" s="2933"/>
      <c r="N39" s="2933"/>
      <c r="O39" s="2933"/>
      <c r="P39" s="3554"/>
      <c r="Q39" s="1536" t="str">
        <f t="shared" si="11"/>
        <v>层高</v>
      </c>
      <c r="R39" s="714" t="s">
        <v>17</v>
      </c>
      <c r="S39" s="715">
        <f t="shared" si="12"/>
        <v>100</v>
      </c>
      <c r="T39" s="714" t="s">
        <v>17</v>
      </c>
      <c r="U39" s="715">
        <f t="shared" si="13"/>
        <v>100</v>
      </c>
      <c r="V39" s="714" t="s">
        <v>17</v>
      </c>
      <c r="W39" s="715">
        <f t="shared" si="14"/>
        <v>100</v>
      </c>
      <c r="X39" s="1539"/>
      <c r="Y39" s="3556"/>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54"/>
      <c r="Q40" s="1536" t="str">
        <f t="shared" si="11"/>
        <v>单套建筑面积</v>
      </c>
      <c r="R40" s="714" t="s">
        <v>17</v>
      </c>
      <c r="S40" s="715">
        <f t="shared" si="12"/>
        <v>100</v>
      </c>
      <c r="T40" s="714" t="s">
        <v>17</v>
      </c>
      <c r="U40" s="715">
        <f t="shared" si="13"/>
        <v>100</v>
      </c>
      <c r="V40" s="714" t="s">
        <v>17</v>
      </c>
      <c r="W40" s="715">
        <f t="shared" si="14"/>
        <v>100</v>
      </c>
      <c r="X40" s="1539"/>
      <c r="Y40" s="3556"/>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54"/>
      <c r="Q41" s="716" t="str">
        <f t="shared" si="11"/>
        <v>进深比</v>
      </c>
      <c r="R41" s="717" t="s">
        <v>17</v>
      </c>
      <c r="S41" s="718">
        <f t="shared" si="12"/>
        <v>100</v>
      </c>
      <c r="T41" s="717" t="s">
        <v>17</v>
      </c>
      <c r="U41" s="718">
        <f t="shared" si="13"/>
        <v>100</v>
      </c>
      <c r="V41" s="717" t="s">
        <v>17</v>
      </c>
      <c r="W41" s="718">
        <f t="shared" si="14"/>
        <v>100</v>
      </c>
      <c r="X41" s="719"/>
      <c r="Y41" s="3556"/>
      <c r="Z41" s="720" t="str">
        <f t="shared" si="15"/>
        <v>进深比</v>
      </c>
      <c r="AA41" s="1537">
        <f t="shared" si="3"/>
        <v>1</v>
      </c>
      <c r="AB41" s="1537">
        <f t="shared" si="4"/>
        <v>1</v>
      </c>
      <c r="AC41" s="1537">
        <f t="shared" si="5"/>
        <v>1</v>
      </c>
    </row>
    <row r="42" spans="1:29" ht="15">
      <c r="A42" s="431"/>
      <c r="B42" s="381" t="s">
        <v>2488</v>
      </c>
      <c r="C42" s="2091" t="s">
        <v>3241</v>
      </c>
      <c r="D42" s="394">
        <v>100</v>
      </c>
      <c r="E42" s="2091" t="s">
        <v>3220</v>
      </c>
      <c r="F42" s="420">
        <f>SUMIF(122:122,E42,123:123)-SUMIF(122:122,C42,123:123)+100</f>
        <v>102</v>
      </c>
      <c r="G42" s="2091" t="s">
        <v>3220</v>
      </c>
      <c r="H42" s="394">
        <f>SUMIF(122:122,G42,123:123)-SUMIF(122:122,C42,123:123)+100</f>
        <v>102</v>
      </c>
      <c r="I42" s="2091" t="s">
        <v>3220</v>
      </c>
      <c r="J42" s="394">
        <f>SUMIF(122:122,I42,123:123)-SUMIF(122:122,C42,123:123)+100</f>
        <v>102</v>
      </c>
      <c r="K42" s="569">
        <v>2</v>
      </c>
      <c r="L42" s="2939"/>
      <c r="M42" s="2933"/>
      <c r="N42" s="2933"/>
      <c r="O42" s="2933"/>
      <c r="P42" s="3554"/>
      <c r="Q42" s="1536" t="str">
        <f t="shared" si="11"/>
        <v>内部装修</v>
      </c>
      <c r="R42" s="714" t="s">
        <v>17</v>
      </c>
      <c r="S42" s="715">
        <f t="shared" si="12"/>
        <v>102</v>
      </c>
      <c r="T42" s="714" t="s">
        <v>17</v>
      </c>
      <c r="U42" s="715">
        <f t="shared" si="13"/>
        <v>102</v>
      </c>
      <c r="V42" s="714" t="s">
        <v>17</v>
      </c>
      <c r="W42" s="715">
        <f t="shared" si="14"/>
        <v>102</v>
      </c>
      <c r="X42" s="1539"/>
      <c r="Y42" s="3556"/>
      <c r="Z42" s="1540" t="str">
        <f t="shared" si="15"/>
        <v>内部装修</v>
      </c>
      <c r="AA42" s="1537">
        <f t="shared" si="3"/>
        <v>0.98039215686274506</v>
      </c>
      <c r="AB42" s="1537">
        <f t="shared" si="4"/>
        <v>0.98039215686274506</v>
      </c>
      <c r="AC42" s="1537">
        <f t="shared" si="5"/>
        <v>0.98039215686274506</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v>2</v>
      </c>
      <c r="L43" s="2939"/>
      <c r="M43" s="2933"/>
      <c r="N43" s="2933"/>
      <c r="O43" s="2933"/>
      <c r="P43" s="3554"/>
      <c r="Q43" s="1536" t="str">
        <f t="shared" si="11"/>
        <v>内部装修维护情况</v>
      </c>
      <c r="R43" s="714" t="s">
        <v>17</v>
      </c>
      <c r="S43" s="715">
        <f t="shared" si="12"/>
        <v>100</v>
      </c>
      <c r="T43" s="714" t="s">
        <v>17</v>
      </c>
      <c r="U43" s="715">
        <f t="shared" si="13"/>
        <v>100</v>
      </c>
      <c r="V43" s="714" t="s">
        <v>17</v>
      </c>
      <c r="W43" s="715">
        <f t="shared" si="14"/>
        <v>100</v>
      </c>
      <c r="X43" s="1539"/>
      <c r="Y43" s="3556"/>
      <c r="Z43" s="1540" t="str">
        <f t="shared" si="15"/>
        <v>内部装修维护情况</v>
      </c>
      <c r="AA43" s="1537">
        <f t="shared" si="3"/>
        <v>1</v>
      </c>
      <c r="AB43" s="1537">
        <f t="shared" si="4"/>
        <v>1</v>
      </c>
      <c r="AC43" s="1537">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54"/>
      <c r="Q44" s="1527">
        <f t="shared" si="11"/>
        <v>0</v>
      </c>
      <c r="R44" s="710" t="s">
        <v>17</v>
      </c>
      <c r="S44" s="711">
        <f t="shared" si="12"/>
        <v>100</v>
      </c>
      <c r="T44" s="710" t="s">
        <v>17</v>
      </c>
      <c r="U44" s="711">
        <f t="shared" si="13"/>
        <v>100</v>
      </c>
      <c r="V44" s="710" t="s">
        <v>17</v>
      </c>
      <c r="W44" s="711">
        <f t="shared" si="14"/>
        <v>100</v>
      </c>
      <c r="X44" s="712"/>
      <c r="Y44" s="3556"/>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54"/>
      <c r="Q45" s="1536">
        <f t="shared" si="11"/>
        <v>111</v>
      </c>
      <c r="R45" s="714" t="s">
        <v>17</v>
      </c>
      <c r="S45" s="715">
        <f t="shared" si="12"/>
        <v>100</v>
      </c>
      <c r="T45" s="714" t="s">
        <v>17</v>
      </c>
      <c r="U45" s="715">
        <f t="shared" si="13"/>
        <v>100</v>
      </c>
      <c r="V45" s="714" t="s">
        <v>17</v>
      </c>
      <c r="W45" s="715">
        <f t="shared" si="14"/>
        <v>100</v>
      </c>
      <c r="X45" s="1539"/>
      <c r="Y45" s="3556"/>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55"/>
      <c r="Q46" s="1536">
        <f t="shared" si="11"/>
        <v>111</v>
      </c>
      <c r="R46" s="714" t="s">
        <v>17</v>
      </c>
      <c r="S46" s="715">
        <f t="shared" si="12"/>
        <v>100</v>
      </c>
      <c r="T46" s="714" t="s">
        <v>17</v>
      </c>
      <c r="U46" s="715">
        <f t="shared" si="13"/>
        <v>100</v>
      </c>
      <c r="V46" s="714" t="s">
        <v>17</v>
      </c>
      <c r="W46" s="715">
        <f t="shared" si="14"/>
        <v>100</v>
      </c>
      <c r="X46" s="1539"/>
      <c r="Y46" s="3557"/>
      <c r="Z46" s="1540">
        <f t="shared" si="15"/>
        <v>111</v>
      </c>
      <c r="AA46" s="1537">
        <f t="shared" si="3"/>
        <v>1</v>
      </c>
      <c r="AB46" s="1537">
        <f t="shared" si="4"/>
        <v>1</v>
      </c>
      <c r="AC46" s="1537">
        <f t="shared" si="5"/>
        <v>1</v>
      </c>
    </row>
    <row r="47" spans="1:29" ht="15">
      <c r="A47" s="438" t="s">
        <v>2397</v>
      </c>
      <c r="B47" s="439"/>
      <c r="C47" s="1316" t="s">
        <v>1</v>
      </c>
      <c r="D47" s="1317"/>
      <c r="E47" s="1318">
        <f>租金案例!O6</f>
        <v>8.6</v>
      </c>
      <c r="F47" s="1319"/>
      <c r="G47" s="1320">
        <f>租金案例!O27</f>
        <v>6.7</v>
      </c>
      <c r="H47" s="1321"/>
      <c r="I47" s="1318">
        <f>租金案例!O57</f>
        <v>7.3</v>
      </c>
      <c r="J47" s="1321"/>
      <c r="K47" s="723"/>
      <c r="L47" s="2941"/>
      <c r="M47" s="2942"/>
      <c r="N47" s="2933"/>
      <c r="O47" s="2942"/>
      <c r="P47" s="3558" t="str">
        <f>A47</f>
        <v>成交单价（元/平方米）</v>
      </c>
      <c r="Q47" s="3558"/>
      <c r="R47" s="3544">
        <f>E47</f>
        <v>8.6</v>
      </c>
      <c r="S47" s="3544"/>
      <c r="T47" s="3544">
        <f>G47</f>
        <v>6.7</v>
      </c>
      <c r="U47" s="3544"/>
      <c r="V47" s="3544">
        <f>I47</f>
        <v>7.3</v>
      </c>
      <c r="W47" s="3544"/>
      <c r="X47" s="699"/>
      <c r="Y47" s="721"/>
      <c r="Z47" s="699"/>
      <c r="AA47" s="699"/>
      <c r="AB47" s="699"/>
      <c r="AC47" s="699"/>
    </row>
    <row r="48" spans="1:29" ht="15.75" thickBot="1">
      <c r="A48" s="445" t="s">
        <v>2489</v>
      </c>
      <c r="B48" s="446"/>
      <c r="C48" s="1322">
        <f>R49</f>
        <v>6.5</v>
      </c>
      <c r="D48" s="2528" t="s">
        <v>2878</v>
      </c>
      <c r="E48" s="1323">
        <f>R48</f>
        <v>6.8</v>
      </c>
      <c r="F48" s="2529"/>
      <c r="G48" s="1322">
        <f>T48</f>
        <v>5.9</v>
      </c>
      <c r="H48" s="2529"/>
      <c r="I48" s="1323">
        <f>V48</f>
        <v>6.9</v>
      </c>
      <c r="J48" s="2529"/>
      <c r="K48" s="2531">
        <f>F48+H48+J48</f>
        <v>0</v>
      </c>
      <c r="L48" s="2941"/>
      <c r="M48" s="2942"/>
      <c r="N48" s="2933"/>
      <c r="O48" s="2942"/>
      <c r="P48" s="3558" t="str">
        <f>A48</f>
        <v>比较价值（元/平方米）</v>
      </c>
      <c r="Q48" s="3558"/>
      <c r="R48" s="3559">
        <f>IF(F1="售价",ROUND(PRODUCT(R47,AA7:AA46),0),ROUND(PRODUCT(R47,AA7:AA46),1))</f>
        <v>6.8</v>
      </c>
      <c r="S48" s="3559"/>
      <c r="T48" s="3559">
        <f>IF(F1="售价",ROUND(PRODUCT(T47,AB7:AB46),0),ROUND(PRODUCT(T47,AB7:AB46),1))</f>
        <v>5.9</v>
      </c>
      <c r="U48" s="3559"/>
      <c r="V48" s="3559">
        <f>IF(F1="售价",ROUND(PRODUCT(V47,AC7:AC46),0),ROUND(PRODUCT(V47,AC7:AC46),1))</f>
        <v>6.9</v>
      </c>
      <c r="W48" s="3559"/>
      <c r="X48" s="699"/>
      <c r="Y48" s="699"/>
      <c r="Z48" s="699"/>
      <c r="AA48" s="699"/>
      <c r="AB48" s="699"/>
      <c r="AC48" s="699"/>
    </row>
    <row r="49" spans="1:29" ht="15.75" thickBot="1">
      <c r="A49" s="449" t="s">
        <v>2490</v>
      </c>
      <c r="B49" s="450"/>
      <c r="C49" s="1325">
        <f>R49</f>
        <v>6.5</v>
      </c>
      <c r="D49" s="1325"/>
      <c r="E49" s="1325"/>
      <c r="F49" s="1325"/>
      <c r="G49" s="1325"/>
      <c r="H49" s="1325"/>
      <c r="I49" s="1325"/>
      <c r="J49" s="1325"/>
      <c r="K49" s="724"/>
      <c r="L49" s="2941"/>
      <c r="M49" s="2942"/>
      <c r="N49" s="2933"/>
      <c r="O49" s="2942"/>
      <c r="P49" s="3560" t="str">
        <f>A49</f>
        <v>估价对象XX用房的比较价值（楼面单价，元/平方米）</v>
      </c>
      <c r="Q49" s="3561"/>
      <c r="R49" s="3562">
        <f>IF(F1="售价",ROUND(IF(D48="简单平均",AVERAGE(R48:V48),R48*F48+T48*H48+V48*J48),0),ROUND(IF(D48="简单平均",AVERAGE(R48:V48),R48*F48+T48*H48+V48*J48),1))</f>
        <v>6.5</v>
      </c>
      <c r="S49" s="3562"/>
      <c r="T49" s="3562"/>
      <c r="U49" s="3562"/>
      <c r="V49" s="3562"/>
      <c r="W49" s="3562"/>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0.26470588235294112</v>
      </c>
      <c r="F52" s="457" t="str">
        <f>IF(OR(E52&gt;=0.3,E52&lt;=-0.3),"超过30%","")</f>
        <v/>
      </c>
      <c r="G52" s="456">
        <f>IF(G47&lt;G48,G48/G47-1,G47/G48-1)</f>
        <v>0.13559322033898291</v>
      </c>
      <c r="H52" s="457" t="str">
        <f>IF(OR(G52&gt;=0.3,G52&lt;=-0.3),"超过30%","")</f>
        <v/>
      </c>
      <c r="I52" s="456">
        <f>IF(I47&lt;I48,I48/I47-1,I47/I48-1)</f>
        <v>5.7971014492753437E-2</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0.15254237288135575</v>
      </c>
      <c r="F53" s="457" t="str">
        <f>IF(OR(E53&gt;=0.2,E53&lt;=-0.2),"超过20%","")</f>
        <v/>
      </c>
      <c r="G53" s="456">
        <f>IF(G48&lt;I48,I48/G48-1,G48/I48-1)</f>
        <v>0.16949152542372881</v>
      </c>
      <c r="H53" s="457" t="str">
        <f>IF(OR(G53&gt;=0.2,G53&lt;=-0.2),"超过20%","")</f>
        <v/>
      </c>
      <c r="I53" s="456">
        <f>IF(I48&lt;E48,E48/I48-1,I48/E48-1)</f>
        <v>1.4705882352941346E-2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0.28358208955223874</v>
      </c>
      <c r="F54" s="457" t="str">
        <f>IF(OR(E54&gt;=0.3,E54&lt;=-0.3),"超过30%","")</f>
        <v/>
      </c>
      <c r="G54" s="456">
        <f>IF(G47&lt;I47,I47/G47-1,G47/I47-1)</f>
        <v>8.9552238805970186E-2</v>
      </c>
      <c r="H54" s="457" t="str">
        <f>IF(OR(G54&gt;=0.3,G54&lt;=-0.3),"超过30%","")</f>
        <v/>
      </c>
      <c r="I54" s="456">
        <f>IF(I47&lt;E47,E47/I47-1,I47/E47-1)</f>
        <v>0.17808219178082196</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3126" t="s">
        <v>3219</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95</v>
      </c>
      <c r="E77" s="501">
        <f>D77-$K15</f>
        <v>90</v>
      </c>
      <c r="F77" s="501">
        <f>E77-$K15</f>
        <v>85</v>
      </c>
      <c r="G77" s="501">
        <f>F77-$K15</f>
        <v>80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95</v>
      </c>
      <c r="E79" s="501">
        <f>D79-$K17</f>
        <v>90</v>
      </c>
      <c r="F79" s="501">
        <f>E79-$K17</f>
        <v>85</v>
      </c>
      <c r="G79" s="501">
        <f>F79-$K17</f>
        <v>80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128" t="s">
        <v>3530</v>
      </c>
      <c r="D88" s="3128" t="s">
        <v>3527</v>
      </c>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v>100</v>
      </c>
      <c r="D89" s="493">
        <v>98</v>
      </c>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3526</v>
      </c>
      <c r="D90" s="3128" t="s">
        <v>3245</v>
      </c>
      <c r="E90" s="3128" t="s">
        <v>3527</v>
      </c>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3249</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3231</v>
      </c>
      <c r="D100" s="3129" t="s">
        <v>3232</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500</v>
      </c>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v>97</v>
      </c>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3227</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3221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3229</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3221</v>
      </c>
      <c r="D122" s="3128" t="s">
        <v>3242</v>
      </c>
      <c r="E122" s="3128" t="s">
        <v>3270</v>
      </c>
      <c r="F122" s="3138" t="s">
        <v>3271</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4" priority="21" stopIfTrue="1" operator="containsText" text="超过">
      <formula>NOT(ISERROR(SEARCH("超过",F52)))</formula>
    </cfRule>
  </conditionalFormatting>
  <conditionalFormatting sqref="H54">
    <cfRule type="containsText" dxfId="83" priority="19" stopIfTrue="1" operator="containsText" text="超过">
      <formula>NOT(ISERROR(SEARCH("超过",H54)))</formula>
    </cfRule>
  </conditionalFormatting>
  <conditionalFormatting sqref="F54">
    <cfRule type="containsText" dxfId="82" priority="18" stopIfTrue="1" operator="containsText" text="超过">
      <formula>NOT(ISERROR(SEARCH("超过",F54)))</formula>
    </cfRule>
  </conditionalFormatting>
  <conditionalFormatting sqref="F53 H53">
    <cfRule type="containsText" dxfId="81" priority="17" stopIfTrue="1" operator="containsText" text="超过">
      <formula>NOT(ISERROR(SEARCH("超过",F53)))</formula>
    </cfRule>
  </conditionalFormatting>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G54">
    <cfRule type="expression" dxfId="77" priority="13" stopIfTrue="1">
      <formula>$H$54="超过30%"</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J52">
    <cfRule type="containsText" dxfId="74" priority="10" stopIfTrue="1" operator="containsText" text="超过">
      <formula>NOT(ISERROR(SEARCH("超过",J52)))</formula>
    </cfRule>
  </conditionalFormatting>
  <conditionalFormatting sqref="J54">
    <cfRule type="containsText" dxfId="73" priority="9" stopIfTrue="1" operator="containsText" text="超过">
      <formula>NOT(ISERROR(SEARCH("超过",J54)))</formula>
    </cfRule>
  </conditionalFormatting>
  <conditionalFormatting sqref="J53">
    <cfRule type="containsText" dxfId="72" priority="8" stopIfTrue="1" operator="containsText" text="超过">
      <formula>NOT(ISERROR(SEARCH("超过",J53)))</formula>
    </cfRule>
  </conditionalFormatting>
  <conditionalFormatting sqref="I52">
    <cfRule type="expression" dxfId="71" priority="7" stopIfTrue="1">
      <formula>$J$52="超过30%"</formula>
    </cfRule>
  </conditionalFormatting>
  <conditionalFormatting sqref="I53">
    <cfRule type="expression" dxfId="70" priority="6" stopIfTrue="1">
      <formula>$J$53="超过20%"</formula>
    </cfRule>
  </conditionalFormatting>
  <conditionalFormatting sqref="I54">
    <cfRule type="expression" dxfId="69" priority="5" stopIfTrue="1">
      <formula>$J$54="超过30%"</formula>
    </cfRule>
  </conditionalFormatting>
  <conditionalFormatting sqref="F48">
    <cfRule type="expression" dxfId="68" priority="4">
      <formula>$D$48="简单平均"</formula>
    </cfRule>
  </conditionalFormatting>
  <conditionalFormatting sqref="H48">
    <cfRule type="expression" dxfId="67" priority="3">
      <formula>$D$48="简单平均"</formula>
    </cfRule>
  </conditionalFormatting>
  <conditionalFormatting sqref="J48">
    <cfRule type="expression" dxfId="66" priority="2">
      <formula>$D$48="简单平均"</formula>
    </cfRule>
  </conditionalFormatting>
  <conditionalFormatting sqref="F7:F46 H7:H46 J7:J46">
    <cfRule type="cellIs" dxfId="65" priority="1" operator="notEqual">
      <formula>100</formula>
    </cfRule>
  </conditionalFormatting>
  <dataValidations count="25">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E18 G18 I18 C18" xr:uid="{00000000-0002-0000-2200-000004000000}">
      <formula1>交通便捷度</formula1>
    </dataValidation>
    <dataValidation type="list" allowBlank="1" showInputMessage="1" showErrorMessage="1" sqref="E24 G24 I24 C24" xr:uid="{00000000-0002-0000-2200-000005000000}">
      <formula1>环境</formula1>
    </dataValidation>
    <dataValidation type="list" allowBlank="1" showInputMessage="1" showErrorMessage="1" sqref="C25 E25 G25 I25" xr:uid="{00000000-0002-0000-2200-000006000000}">
      <formula1>商业临街状况</formula1>
    </dataValidation>
    <dataValidation type="list" allowBlank="1" showInputMessage="1" showErrorMessage="1" sqref="C27 E27 G27 I27" xr:uid="{00000000-0002-0000-2200-000007000000}">
      <formula1>商业人流量</formula1>
    </dataValidation>
    <dataValidation type="list" allowBlank="1" showInputMessage="1" showErrorMessage="1" sqref="C28 E28 G28 I28" xr:uid="{00000000-0002-0000-2200-000008000000}">
      <formula1>商业楼层</formula1>
    </dataValidation>
    <dataValidation type="list" allowBlank="1" showInputMessage="1" showErrorMessage="1" sqref="C32 E32 G32 I32" xr:uid="{00000000-0002-0000-2200-000009000000}">
      <formula1>商业类型</formula1>
    </dataValidation>
    <dataValidation type="list" allowBlank="1" showInputMessage="1" showErrorMessage="1" sqref="C34 E34 G34 I34" xr:uid="{00000000-0002-0000-2200-00000A000000}">
      <formula1>商业建筑结构</formula1>
    </dataValidation>
    <dataValidation type="list" allowBlank="1" showInputMessage="1" showErrorMessage="1" sqref="C35 E35 G35 I35" xr:uid="{00000000-0002-0000-2200-00000B000000}">
      <formula1>商业公共部分装修</formula1>
    </dataValidation>
    <dataValidation type="list" allowBlank="1" showInputMessage="1" showErrorMessage="1" sqref="C37 E37 G37 I37" xr:uid="{00000000-0002-0000-2200-00000C000000}">
      <formula1>商业基础设施水平</formula1>
    </dataValidation>
    <dataValidation type="list" allowBlank="1" showInputMessage="1" showErrorMessage="1" sqref="C41 E41 G41 I41" xr:uid="{00000000-0002-0000-2200-00000D000000}">
      <formula1>商业进深比</formula1>
    </dataValidation>
    <dataValidation type="list" allowBlank="1" showInputMessage="1" showErrorMessage="1" sqref="C42 E42 G42 I42" xr:uid="{00000000-0002-0000-2200-00000E000000}">
      <formula1>商业内部装修</formula1>
    </dataValidation>
    <dataValidation type="list" allowBlank="1" showInputMessage="1" showErrorMessage="1" sqref="E9 G9 I9" xr:uid="{00000000-0002-0000-2200-00000F000000}">
      <formula1>商业用途</formula1>
    </dataValidation>
    <dataValidation type="list" allowBlank="1" showInputMessage="1" showErrorMessage="1" sqref="C38 E38 G38 I38" xr:uid="{00000000-0002-0000-2200-000010000000}">
      <formula1>商业业态</formula1>
    </dataValidation>
    <dataValidation type="list" allowBlank="1" showInputMessage="1" showErrorMessage="1" sqref="C39 E39 G39 I39" xr:uid="{00000000-0002-0000-2200-000011000000}">
      <formula1>商业层高</formula1>
    </dataValidation>
    <dataValidation type="list" allowBlank="1" showInputMessage="1" showErrorMessage="1" sqref="C8 E8 G8 I8" xr:uid="{00000000-0002-0000-2200-000012000000}">
      <formula1>商业交易情况</formula1>
    </dataValidation>
    <dataValidation type="list" allowBlank="1" showInputMessage="1" showErrorMessage="1" sqref="C16 E16 G16 I16" xr:uid="{00000000-0002-0000-2200-000013000000}">
      <formula1>商业繁华度</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8"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dimension ref="A1:P45"/>
  <sheetViews>
    <sheetView zoomScale="90" zoomScaleNormal="90" workbookViewId="0">
      <selection activeCell="E19" sqref="E19"/>
    </sheetView>
  </sheetViews>
  <sheetFormatPr defaultRowHeight="13.5"/>
  <cols>
    <col min="1" max="1" width="6.375" style="3057" customWidth="1"/>
    <col min="2" max="2" width="19.375" style="3121" customWidth="1"/>
    <col min="3" max="3" width="7" style="3122" customWidth="1"/>
    <col min="4" max="4" width="3.87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73" t="s">
        <v>3057</v>
      </c>
      <c r="B1" s="3473"/>
      <c r="C1" s="3473"/>
      <c r="D1" s="3473"/>
      <c r="E1" s="3473"/>
      <c r="F1" s="3473"/>
      <c r="G1" s="3473"/>
      <c r="H1" s="3473"/>
      <c r="I1" s="3473"/>
      <c r="K1" s="3474" t="s">
        <v>3058</v>
      </c>
      <c r="L1" s="3055" t="s">
        <v>3059</v>
      </c>
      <c r="M1" s="3056">
        <v>0</v>
      </c>
      <c r="N1" s="1407"/>
      <c r="O1" s="1407"/>
    </row>
    <row r="2" spans="1:16" ht="15.75" customHeight="1">
      <c r="A2" s="3058" t="s">
        <v>608</v>
      </c>
      <c r="B2" s="3059" t="s">
        <v>3061</v>
      </c>
      <c r="C2" s="3475" t="s">
        <v>3062</v>
      </c>
      <c r="D2" s="3476"/>
      <c r="E2" s="3476"/>
      <c r="F2" s="3477"/>
      <c r="G2" s="3146" t="s">
        <v>3063</v>
      </c>
      <c r="H2" s="3478" t="s">
        <v>1048</v>
      </c>
      <c r="I2" s="3478"/>
      <c r="K2" s="3474"/>
      <c r="L2" s="3055" t="s">
        <v>3065</v>
      </c>
      <c r="M2" s="3061" t="s">
        <v>3204</v>
      </c>
      <c r="N2" s="3062">
        <v>2011</v>
      </c>
      <c r="O2" s="3062"/>
    </row>
    <row r="3" spans="1:16">
      <c r="A3" s="3142" t="s">
        <v>3066</v>
      </c>
      <c r="B3" s="3145" t="s">
        <v>3067</v>
      </c>
      <c r="C3" s="3475">
        <f ca="1">'成本法 (元)'!C52</f>
        <v>1618722</v>
      </c>
      <c r="D3" s="3476"/>
      <c r="E3" s="3476"/>
      <c r="F3" s="3477"/>
      <c r="G3" s="3142" t="s">
        <v>3068</v>
      </c>
      <c r="H3" s="3065" t="s">
        <v>3069</v>
      </c>
      <c r="I3" s="3066">
        <f>'数据-取费表'!K7</f>
        <v>131.88</v>
      </c>
      <c r="K3" s="3474"/>
      <c r="L3" s="3055" t="s">
        <v>3070</v>
      </c>
      <c r="M3" s="3061" t="s">
        <v>3071</v>
      </c>
      <c r="N3" s="3062"/>
      <c r="O3" s="3067"/>
    </row>
    <row r="4" spans="1:16">
      <c r="A4" s="3479" t="s">
        <v>3072</v>
      </c>
      <c r="B4" s="3480" t="s">
        <v>3073</v>
      </c>
      <c r="C4" s="3481">
        <f ca="1">ROUND(C3*(I4-I6)/(1-((1+I6)/(1+I4))^I5),0)</f>
        <v>82369</v>
      </c>
      <c r="D4" s="3482"/>
      <c r="E4" s="3482"/>
      <c r="F4" s="3483"/>
      <c r="G4" s="3479" t="s">
        <v>3074</v>
      </c>
      <c r="H4" s="3068" t="s">
        <v>3075</v>
      </c>
      <c r="I4" s="3069">
        <v>0.05</v>
      </c>
      <c r="K4" s="3474"/>
      <c r="L4" s="3055" t="s">
        <v>1049</v>
      </c>
      <c r="M4" s="3070">
        <f>ROUND(1-(1-M1)*M2/M3,2)</f>
        <v>0.83</v>
      </c>
      <c r="N4" s="3062"/>
      <c r="O4" s="3062"/>
    </row>
    <row r="5" spans="1:16" s="3074" customFormat="1" ht="18" customHeight="1">
      <c r="A5" s="3479"/>
      <c r="B5" s="3480"/>
      <c r="C5" s="3484"/>
      <c r="D5" s="3485"/>
      <c r="E5" s="3485"/>
      <c r="F5" s="3486"/>
      <c r="G5" s="3479"/>
      <c r="H5" s="3145" t="s">
        <v>3077</v>
      </c>
      <c r="I5" s="3071">
        <f>项目基本情况!H15</f>
        <v>34.340000000000003</v>
      </c>
      <c r="J5" s="3072"/>
      <c r="K5" s="3474"/>
      <c r="L5" s="3055" t="s">
        <v>3078</v>
      </c>
      <c r="M5" s="3073">
        <v>0.5</v>
      </c>
      <c r="N5" s="3062"/>
      <c r="O5" s="3062"/>
    </row>
    <row r="6" spans="1:16" s="3074" customFormat="1" ht="18" customHeight="1">
      <c r="A6" s="3479"/>
      <c r="B6" s="3480"/>
      <c r="C6" s="3487"/>
      <c r="D6" s="3488"/>
      <c r="E6" s="3488"/>
      <c r="F6" s="3489"/>
      <c r="G6" s="3479"/>
      <c r="H6" s="3145" t="s">
        <v>3079</v>
      </c>
      <c r="I6" s="3069">
        <v>1.4999999999999999E-2</v>
      </c>
      <c r="J6" s="3075"/>
      <c r="K6" s="3490" t="s">
        <v>3080</v>
      </c>
      <c r="L6" s="3076" t="s">
        <v>3081</v>
      </c>
      <c r="M6" s="3077" t="s">
        <v>3082</v>
      </c>
      <c r="N6" s="3077" t="s">
        <v>3083</v>
      </c>
      <c r="O6" s="3077" t="s">
        <v>3084</v>
      </c>
      <c r="P6" s="3077" t="s">
        <v>3085</v>
      </c>
    </row>
    <row r="7" spans="1:16" s="3074" customFormat="1" ht="18" customHeight="1">
      <c r="A7" s="3142" t="s">
        <v>3086</v>
      </c>
      <c r="B7" s="3145" t="s">
        <v>3087</v>
      </c>
      <c r="C7" s="3475">
        <f ca="1">ROUND(C23*I7,0)</f>
        <v>508941</v>
      </c>
      <c r="D7" s="3476"/>
      <c r="E7" s="3476"/>
      <c r="F7" s="3477"/>
      <c r="G7" s="3146" t="s">
        <v>3088</v>
      </c>
      <c r="H7" s="3145" t="s">
        <v>3089</v>
      </c>
      <c r="I7" s="3078">
        <f>'数据-取费表'!N6</f>
        <v>0.8</v>
      </c>
      <c r="K7" s="3490"/>
      <c r="L7" s="3076" t="s">
        <v>3090</v>
      </c>
      <c r="M7" s="3077">
        <v>100</v>
      </c>
      <c r="N7" s="3077" t="s">
        <v>3091</v>
      </c>
      <c r="O7" s="3077">
        <v>90</v>
      </c>
      <c r="P7" s="3079">
        <v>0.3</v>
      </c>
    </row>
    <row r="8" spans="1:16" s="3074" customFormat="1" ht="18" customHeight="1">
      <c r="A8" s="3058" t="s">
        <v>3092</v>
      </c>
      <c r="B8" s="3145" t="s">
        <v>3093</v>
      </c>
      <c r="C8" s="3475">
        <f>ROUND(I8*I3,0)</f>
        <v>461580</v>
      </c>
      <c r="D8" s="3476"/>
      <c r="E8" s="3476"/>
      <c r="F8" s="3477"/>
      <c r="G8" s="3146" t="s">
        <v>3094</v>
      </c>
      <c r="H8" s="3145" t="s">
        <v>3095</v>
      </c>
      <c r="I8" s="3146">
        <v>3500</v>
      </c>
      <c r="J8" s="3080">
        <f>D35</f>
        <v>1</v>
      </c>
      <c r="K8" s="3490"/>
      <c r="L8" s="3076" t="s">
        <v>3096</v>
      </c>
      <c r="M8" s="3077">
        <v>100</v>
      </c>
      <c r="N8" s="3077" t="s">
        <v>3091</v>
      </c>
      <c r="O8" s="3077">
        <v>90</v>
      </c>
      <c r="P8" s="3079">
        <v>0.5</v>
      </c>
    </row>
    <row r="9" spans="1:16" s="3074" customFormat="1" ht="18" customHeight="1">
      <c r="A9" s="3058" t="s">
        <v>3098</v>
      </c>
      <c r="B9" s="3145" t="s">
        <v>3099</v>
      </c>
      <c r="C9" s="3475">
        <f>ROUND(C8*H9,0)</f>
        <v>18463</v>
      </c>
      <c r="D9" s="3476"/>
      <c r="E9" s="3476"/>
      <c r="F9" s="3477"/>
      <c r="G9" s="3146" t="s">
        <v>3100</v>
      </c>
      <c r="H9" s="3491">
        <f>'数据-取费表'!B33</f>
        <v>0.04</v>
      </c>
      <c r="I9" s="3491"/>
      <c r="J9" s="3080">
        <f ca="1">D36</f>
        <v>2.72</v>
      </c>
      <c r="K9" s="3490"/>
      <c r="L9" s="3076" t="s">
        <v>3101</v>
      </c>
      <c r="M9" s="3077">
        <v>100</v>
      </c>
      <c r="N9" s="3077" t="s">
        <v>3091</v>
      </c>
      <c r="O9" s="3077">
        <v>90</v>
      </c>
      <c r="P9" s="3079">
        <f>1-P7-P8</f>
        <v>0.19999999999999996</v>
      </c>
    </row>
    <row r="10" spans="1:16" s="3074" customFormat="1" ht="18" customHeight="1">
      <c r="A10" s="3058" t="s">
        <v>3102</v>
      </c>
      <c r="B10" s="3145" t="s">
        <v>3103</v>
      </c>
      <c r="C10" s="3475">
        <f>ROUND(C8*H10,0)</f>
        <v>0</v>
      </c>
      <c r="D10" s="3476"/>
      <c r="E10" s="3476"/>
      <c r="F10" s="3477"/>
      <c r="G10" s="3146" t="s">
        <v>3100</v>
      </c>
      <c r="H10" s="3491">
        <f>'数据-取费表'!B34</f>
        <v>0</v>
      </c>
      <c r="I10" s="3491"/>
      <c r="J10" s="3080">
        <f ca="1">D37</f>
        <v>1.52</v>
      </c>
      <c r="K10" s="3490"/>
      <c r="L10" s="3081" t="s">
        <v>3078</v>
      </c>
      <c r="M10" s="3082">
        <f>1-M5</f>
        <v>0.5</v>
      </c>
      <c r="N10" s="3077" t="s">
        <v>1049</v>
      </c>
      <c r="O10" s="3083">
        <f>ROUND((O7*P7+O8*P8+O9*P9)/100,2)</f>
        <v>0.9</v>
      </c>
      <c r="P10" s="3084"/>
    </row>
    <row r="11" spans="1:16" s="3074" customFormat="1" ht="29.25" customHeight="1">
      <c r="A11" s="3058" t="s">
        <v>3106</v>
      </c>
      <c r="B11" s="3145" t="s">
        <v>3107</v>
      </c>
      <c r="C11" s="3475">
        <f>ROUND(I11*I3,0)</f>
        <v>26376</v>
      </c>
      <c r="D11" s="3476"/>
      <c r="E11" s="3476"/>
      <c r="F11" s="3477"/>
      <c r="G11" s="3146" t="s">
        <v>3108</v>
      </c>
      <c r="H11" s="3145" t="s">
        <v>3109</v>
      </c>
      <c r="I11" s="3146">
        <f>'数据-取费表'!B28</f>
        <v>200</v>
      </c>
      <c r="J11" s="3072"/>
      <c r="K11" s="3085"/>
      <c r="L11" s="3085"/>
    </row>
    <row r="12" spans="1:16" s="3074" customFormat="1" ht="18" customHeight="1">
      <c r="A12" s="3058" t="s">
        <v>3110</v>
      </c>
      <c r="B12" s="3145" t="s">
        <v>3111</v>
      </c>
      <c r="C12" s="3475">
        <f>ROUND(C8*H12,0)</f>
        <v>6924</v>
      </c>
      <c r="D12" s="3476"/>
      <c r="E12" s="3476"/>
      <c r="F12" s="3477"/>
      <c r="G12" s="3146" t="s">
        <v>3100</v>
      </c>
      <c r="H12" s="3491">
        <v>1.4999999999999999E-2</v>
      </c>
      <c r="I12" s="3491"/>
      <c r="J12" s="3086" t="s">
        <v>3113</v>
      </c>
      <c r="L12" s="3087"/>
    </row>
    <row r="13" spans="1:16" s="3074" customFormat="1" ht="18" customHeight="1">
      <c r="A13" s="3058" t="s">
        <v>1103</v>
      </c>
      <c r="B13" s="3145" t="s">
        <v>3115</v>
      </c>
      <c r="C13" s="3475">
        <f>SUM(C8:F12)</f>
        <v>513343</v>
      </c>
      <c r="D13" s="3476"/>
      <c r="E13" s="3476"/>
      <c r="F13" s="3477"/>
      <c r="G13" s="3478" t="s">
        <v>3116</v>
      </c>
      <c r="H13" s="3478"/>
      <c r="I13" s="3478"/>
      <c r="J13" s="3086" t="s">
        <v>3117</v>
      </c>
      <c r="L13" s="3087"/>
    </row>
    <row r="14" spans="1:16" s="3074" customFormat="1" ht="18" customHeight="1">
      <c r="A14" s="3058" t="s">
        <v>3118</v>
      </c>
      <c r="B14" s="3145" t="s">
        <v>3119</v>
      </c>
      <c r="C14" s="3475">
        <f>ROUND(C13*H14,0)</f>
        <v>5133</v>
      </c>
      <c r="D14" s="3476"/>
      <c r="E14" s="3476"/>
      <c r="F14" s="3477"/>
      <c r="G14" s="3146" t="s">
        <v>3120</v>
      </c>
      <c r="H14" s="3491">
        <v>0.01</v>
      </c>
      <c r="I14" s="3491"/>
      <c r="J14" s="3072"/>
      <c r="L14" s="3087"/>
    </row>
    <row r="15" spans="1:16" s="3074" customFormat="1" ht="18" customHeight="1">
      <c r="A15" s="3058" t="s">
        <v>998</v>
      </c>
      <c r="B15" s="3145" t="s">
        <v>3122</v>
      </c>
      <c r="C15" s="3496">
        <f>H15</f>
        <v>0.01</v>
      </c>
      <c r="D15" s="3497"/>
      <c r="E15" s="3494" t="str">
        <f>E18</f>
        <v>V</v>
      </c>
      <c r="F15" s="3495"/>
      <c r="G15" s="3146" t="s">
        <v>3123</v>
      </c>
      <c r="H15" s="3491">
        <v>0.01</v>
      </c>
      <c r="I15" s="3491"/>
      <c r="J15" s="3088"/>
      <c r="K15" s="3089"/>
    </row>
    <row r="16" spans="1:16" s="3074" customFormat="1" ht="18" customHeight="1">
      <c r="A16" s="3090" t="s">
        <v>999</v>
      </c>
      <c r="B16" s="3091" t="s">
        <v>3125</v>
      </c>
      <c r="C16" s="3140">
        <f ca="1">C17</f>
        <v>24628</v>
      </c>
      <c r="D16" s="3141" t="s">
        <v>3126</v>
      </c>
      <c r="E16" s="3094">
        <f ca="1">C18</f>
        <v>5.0000000000000001E-4</v>
      </c>
      <c r="F16" s="3149" t="str">
        <f>E18</f>
        <v>V</v>
      </c>
      <c r="G16" s="3475" t="s">
        <v>3127</v>
      </c>
      <c r="H16" s="3476"/>
      <c r="I16" s="3477"/>
      <c r="J16" s="3072"/>
      <c r="K16" s="3085"/>
    </row>
    <row r="17" spans="1:12" s="3074" customFormat="1" ht="18" customHeight="1">
      <c r="A17" s="3058" t="s">
        <v>3128</v>
      </c>
      <c r="B17" s="3145" t="s">
        <v>3129</v>
      </c>
      <c r="C17" s="3475">
        <f ca="1">ROUND((C13+C14)*I18*(I17/2),0)</f>
        <v>24628</v>
      </c>
      <c r="D17" s="3476"/>
      <c r="E17" s="3476"/>
      <c r="F17" s="3477"/>
      <c r="G17" s="3140" t="s">
        <v>3130</v>
      </c>
      <c r="H17" s="3145" t="s">
        <v>3131</v>
      </c>
      <c r="I17" s="3096">
        <f>'数据-取费表'!B20</f>
        <v>2</v>
      </c>
      <c r="J17" s="3086" t="s">
        <v>3132</v>
      </c>
      <c r="K17" s="3085"/>
      <c r="L17" s="3085"/>
    </row>
    <row r="18" spans="1:12" s="3074" customFormat="1" ht="18" customHeight="1">
      <c r="A18" s="3058" t="s">
        <v>3133</v>
      </c>
      <c r="B18" s="3145" t="s">
        <v>3134</v>
      </c>
      <c r="C18" s="3610">
        <f ca="1">ROUND(H15*I18*I17/2,4)</f>
        <v>5.0000000000000001E-4</v>
      </c>
      <c r="D18" s="3611"/>
      <c r="E18" s="3494" t="s">
        <v>3135</v>
      </c>
      <c r="F18" s="3495"/>
      <c r="G18" s="3140" t="s">
        <v>3136</v>
      </c>
      <c r="H18" s="3145" t="s">
        <v>3137</v>
      </c>
      <c r="I18" s="3139">
        <f ca="1">'数据-取费表'!B40</f>
        <v>4.7500000000000001E-2</v>
      </c>
      <c r="J18" s="3086" t="s">
        <v>3138</v>
      </c>
      <c r="K18" s="3085"/>
      <c r="L18" s="3085"/>
    </row>
    <row r="19" spans="1:12" s="3074" customFormat="1" ht="27" customHeight="1">
      <c r="A19" s="3058" t="s">
        <v>1000</v>
      </c>
      <c r="B19" s="3145" t="s">
        <v>3140</v>
      </c>
      <c r="C19" s="3140">
        <f>C20</f>
        <v>51848</v>
      </c>
      <c r="D19" s="3141" t="s">
        <v>3126</v>
      </c>
      <c r="E19" s="3141">
        <f>C21</f>
        <v>1E-3</v>
      </c>
      <c r="F19" s="3149" t="str">
        <f>E21</f>
        <v>V</v>
      </c>
      <c r="G19" s="3475" t="s">
        <v>3141</v>
      </c>
      <c r="H19" s="3476"/>
      <c r="I19" s="3477"/>
      <c r="J19" s="3072"/>
      <c r="K19" s="3085"/>
      <c r="L19" s="3085"/>
    </row>
    <row r="20" spans="1:12" s="3074" customFormat="1" ht="26.25" customHeight="1">
      <c r="A20" s="3058" t="s">
        <v>3142</v>
      </c>
      <c r="B20" s="3145" t="s">
        <v>3143</v>
      </c>
      <c r="C20" s="3475">
        <f>ROUND((C13+C14)*I20,0)</f>
        <v>51848</v>
      </c>
      <c r="D20" s="3476"/>
      <c r="E20" s="3476"/>
      <c r="F20" s="3477"/>
      <c r="G20" s="3146" t="s">
        <v>3144</v>
      </c>
      <c r="H20" s="3500" t="s">
        <v>3145</v>
      </c>
      <c r="I20" s="3502">
        <f>'数据-取费表'!Q7</f>
        <v>0.1</v>
      </c>
      <c r="J20" s="3086" t="s">
        <v>3146</v>
      </c>
      <c r="K20" s="3085"/>
      <c r="L20" s="3085"/>
    </row>
    <row r="21" spans="1:12" s="3074" customFormat="1" ht="27" customHeight="1">
      <c r="A21" s="3058" t="s">
        <v>3142</v>
      </c>
      <c r="B21" s="3145" t="s">
        <v>3147</v>
      </c>
      <c r="C21" s="3503">
        <f>H15*I20</f>
        <v>1E-3</v>
      </c>
      <c r="D21" s="3504"/>
      <c r="E21" s="3494" t="s">
        <v>3135</v>
      </c>
      <c r="F21" s="3495"/>
      <c r="G21" s="3146" t="s">
        <v>3149</v>
      </c>
      <c r="H21" s="3501"/>
      <c r="I21" s="3502"/>
      <c r="J21" s="3072"/>
      <c r="K21" s="3085"/>
      <c r="L21" s="3085"/>
    </row>
    <row r="22" spans="1:12" s="3074" customFormat="1" ht="18" customHeight="1">
      <c r="A22" s="3058" t="s">
        <v>1001</v>
      </c>
      <c r="B22" s="3145" t="s">
        <v>3151</v>
      </c>
      <c r="C22" s="3503">
        <f>ROUND(H22/1.05,4)</f>
        <v>5.33E-2</v>
      </c>
      <c r="D22" s="3504"/>
      <c r="E22" s="3494" t="s">
        <v>3135</v>
      </c>
      <c r="F22" s="3495"/>
      <c r="G22" s="3146" t="s">
        <v>3152</v>
      </c>
      <c r="H22" s="3491">
        <v>5.6000000000000001E-2</v>
      </c>
      <c r="I22" s="3491"/>
      <c r="J22" s="3098"/>
      <c r="K22" s="3085"/>
      <c r="L22" s="3085"/>
    </row>
    <row r="23" spans="1:12" s="3074" customFormat="1" ht="18" customHeight="1">
      <c r="A23" s="3058" t="s">
        <v>3153</v>
      </c>
      <c r="B23" s="3145" t="s">
        <v>3154</v>
      </c>
      <c r="C23" s="3475">
        <f ca="1">ROUND((C13+C14+C17+C20)/(1-C15-C18-C21-C22),0)</f>
        <v>636176</v>
      </c>
      <c r="D23" s="3476"/>
      <c r="E23" s="3476"/>
      <c r="F23" s="3477"/>
      <c r="G23" s="3475" t="s">
        <v>3155</v>
      </c>
      <c r="H23" s="3476"/>
      <c r="I23" s="3477"/>
      <c r="J23" s="3098"/>
      <c r="K23" s="3085"/>
      <c r="L23" s="3085"/>
    </row>
    <row r="24" spans="1:12" s="3074" customFormat="1" ht="18" customHeight="1">
      <c r="A24" s="3058" t="s">
        <v>3156</v>
      </c>
      <c r="B24" s="3145" t="s">
        <v>3157</v>
      </c>
      <c r="C24" s="3147">
        <f ca="1">C26+C27</f>
        <v>3435</v>
      </c>
      <c r="D24" s="3100" t="s">
        <v>3158</v>
      </c>
      <c r="E24" s="3498">
        <f>H25+H28</f>
        <v>0.125</v>
      </c>
      <c r="F24" s="3499"/>
      <c r="G24" s="3478" t="s">
        <v>3159</v>
      </c>
      <c r="H24" s="3478"/>
      <c r="I24" s="3478"/>
      <c r="J24" s="3098"/>
      <c r="K24" s="3085"/>
      <c r="L24" s="3085"/>
    </row>
    <row r="25" spans="1:12" s="3074" customFormat="1" ht="18" customHeight="1">
      <c r="A25" s="3058" t="s">
        <v>1103</v>
      </c>
      <c r="B25" s="3145" t="s">
        <v>3161</v>
      </c>
      <c r="C25" s="3496" t="s">
        <v>3162</v>
      </c>
      <c r="D25" s="3497"/>
      <c r="E25" s="3498">
        <f>H25</f>
        <v>0.12</v>
      </c>
      <c r="F25" s="3499"/>
      <c r="G25" s="3146" t="s">
        <v>3163</v>
      </c>
      <c r="H25" s="3505">
        <v>0.12</v>
      </c>
      <c r="I25" s="3505"/>
      <c r="J25" s="3088"/>
      <c r="K25" s="3085"/>
      <c r="L25" s="3085"/>
    </row>
    <row r="26" spans="1:12" s="3074" customFormat="1" ht="18" customHeight="1">
      <c r="A26" s="3058" t="s">
        <v>3118</v>
      </c>
      <c r="B26" s="3145" t="s">
        <v>1100</v>
      </c>
      <c r="C26" s="3475">
        <f ca="1">ROUND(C23*H26,0)</f>
        <v>3181</v>
      </c>
      <c r="D26" s="3476"/>
      <c r="E26" s="3476"/>
      <c r="F26" s="3477"/>
      <c r="G26" s="3146" t="s">
        <v>3166</v>
      </c>
      <c r="H26" s="3505">
        <v>5.0000000000000001E-3</v>
      </c>
      <c r="I26" s="3505"/>
      <c r="J26" s="3088"/>
      <c r="K26" s="3085"/>
      <c r="L26" s="3085"/>
    </row>
    <row r="27" spans="1:12" s="3074" customFormat="1" ht="18" customHeight="1">
      <c r="A27" s="3058" t="s">
        <v>998</v>
      </c>
      <c r="B27" s="3145" t="s">
        <v>3168</v>
      </c>
      <c r="C27" s="3475">
        <f ca="1">ROUND(C7*H27,0)</f>
        <v>254</v>
      </c>
      <c r="D27" s="3476"/>
      <c r="E27" s="3476"/>
      <c r="F27" s="3477"/>
      <c r="G27" s="3146" t="s">
        <v>3169</v>
      </c>
      <c r="H27" s="3506">
        <f>'数据-取费表'!AL7</f>
        <v>5.0000000000000001E-4</v>
      </c>
      <c r="I27" s="3506"/>
      <c r="J27" s="3072"/>
      <c r="K27" s="3085"/>
      <c r="L27" s="3085"/>
    </row>
    <row r="28" spans="1:12" s="3074" customFormat="1" ht="18" customHeight="1">
      <c r="A28" s="3058" t="s">
        <v>999</v>
      </c>
      <c r="B28" s="3145" t="s">
        <v>3171</v>
      </c>
      <c r="C28" s="3496" t="s">
        <v>3162</v>
      </c>
      <c r="D28" s="3497"/>
      <c r="E28" s="3498">
        <f>H28</f>
        <v>5.0000000000000001E-3</v>
      </c>
      <c r="F28" s="3499"/>
      <c r="G28" s="3146" t="s">
        <v>3172</v>
      </c>
      <c r="H28" s="3505">
        <f>'数据-取费表'!AM7</f>
        <v>5.0000000000000001E-3</v>
      </c>
      <c r="I28" s="3505"/>
      <c r="J28" s="3101"/>
      <c r="K28" s="3085"/>
      <c r="L28" s="3085"/>
    </row>
    <row r="29" spans="1:12" s="3074" customFormat="1" ht="18" customHeight="1">
      <c r="A29" s="3142" t="s">
        <v>3173</v>
      </c>
      <c r="B29" s="3145" t="s">
        <v>3174</v>
      </c>
      <c r="C29" s="3475">
        <f ca="1">ROUND((C4+C24)/(1-E24),0)</f>
        <v>98062</v>
      </c>
      <c r="D29" s="3476"/>
      <c r="E29" s="3476"/>
      <c r="F29" s="3477"/>
      <c r="G29" s="3479" t="s">
        <v>3175</v>
      </c>
      <c r="H29" s="3479"/>
      <c r="I29" s="3479"/>
      <c r="J29" s="3102" t="s">
        <v>3176</v>
      </c>
      <c r="K29" s="3085"/>
      <c r="L29" s="3085"/>
    </row>
    <row r="30" spans="1:12" s="3074" customFormat="1" ht="21" customHeight="1">
      <c r="A30" s="3479" t="s">
        <v>3177</v>
      </c>
      <c r="B30" s="3480" t="s">
        <v>3178</v>
      </c>
      <c r="C30" s="3507">
        <f ca="1">ROUND(C29/I30/I31/I3,2)</f>
        <v>2.72</v>
      </c>
      <c r="D30" s="3508"/>
      <c r="E30" s="3508"/>
      <c r="F30" s="3509"/>
      <c r="G30" s="3478" t="s">
        <v>3179</v>
      </c>
      <c r="H30" s="3145" t="s">
        <v>3180</v>
      </c>
      <c r="I30" s="3146">
        <v>365</v>
      </c>
      <c r="J30" s="3103"/>
      <c r="K30" s="3085"/>
      <c r="L30" s="3085"/>
    </row>
    <row r="31" spans="1:12" s="3074" customFormat="1" ht="18" customHeight="1">
      <c r="A31" s="3479"/>
      <c r="B31" s="3480"/>
      <c r="C31" s="3510"/>
      <c r="D31" s="3511"/>
      <c r="E31" s="3511"/>
      <c r="F31" s="3512"/>
      <c r="G31" s="3478"/>
      <c r="H31" s="3145" t="s">
        <v>3181</v>
      </c>
      <c r="I31" s="3148">
        <v>0.75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14" t="s">
        <v>3182</v>
      </c>
      <c r="C33" s="3514"/>
      <c r="D33" s="3514"/>
      <c r="E33" s="3514"/>
      <c r="F33" s="3514"/>
      <c r="G33" s="3110"/>
      <c r="H33" s="3111"/>
      <c r="I33" s="3057"/>
      <c r="J33" s="3072"/>
      <c r="K33" s="3085"/>
      <c r="L33" s="3085"/>
      <c r="M33" s="3057"/>
    </row>
    <row r="34" spans="1:13" s="3074" customFormat="1" ht="18" customHeight="1">
      <c r="A34" s="3057"/>
      <c r="B34" s="3144" t="s">
        <v>3183</v>
      </c>
      <c r="C34" s="3143" t="s">
        <v>3085</v>
      </c>
      <c r="D34" s="3515" t="s">
        <v>3184</v>
      </c>
      <c r="E34" s="3515"/>
      <c r="F34" s="3515"/>
      <c r="G34" s="3110"/>
      <c r="H34" s="3111"/>
      <c r="I34" s="3057"/>
      <c r="J34" s="3098"/>
      <c r="K34" s="3057"/>
      <c r="L34" s="3057"/>
      <c r="M34" s="3057"/>
    </row>
    <row r="35" spans="1:13">
      <c r="B35" s="3144" t="s">
        <v>3185</v>
      </c>
      <c r="C35" s="3114">
        <v>0.7</v>
      </c>
      <c r="D35" s="3513">
        <f>'比较法-仓储'!C36</f>
        <v>1</v>
      </c>
      <c r="E35" s="3513"/>
      <c r="F35" s="3513"/>
      <c r="G35" s="3110">
        <f ca="1">(D35-D36)/D36</f>
        <v>-0.63235294117647056</v>
      </c>
      <c r="H35" s="3111"/>
      <c r="K35" s="3057"/>
      <c r="L35" s="3057"/>
    </row>
    <row r="36" spans="1:13" ht="20.100000000000001" customHeight="1">
      <c r="B36" s="3144" t="s">
        <v>3186</v>
      </c>
      <c r="C36" s="3114">
        <f>1-C35</f>
        <v>0.30000000000000004</v>
      </c>
      <c r="D36" s="3513">
        <f ca="1">C30</f>
        <v>2.72</v>
      </c>
      <c r="E36" s="3513"/>
      <c r="F36" s="3513"/>
      <c r="G36" s="3110"/>
      <c r="H36" s="3111"/>
      <c r="J36" s="3057"/>
      <c r="K36" s="3057"/>
      <c r="L36" s="3057"/>
    </row>
    <row r="37" spans="1:13" ht="22.5" customHeight="1">
      <c r="B37" s="3516" t="s">
        <v>3187</v>
      </c>
      <c r="C37" s="3516"/>
      <c r="D37" s="3513">
        <f ca="1">ROUND(C35*D35+C36*D36,2)</f>
        <v>1.52</v>
      </c>
      <c r="E37" s="3513"/>
      <c r="F37" s="3513"/>
      <c r="G37" s="3110">
        <f ca="1">ROUND(D37*I3/10000,2)</f>
        <v>0.02</v>
      </c>
      <c r="H37" s="3111"/>
      <c r="J37" s="3057"/>
      <c r="K37" s="3057"/>
      <c r="L37" s="3057"/>
    </row>
    <row r="38" spans="1:13" ht="22.5" customHeight="1">
      <c r="B38" s="3144" t="s">
        <v>3188</v>
      </c>
      <c r="C38" s="3144">
        <f ca="1">ROUND(D37*0.9,2)</f>
        <v>1.37</v>
      </c>
      <c r="D38" s="3115" t="s">
        <v>3189</v>
      </c>
      <c r="E38" s="3513">
        <f ca="1">ROUND(D37*1.1,2)</f>
        <v>1.67</v>
      </c>
      <c r="F38" s="3513"/>
      <c r="G38" s="3110" t="s">
        <v>3190</v>
      </c>
      <c r="H38" s="3116">
        <v>12</v>
      </c>
      <c r="J38" s="3057"/>
      <c r="K38" s="3057"/>
      <c r="L38" s="3057"/>
    </row>
    <row r="39" spans="1:13" ht="18" customHeight="1">
      <c r="B39" s="3144" t="s">
        <v>3191</v>
      </c>
      <c r="C39" s="3144">
        <f ca="1">ROUND(C38+H39,2)</f>
        <v>1.42</v>
      </c>
      <c r="D39" s="3115" t="s">
        <v>3189</v>
      </c>
      <c r="E39" s="3513">
        <f ca="1">ROUND(E38+H39,2)</f>
        <v>1.72</v>
      </c>
      <c r="F39" s="3513"/>
      <c r="G39" s="3117" t="s">
        <v>3192</v>
      </c>
      <c r="H39" s="3117">
        <v>0.05</v>
      </c>
      <c r="J39" s="3057"/>
      <c r="K39" s="3057"/>
      <c r="L39" s="3057"/>
    </row>
    <row r="40" spans="1:13" ht="18" customHeight="1">
      <c r="B40" s="3118"/>
      <c r="C40" s="3119"/>
      <c r="D40" s="3120"/>
      <c r="E40" s="3120"/>
      <c r="F40" s="3120"/>
      <c r="G40" s="3110"/>
      <c r="H40" s="3111"/>
      <c r="J40" s="3057"/>
    </row>
    <row r="41" spans="1:13" ht="18" customHeight="1">
      <c r="B41" s="3110" t="s">
        <v>3193</v>
      </c>
      <c r="C41" s="3120"/>
      <c r="D41" s="3120"/>
      <c r="E41" s="3110" t="s">
        <v>3194</v>
      </c>
      <c r="F41" s="3120"/>
      <c r="G41" s="3110"/>
      <c r="H41" s="3110" t="s">
        <v>3195</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t="s">
        <v>3536</v>
      </c>
      <c r="C1" s="204"/>
      <c r="D1" s="204"/>
      <c r="E1" s="204"/>
      <c r="F1" s="204"/>
      <c r="G1" s="1288">
        <f>MATCH(B1,'数据-取费表'!A6:A16,0)+5</f>
        <v>7</v>
      </c>
    </row>
    <row r="2" spans="1:9" s="206" customFormat="1" ht="18" customHeight="1">
      <c r="A2" s="207" t="s">
        <v>2147</v>
      </c>
      <c r="B2" s="208">
        <f ca="1">IF(D2="——",C52,C52-E2)</f>
        <v>162</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12284</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86</v>
      </c>
      <c r="D5" s="217" t="s">
        <v>2154</v>
      </c>
      <c r="E5" s="218" t="s">
        <v>2155</v>
      </c>
      <c r="F5" s="218" t="s">
        <v>2156</v>
      </c>
      <c r="G5" s="219"/>
    </row>
    <row r="6" spans="1:9" s="220" customFormat="1" ht="13.5" customHeight="1">
      <c r="A6" s="886" t="s">
        <v>2157</v>
      </c>
      <c r="B6" s="221" t="s">
        <v>2158</v>
      </c>
      <c r="C6" s="222">
        <f>ROUND([1]基准地价修正!$C$41*[1]基准地价修正!$D$41/10000,0)</f>
        <v>81</v>
      </c>
      <c r="D6" s="223"/>
      <c r="E6" s="224"/>
      <c r="F6" s="224"/>
      <c r="G6" s="225"/>
    </row>
    <row r="7" spans="1:9" s="220" customFormat="1" ht="13.5" customHeight="1">
      <c r="A7" s="886" t="s">
        <v>2159</v>
      </c>
      <c r="B7" s="221" t="s">
        <v>2160</v>
      </c>
      <c r="C7" s="226">
        <f>ROUND(C6*F7,0)</f>
        <v>2</v>
      </c>
      <c r="D7" s="226"/>
      <c r="E7" s="224"/>
      <c r="F7" s="227">
        <f>IF(项目基本情况!B8="出让",0,'数据-取费表'!B48+'数据-取费表'!B49)</f>
        <v>3.0499999999999999E-2</v>
      </c>
      <c r="G7" s="225"/>
    </row>
    <row r="8" spans="1:9" s="229" customFormat="1">
      <c r="A8" s="886" t="s">
        <v>2161</v>
      </c>
      <c r="B8" s="221" t="s">
        <v>2162</v>
      </c>
      <c r="C8" s="226">
        <f ca="1">C10</f>
        <v>3</v>
      </c>
      <c r="D8" s="228"/>
      <c r="E8" s="226"/>
      <c r="F8" s="227"/>
      <c r="G8" s="2041" t="s">
        <v>3315</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3316</v>
      </c>
      <c r="H9" s="1299">
        <v>0</v>
      </c>
      <c r="I9" s="2043" t="s">
        <v>2164</v>
      </c>
    </row>
    <row r="10" spans="1:9" s="220" customFormat="1" ht="13.5" customHeight="1">
      <c r="A10" s="887" t="s">
        <v>801</v>
      </c>
      <c r="B10" s="230" t="s">
        <v>2165</v>
      </c>
      <c r="C10" s="231">
        <f ca="1">ROUND(D10*E10/10000,0)</f>
        <v>3</v>
      </c>
      <c r="D10" s="954">
        <f ca="1">IF(B1="",'数据-汇总表'!E6,IF(INDIRECT("'数据-取费表'!c"&amp;$G$1)="住宅",INDIRECT("'数据-取费表'!s"&amp;$G$1),INDIRECT("'数据-取费表'!k"&amp;$G$1)+INDIRECT("'数据-取费表'!s"&amp;$G$1)))</f>
        <v>131.88</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131.88</v>
      </c>
      <c r="E19" s="217">
        <f>'数据-取费表'!B31</f>
        <v>200</v>
      </c>
      <c r="F19" s="237"/>
      <c r="G19" s="2041" t="s">
        <v>3317</v>
      </c>
    </row>
    <row r="20" spans="1:7" s="220" customFormat="1" ht="13.5" customHeight="1">
      <c r="A20" s="261" t="s">
        <v>2178</v>
      </c>
      <c r="B20" s="216" t="s">
        <v>2179</v>
      </c>
      <c r="C20" s="238">
        <f ca="1">ROUND((C5+C19)*F20,0)</f>
        <v>1</v>
      </c>
      <c r="D20" s="238"/>
      <c r="E20" s="238"/>
      <c r="F20" s="3257">
        <v>0.01</v>
      </c>
      <c r="G20" s="240" t="s">
        <v>2180</v>
      </c>
    </row>
    <row r="21" spans="1:7" s="220" customFormat="1" ht="13.5" customHeight="1">
      <c r="A21" s="261" t="s">
        <v>2181</v>
      </c>
      <c r="B21" s="216" t="s">
        <v>2182</v>
      </c>
      <c r="C21" s="241">
        <f>F21</f>
        <v>0.01</v>
      </c>
      <c r="D21" s="242" t="s">
        <v>2183</v>
      </c>
      <c r="E21" s="238"/>
      <c r="F21" s="3257">
        <v>0.01</v>
      </c>
      <c r="G21" s="240" t="s">
        <v>2184</v>
      </c>
    </row>
    <row r="22" spans="1:7" s="220" customFormat="1" ht="13.5" customHeight="1">
      <c r="A22" s="261" t="s">
        <v>2185</v>
      </c>
      <c r="B22" s="216" t="s">
        <v>2186</v>
      </c>
      <c r="C22" s="1264">
        <f ca="1">ROUND(SUM(C23:C25),0)</f>
        <v>8</v>
      </c>
      <c r="D22" s="241">
        <f ca="1">C26</f>
        <v>5.0000000000000001E-4</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3259">
        <f ca="1">ROUND(IF('数据-取费表'!B22&lt;=1,F21*F22*'数据-取费表'!B23/2,F21*(POWER((1+F22),'数据-取费表'!B23/2)-1)),4)</f>
        <v>5.0000000000000001E-4</v>
      </c>
      <c r="D26" s="244"/>
      <c r="E26" s="247"/>
      <c r="F26" s="245"/>
      <c r="G26" s="249"/>
    </row>
    <row r="27" spans="1:7" s="220" customFormat="1" ht="24.75">
      <c r="A27" s="261" t="s">
        <v>2197</v>
      </c>
      <c r="B27" s="250" t="s">
        <v>2198</v>
      </c>
      <c r="C27" s="251">
        <f ca="1">C28</f>
        <v>9</v>
      </c>
      <c r="D27" s="241">
        <f ca="1">C29</f>
        <v>1E-3</v>
      </c>
      <c r="E27" s="242" t="s">
        <v>2199</v>
      </c>
      <c r="F27" s="252">
        <f ca="1">IF(B1="",'数据-取费表'!Q16,INDIRECT("'数据-取费表'!q"&amp;$G$1))</f>
        <v>0.1</v>
      </c>
      <c r="G27" s="253" t="s">
        <v>2200</v>
      </c>
    </row>
    <row r="28" spans="1:7" s="220" customFormat="1" ht="13.5" customHeight="1">
      <c r="A28" s="888" t="s">
        <v>791</v>
      </c>
      <c r="B28" s="254" t="s">
        <v>2201</v>
      </c>
      <c r="C28" s="255">
        <f ca="1">ROUND((C5+C19+C20)*F27*'数据-取费表'!B21/'数据-取费表'!B20,0)</f>
        <v>9</v>
      </c>
      <c r="D28" s="241"/>
      <c r="E28" s="242"/>
      <c r="F28" s="252"/>
      <c r="G28" s="253"/>
    </row>
    <row r="29" spans="1:7" s="220" customFormat="1" ht="13.5" customHeight="1">
      <c r="A29" s="888" t="s">
        <v>792</v>
      </c>
      <c r="B29" s="254" t="s">
        <v>2202</v>
      </c>
      <c r="C29" s="3259">
        <f ca="1">ROUND(C21*F27*'数据-取费表'!B21/'数据-取费表'!B20,4)</f>
        <v>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111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52</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46</v>
      </c>
      <c r="D34" s="223"/>
      <c r="E34" s="226"/>
      <c r="F34" s="263">
        <f ca="1">IF('数据-取费表'!B24=0,1,IF(B1="",'数据-取费表'!N16,INDIRECT("'数据-取费表'!n"&amp;$G$1)))</f>
        <v>1</v>
      </c>
      <c r="G34" s="225" t="s">
        <v>2211</v>
      </c>
    </row>
    <row r="35" spans="1:7" ht="13.5" customHeight="1">
      <c r="A35" s="888" t="s">
        <v>796</v>
      </c>
      <c r="B35" s="221" t="s">
        <v>2212</v>
      </c>
      <c r="C35" s="226">
        <f ca="1">ROUND(C34*F35,0)</f>
        <v>2</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3</v>
      </c>
      <c r="D37" s="223">
        <f ca="1">D19</f>
        <v>131.88</v>
      </c>
      <c r="E37" s="255">
        <f>'数据-取费表'!B35</f>
        <v>200</v>
      </c>
      <c r="F37" s="265"/>
      <c r="G37" s="267" t="s">
        <v>2217</v>
      </c>
    </row>
    <row r="38" spans="1:7" ht="13.5" customHeight="1">
      <c r="A38" s="888"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1</v>
      </c>
      <c r="D39" s="238"/>
      <c r="E39" s="238"/>
      <c r="F39" s="239">
        <f>F20</f>
        <v>0.01</v>
      </c>
      <c r="G39" s="240" t="s">
        <v>2221</v>
      </c>
    </row>
    <row r="40" spans="1:7" s="220" customFormat="1" ht="13.5" customHeight="1">
      <c r="A40" s="261" t="s">
        <v>2222</v>
      </c>
      <c r="B40" s="216" t="s">
        <v>2223</v>
      </c>
      <c r="C40" s="1495">
        <f>F21</f>
        <v>0.01</v>
      </c>
      <c r="D40" s="242" t="s">
        <v>2224</v>
      </c>
      <c r="E40" s="238"/>
      <c r="F40" s="239">
        <f>F21</f>
        <v>0.01</v>
      </c>
      <c r="G40" s="240" t="s">
        <v>2225</v>
      </c>
    </row>
    <row r="41" spans="1:7" s="220" customFormat="1" ht="13.5" customHeight="1">
      <c r="A41" s="261" t="s">
        <v>2226</v>
      </c>
      <c r="B41" s="216" t="s">
        <v>2227</v>
      </c>
      <c r="C41" s="238">
        <f ca="1">ROUND(SUM(C42:C43),0)</f>
        <v>2</v>
      </c>
      <c r="D41" s="241">
        <f ca="1">C44</f>
        <v>5.0000000000000001E-4</v>
      </c>
      <c r="E41" s="242" t="s">
        <v>2224</v>
      </c>
      <c r="F41" s="243">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v>
      </c>
      <c r="D42" s="244"/>
      <c r="E42" s="244"/>
      <c r="F42" s="245"/>
      <c r="G42" s="3612" t="s">
        <v>2229</v>
      </c>
    </row>
    <row r="43" spans="1:7" ht="13.5" customHeight="1">
      <c r="A43" s="888" t="s">
        <v>792</v>
      </c>
      <c r="B43" s="221" t="s">
        <v>2230</v>
      </c>
      <c r="C43" s="244">
        <f ca="1">ROUND(IF('数据-取费表'!B22&lt;=1,C39*F22*'数据-取费表'!B21/2,C39*(POWER((1+F22),'数据-取费表'!B21/2)-1)),0)</f>
        <v>0</v>
      </c>
      <c r="D43" s="244"/>
      <c r="E43" s="244"/>
      <c r="F43" s="245"/>
      <c r="G43" s="3613"/>
    </row>
    <row r="44" spans="1:7" ht="13.5" customHeight="1">
      <c r="A44" s="888" t="s">
        <v>793</v>
      </c>
      <c r="B44" s="221" t="s">
        <v>2231</v>
      </c>
      <c r="C44" s="244">
        <f ca="1">ROUND(IF('数据-取费表'!B22&lt;=1,C40*F22*'数据-取费表'!B21/2,C40*(POWER((1+F22),'数据-取费表'!B21/2)-1)),4)</f>
        <v>5.0000000000000001E-4</v>
      </c>
      <c r="D44" s="244"/>
      <c r="E44" s="244"/>
      <c r="F44" s="245"/>
      <c r="G44" s="3614"/>
    </row>
    <row r="45" spans="1:7" s="220" customFormat="1" ht="13.5" customHeight="1">
      <c r="A45" s="261" t="s">
        <v>2232</v>
      </c>
      <c r="B45" s="250" t="s">
        <v>2198</v>
      </c>
      <c r="C45" s="251">
        <f ca="1">C46</f>
        <v>5</v>
      </c>
      <c r="D45" s="241">
        <f ca="1">C47</f>
        <v>1E-3</v>
      </c>
      <c r="E45" s="242" t="s">
        <v>2224</v>
      </c>
      <c r="F45" s="252">
        <f ca="1">F27</f>
        <v>0.1</v>
      </c>
      <c r="G45" s="253" t="s">
        <v>2233</v>
      </c>
    </row>
    <row r="46" spans="1:7" s="220" customFormat="1" ht="13.5" customHeight="1">
      <c r="A46" s="888" t="s">
        <v>791</v>
      </c>
      <c r="B46" s="254" t="s">
        <v>2234</v>
      </c>
      <c r="C46" s="255">
        <f ca="1">ROUND((C33+C39)*F27,0)</f>
        <v>5</v>
      </c>
      <c r="D46" s="269"/>
      <c r="E46" s="242"/>
      <c r="F46" s="252"/>
      <c r="G46" s="253"/>
    </row>
    <row r="47" spans="1:7" s="220" customFormat="1" ht="13.5" customHeight="1">
      <c r="A47" s="888" t="s">
        <v>792</v>
      </c>
      <c r="B47" s="254" t="s">
        <v>2235</v>
      </c>
      <c r="C47" s="244">
        <f ca="1">ROUND(C40*F27,4)</f>
        <v>1E-3</v>
      </c>
      <c r="D47" s="269"/>
      <c r="E47" s="242"/>
      <c r="F47" s="252"/>
      <c r="G47" s="253"/>
    </row>
    <row r="48" spans="1:7" s="220" customFormat="1" ht="13.5" customHeight="1">
      <c r="A48" s="261" t="s">
        <v>2197</v>
      </c>
      <c r="B48" s="216" t="s">
        <v>2236</v>
      </c>
      <c r="C48" s="1495">
        <f>ROUND(F30/(1+'数据-取费表'!C42),4)</f>
        <v>5.33E-2</v>
      </c>
      <c r="D48" s="242" t="s">
        <v>2224</v>
      </c>
      <c r="E48" s="238"/>
      <c r="F48" s="243">
        <f>F30</f>
        <v>5.6000000000000001E-2</v>
      </c>
      <c r="G48" s="240" t="s">
        <v>2237</v>
      </c>
    </row>
    <row r="49" spans="1:7" ht="16.5" customHeight="1">
      <c r="A49" s="261" t="s">
        <v>2203</v>
      </c>
      <c r="B49" s="216" t="s">
        <v>2238</v>
      </c>
      <c r="C49" s="238">
        <f ca="1">ROUND((C33+C39+C41+C45)/(1-C40-D41-D45-C48),0)</f>
        <v>64</v>
      </c>
      <c r="D49" s="238"/>
      <c r="E49" s="238"/>
      <c r="F49" s="270"/>
      <c r="G49" s="240" t="s">
        <v>2239</v>
      </c>
    </row>
    <row r="50" spans="1:7" s="264" customFormat="1" ht="24">
      <c r="A50" s="261" t="s">
        <v>2240</v>
      </c>
      <c r="B50" s="216" t="s">
        <v>2241</v>
      </c>
      <c r="C50" s="238"/>
      <c r="D50" s="238"/>
      <c r="E50" s="238"/>
      <c r="F50" s="3258">
        <f>'数据-取费表'!N7</f>
        <v>0.8</v>
      </c>
      <c r="G50" s="253" t="s">
        <v>2242</v>
      </c>
    </row>
    <row r="51" spans="1:7" ht="16.5" customHeight="1">
      <c r="A51" s="261" t="s">
        <v>2243</v>
      </c>
      <c r="B51" s="216" t="s">
        <v>2244</v>
      </c>
      <c r="C51" s="238">
        <f ca="1">ROUND(C49*F50,0)</f>
        <v>51</v>
      </c>
      <c r="D51" s="238"/>
      <c r="E51" s="238"/>
      <c r="F51" s="270"/>
      <c r="G51" s="240" t="s">
        <v>2245</v>
      </c>
    </row>
    <row r="52" spans="1:7" s="214" customFormat="1" ht="16.5" thickBot="1">
      <c r="A52" s="271" t="s">
        <v>2246</v>
      </c>
      <c r="B52" s="272"/>
      <c r="C52" s="273">
        <f ca="1">C31+C51</f>
        <v>162</v>
      </c>
      <c r="D52" s="272"/>
      <c r="E52" s="272"/>
      <c r="F52" s="272"/>
      <c r="G52" s="274"/>
    </row>
    <row r="55" spans="1:7" ht="15">
      <c r="B55" s="276" t="s">
        <v>2247</v>
      </c>
      <c r="C55" s="277"/>
    </row>
    <row r="56" spans="1:7">
      <c r="B56" s="279" t="s">
        <v>1477</v>
      </c>
      <c r="C56" s="281">
        <f ca="1">1-C57</f>
        <v>0.68500000000000005</v>
      </c>
    </row>
    <row r="57" spans="1:7">
      <c r="B57" s="279" t="s">
        <v>1478</v>
      </c>
      <c r="C57" s="280">
        <f ca="1">ROUND(C51/C52,3)</f>
        <v>0.315</v>
      </c>
    </row>
  </sheetData>
  <sheetProtection formatCells="0"/>
  <mergeCells count="1">
    <mergeCell ref="G42:G44"/>
  </mergeCells>
  <phoneticPr fontId="140" type="noConversion"/>
  <dataValidations count="6">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9" xr:uid="{00000000-0002-0000-2400-000003000000}">
      <formula1>"部分缴纳,全部缴纳"</formula1>
    </dataValidation>
    <dataValidation type="list" allowBlank="1" showInputMessage="1" showErrorMessage="1" sqref="G2" xr:uid="{00000000-0002-0000-2400-000004000000}">
      <formula1>估价方法</formula1>
    </dataValidation>
    <dataValidation type="list" allowBlank="1" showInputMessage="1" showErrorMessage="1" sqref="D2" xr:uid="{00000000-0002-0000-2400-000005000000}">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520" t="s">
        <v>2466</v>
      </c>
      <c r="D4" s="3521"/>
      <c r="E4" s="3522" t="s">
        <v>2467</v>
      </c>
      <c r="F4" s="3523"/>
      <c r="G4" s="3520" t="s">
        <v>2468</v>
      </c>
      <c r="H4" s="3521"/>
      <c r="I4" s="3520" t="s">
        <v>2469</v>
      </c>
      <c r="J4" s="3521"/>
      <c r="K4" s="567" t="s">
        <v>2470</v>
      </c>
      <c r="L4" s="2932"/>
      <c r="M4" s="2933"/>
      <c r="N4" s="2933"/>
      <c r="O4" s="2933"/>
      <c r="P4" s="3524" t="s">
        <v>2471</v>
      </c>
      <c r="Q4" s="3525"/>
      <c r="R4" s="3530" t="s">
        <v>2467</v>
      </c>
      <c r="S4" s="3531"/>
      <c r="T4" s="3530" t="s">
        <v>2468</v>
      </c>
      <c r="U4" s="3531"/>
      <c r="V4" s="3544" t="s">
        <v>2469</v>
      </c>
      <c r="W4" s="3544"/>
      <c r="X4" s="1539"/>
      <c r="Y4" s="3530" t="s">
        <v>2471</v>
      </c>
      <c r="Z4" s="3531"/>
      <c r="AA4" s="3517" t="s">
        <v>2467</v>
      </c>
      <c r="AB4" s="3518" t="s">
        <v>2468</v>
      </c>
      <c r="AC4" s="3517" t="s">
        <v>2469</v>
      </c>
    </row>
    <row r="5" spans="1:30" ht="15">
      <c r="A5" s="364"/>
      <c r="B5" s="365"/>
      <c r="C5" s="3592" t="s">
        <v>2362</v>
      </c>
      <c r="D5" s="3535"/>
      <c r="E5" s="3591" t="s">
        <v>2363</v>
      </c>
      <c r="F5" s="3537"/>
      <c r="G5" s="3592" t="s">
        <v>2364</v>
      </c>
      <c r="H5" s="3535"/>
      <c r="I5" s="3592" t="s">
        <v>2365</v>
      </c>
      <c r="J5" s="3535"/>
      <c r="K5" s="567"/>
      <c r="L5" s="2932"/>
      <c r="M5" s="2933"/>
      <c r="N5" s="2933"/>
      <c r="O5" s="2933"/>
      <c r="P5" s="3526"/>
      <c r="Q5" s="3527"/>
      <c r="R5" s="3532"/>
      <c r="S5" s="3533"/>
      <c r="T5" s="3532"/>
      <c r="U5" s="3533"/>
      <c r="V5" s="3544"/>
      <c r="W5" s="3544"/>
      <c r="X5" s="1539"/>
      <c r="Y5" s="3532"/>
      <c r="Z5" s="3533"/>
      <c r="AA5" s="3518"/>
      <c r="AB5" s="3518"/>
      <c r="AC5" s="3518"/>
    </row>
    <row r="6" spans="1:30" ht="15.75" thickBot="1">
      <c r="A6" s="366"/>
      <c r="B6" s="367"/>
      <c r="C6" s="3538" t="s">
        <v>2366</v>
      </c>
      <c r="D6" s="3539"/>
      <c r="E6" s="3540" t="s">
        <v>2366</v>
      </c>
      <c r="F6" s="3541"/>
      <c r="G6" s="3538" t="s">
        <v>2366</v>
      </c>
      <c r="H6" s="3539"/>
      <c r="I6" s="3538" t="s">
        <v>2366</v>
      </c>
      <c r="J6" s="3539"/>
      <c r="K6" s="567" t="s">
        <v>2367</v>
      </c>
      <c r="L6" s="2932"/>
      <c r="M6" s="2933"/>
      <c r="N6" s="2933"/>
      <c r="O6" s="2933"/>
      <c r="P6" s="3528"/>
      <c r="Q6" s="3529"/>
      <c r="R6" s="3532"/>
      <c r="S6" s="3533"/>
      <c r="T6" s="3542"/>
      <c r="U6" s="3543"/>
      <c r="V6" s="3544"/>
      <c r="W6" s="3544"/>
      <c r="X6" s="1539"/>
      <c r="Y6" s="3542"/>
      <c r="Z6" s="3543"/>
      <c r="AA6" s="3519"/>
      <c r="AB6" s="3519"/>
      <c r="AC6" s="3519"/>
    </row>
    <row r="7" spans="1:30" s="113" customFormat="1" ht="15.75" thickBot="1">
      <c r="A7" s="368" t="s">
        <v>2368</v>
      </c>
      <c r="B7" s="369"/>
      <c r="C7" s="370">
        <f>'数据-取费表'!B2</f>
        <v>44775</v>
      </c>
      <c r="D7" s="371">
        <v>100</v>
      </c>
      <c r="E7" s="372"/>
      <c r="F7" s="373">
        <f>SUMIF(70:70,YEAR(E7)&amp;"-"&amp;INT((MONTH(E7)+2)/3),71:71)</f>
        <v>0</v>
      </c>
      <c r="G7" s="2159"/>
      <c r="H7" s="371">
        <f>SUMIF(70:70,YEAR(G7)&amp;"-"&amp;INT((MONTH(G7)+2)/3),71:71)</f>
        <v>0</v>
      </c>
      <c r="I7" s="2159"/>
      <c r="J7" s="371">
        <f>SUMIF(70:70,YEAR(I7)&amp;"-"&amp;INT((MONTH(I7)+2)/3),71:71)</f>
        <v>0</v>
      </c>
      <c r="K7" s="568"/>
      <c r="L7" s="2934"/>
      <c r="M7" s="2935"/>
      <c r="N7" s="2935"/>
      <c r="O7" s="2935"/>
      <c r="P7" s="3545" t="s">
        <v>2369</v>
      </c>
      <c r="Q7" s="3546"/>
      <c r="R7" s="710" t="s">
        <v>17</v>
      </c>
      <c r="S7" s="711">
        <f t="shared" ref="S7:S15" si="0">F7</f>
        <v>0</v>
      </c>
      <c r="T7" s="710" t="s">
        <v>17</v>
      </c>
      <c r="U7" s="711">
        <f t="shared" ref="U7:U15" si="1">H7</f>
        <v>0</v>
      </c>
      <c r="V7" s="710" t="s">
        <v>17</v>
      </c>
      <c r="W7" s="711">
        <f t="shared" ref="W7:W15" si="2">J7</f>
        <v>0</v>
      </c>
      <c r="X7" s="712"/>
      <c r="Y7" s="3545" t="s">
        <v>2369</v>
      </c>
      <c r="Z7" s="354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545" t="s">
        <v>2372</v>
      </c>
      <c r="Q8" s="3547"/>
      <c r="R8" s="710" t="s">
        <v>17</v>
      </c>
      <c r="S8" s="711">
        <f t="shared" si="0"/>
        <v>0</v>
      </c>
      <c r="T8" s="710" t="s">
        <v>17</v>
      </c>
      <c r="U8" s="711">
        <f t="shared" si="1"/>
        <v>0</v>
      </c>
      <c r="V8" s="710" t="s">
        <v>17</v>
      </c>
      <c r="W8" s="711">
        <f t="shared" si="2"/>
        <v>0</v>
      </c>
      <c r="X8" s="712"/>
      <c r="Y8" s="3545" t="s">
        <v>2372</v>
      </c>
      <c r="Z8" s="3547"/>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4"/>
      <c r="M9" s="2935"/>
      <c r="N9" s="2935"/>
      <c r="O9" s="2989"/>
      <c r="P9" s="3558" t="s">
        <v>2375</v>
      </c>
      <c r="Q9" s="1527" t="str">
        <f t="shared" ref="Q9:Q15" si="6">B9</f>
        <v>用途</v>
      </c>
      <c r="R9" s="710" t="s">
        <v>17</v>
      </c>
      <c r="S9" s="711">
        <f t="shared" si="0"/>
        <v>100</v>
      </c>
      <c r="T9" s="710" t="s">
        <v>17</v>
      </c>
      <c r="U9" s="711">
        <f t="shared" si="1"/>
        <v>100</v>
      </c>
      <c r="V9" s="710" t="s">
        <v>17</v>
      </c>
      <c r="W9" s="711">
        <f t="shared" si="2"/>
        <v>100</v>
      </c>
      <c r="X9" s="712"/>
      <c r="Y9" s="3427"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118</v>
      </c>
      <c r="G10" s="422"/>
      <c r="H10" s="132">
        <f>ROUND(100/'数据-取费表'!G16,0)</f>
        <v>118</v>
      </c>
      <c r="I10" s="422"/>
      <c r="J10" s="132">
        <f>ROUND(100/'数据-取费表'!G16,0)</f>
        <v>118</v>
      </c>
      <c r="K10" s="628"/>
      <c r="L10" s="2936"/>
      <c r="M10" s="2937"/>
      <c r="N10" s="2937"/>
      <c r="O10" s="2990"/>
      <c r="P10" s="3558"/>
      <c r="Q10" s="1527" t="str">
        <f t="shared" si="6"/>
        <v>土地使用年限（年）</v>
      </c>
      <c r="R10" s="710" t="s">
        <v>17</v>
      </c>
      <c r="S10" s="711">
        <f t="shared" si="0"/>
        <v>118</v>
      </c>
      <c r="T10" s="710" t="s">
        <v>17</v>
      </c>
      <c r="U10" s="711">
        <f t="shared" si="1"/>
        <v>118</v>
      </c>
      <c r="V10" s="710" t="s">
        <v>17</v>
      </c>
      <c r="W10" s="711">
        <f t="shared" si="2"/>
        <v>118</v>
      </c>
      <c r="X10" s="712"/>
      <c r="Y10" s="3427"/>
      <c r="Z10" s="55" t="str">
        <f t="shared" si="7"/>
        <v>土地使用年限（年）</v>
      </c>
      <c r="AA10" s="713">
        <f t="shared" si="3"/>
        <v>0.84745762711864403</v>
      </c>
      <c r="AB10" s="713">
        <f t="shared" si="4"/>
        <v>0.84745762711864403</v>
      </c>
      <c r="AC10" s="713">
        <f t="shared" si="5"/>
        <v>0.84745762711864403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558"/>
      <c r="Q11" s="1527" t="str">
        <f t="shared" si="6"/>
        <v>容积率</v>
      </c>
      <c r="R11" s="710" t="s">
        <v>17</v>
      </c>
      <c r="S11" s="711" t="e">
        <f t="shared" si="0"/>
        <v>#N/A</v>
      </c>
      <c r="T11" s="710" t="s">
        <v>17</v>
      </c>
      <c r="U11" s="711" t="e">
        <f t="shared" si="1"/>
        <v>#N/A</v>
      </c>
      <c r="V11" s="710" t="s">
        <v>17</v>
      </c>
      <c r="W11" s="711" t="e">
        <f t="shared" si="2"/>
        <v>#N/A</v>
      </c>
      <c r="X11" s="712"/>
      <c r="Y11" s="3427"/>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558"/>
      <c r="Q12" s="1527" t="str">
        <f t="shared" si="6"/>
        <v>配建</v>
      </c>
      <c r="R12" s="710" t="s">
        <v>17</v>
      </c>
      <c r="S12" s="711">
        <f t="shared" si="0"/>
        <v>100</v>
      </c>
      <c r="T12" s="710" t="s">
        <v>17</v>
      </c>
      <c r="U12" s="711">
        <f t="shared" si="1"/>
        <v>100</v>
      </c>
      <c r="V12" s="710" t="s">
        <v>17</v>
      </c>
      <c r="W12" s="711">
        <f t="shared" si="2"/>
        <v>100</v>
      </c>
      <c r="X12" s="712"/>
      <c r="Y12" s="3427"/>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558"/>
      <c r="Q13" s="1527">
        <f t="shared" si="6"/>
        <v>111</v>
      </c>
      <c r="R13" s="710" t="s">
        <v>17</v>
      </c>
      <c r="S13" s="711">
        <f t="shared" si="0"/>
        <v>100</v>
      </c>
      <c r="T13" s="710" t="s">
        <v>17</v>
      </c>
      <c r="U13" s="711">
        <f t="shared" si="1"/>
        <v>100</v>
      </c>
      <c r="V13" s="710" t="s">
        <v>17</v>
      </c>
      <c r="W13" s="711">
        <f t="shared" si="2"/>
        <v>100</v>
      </c>
      <c r="X13" s="712"/>
      <c r="Y13" s="3427"/>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558"/>
      <c r="Q14" s="1527">
        <f t="shared" si="6"/>
        <v>111</v>
      </c>
      <c r="R14" s="710" t="s">
        <v>17</v>
      </c>
      <c r="S14" s="711">
        <f t="shared" si="0"/>
        <v>100</v>
      </c>
      <c r="T14" s="710" t="s">
        <v>17</v>
      </c>
      <c r="U14" s="711">
        <f t="shared" si="1"/>
        <v>100</v>
      </c>
      <c r="V14" s="710" t="s">
        <v>17</v>
      </c>
      <c r="W14" s="711">
        <f t="shared" si="2"/>
        <v>100</v>
      </c>
      <c r="X14" s="712"/>
      <c r="Y14" s="3427"/>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551" t="s">
        <v>2380</v>
      </c>
      <c r="Q15" s="1536" t="str">
        <f t="shared" si="6"/>
        <v>居住社区成熟度</v>
      </c>
      <c r="R15" s="714" t="s">
        <v>17</v>
      </c>
      <c r="S15" s="715">
        <f t="shared" si="0"/>
        <v>100</v>
      </c>
      <c r="T15" s="714" t="s">
        <v>17</v>
      </c>
      <c r="U15" s="715">
        <f t="shared" si="1"/>
        <v>100</v>
      </c>
      <c r="V15" s="714" t="s">
        <v>17</v>
      </c>
      <c r="W15" s="715">
        <f t="shared" si="2"/>
        <v>100</v>
      </c>
      <c r="X15" s="1539"/>
      <c r="Y15" s="3551"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9"/>
      <c r="M16" s="2933"/>
      <c r="N16" s="2933"/>
      <c r="O16" s="2991"/>
      <c r="P16" s="3552"/>
      <c r="Q16" s="1536"/>
      <c r="R16" s="714"/>
      <c r="S16" s="715"/>
      <c r="T16" s="714"/>
      <c r="U16" s="715"/>
      <c r="V16" s="714"/>
      <c r="W16" s="715"/>
      <c r="X16" s="1539"/>
      <c r="Y16" s="3552"/>
      <c r="Z16" s="1540"/>
      <c r="AA16" s="1537">
        <v>1</v>
      </c>
      <c r="AB16" s="1537">
        <v>1</v>
      </c>
      <c r="AC16" s="1537">
        <v>1</v>
      </c>
    </row>
    <row r="17" spans="1:29" ht="99.75">
      <c r="A17" s="387"/>
      <c r="B17" s="410" t="s">
        <v>2473</v>
      </c>
      <c r="C17" s="2140"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552"/>
      <c r="Q17" s="1536" t="str">
        <f>B17</f>
        <v>商业繁华度</v>
      </c>
      <c r="R17" s="714" t="s">
        <v>17</v>
      </c>
      <c r="S17" s="715">
        <f>F17</f>
        <v>100</v>
      </c>
      <c r="T17" s="714" t="s">
        <v>17</v>
      </c>
      <c r="U17" s="715">
        <f>H17</f>
        <v>100</v>
      </c>
      <c r="V17" s="714" t="s">
        <v>17</v>
      </c>
      <c r="W17" s="715">
        <f>J17</f>
        <v>100</v>
      </c>
      <c r="X17" s="1539"/>
      <c r="Y17" s="3552"/>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9"/>
      <c r="M18" s="2933"/>
      <c r="N18" s="2933"/>
      <c r="O18" s="2991"/>
      <c r="P18" s="3552"/>
      <c r="Q18" s="1536"/>
      <c r="R18" s="714"/>
      <c r="S18" s="715"/>
      <c r="T18" s="714"/>
      <c r="U18" s="715"/>
      <c r="V18" s="714"/>
      <c r="W18" s="715"/>
      <c r="X18" s="1539"/>
      <c r="Y18" s="3552"/>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552"/>
      <c r="Q19" s="1536" t="str">
        <f>B19</f>
        <v>办公集聚程度</v>
      </c>
      <c r="R19" s="714" t="s">
        <v>17</v>
      </c>
      <c r="S19" s="715">
        <f>F19</f>
        <v>100</v>
      </c>
      <c r="T19" s="714" t="s">
        <v>17</v>
      </c>
      <c r="U19" s="715">
        <f>H19</f>
        <v>100</v>
      </c>
      <c r="V19" s="714" t="s">
        <v>17</v>
      </c>
      <c r="W19" s="715">
        <f>J19</f>
        <v>100</v>
      </c>
      <c r="X19" s="1539"/>
      <c r="Y19" s="3552"/>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9"/>
      <c r="M20" s="2933"/>
      <c r="N20" s="2933"/>
      <c r="O20" s="2991"/>
      <c r="P20" s="3552"/>
      <c r="Q20" s="1536"/>
      <c r="R20" s="714"/>
      <c r="S20" s="715"/>
      <c r="T20" s="714"/>
      <c r="U20" s="715"/>
      <c r="V20" s="714"/>
      <c r="W20" s="715"/>
      <c r="X20" s="1539"/>
      <c r="Y20" s="3552"/>
      <c r="Z20" s="1540"/>
      <c r="AA20" s="1537">
        <v>1</v>
      </c>
      <c r="AB20" s="1537">
        <v>1</v>
      </c>
      <c r="AC20" s="1537">
        <v>1</v>
      </c>
    </row>
    <row r="21" spans="1:29" ht="142.5">
      <c r="A21" s="387"/>
      <c r="B21" s="410" t="s">
        <v>2529</v>
      </c>
      <c r="C21" s="2085"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552"/>
      <c r="Q21" s="1536" t="str">
        <f>B21</f>
        <v>交通便捷度</v>
      </c>
      <c r="R21" s="714" t="s">
        <v>17</v>
      </c>
      <c r="S21" s="715">
        <f>F21</f>
        <v>100</v>
      </c>
      <c r="T21" s="714" t="s">
        <v>17</v>
      </c>
      <c r="U21" s="715">
        <f>H21</f>
        <v>100</v>
      </c>
      <c r="V21" s="714" t="s">
        <v>17</v>
      </c>
      <c r="W21" s="715">
        <f>J21</f>
        <v>100</v>
      </c>
      <c r="X21" s="1539"/>
      <c r="Y21" s="3552"/>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9"/>
      <c r="M22" s="2933"/>
      <c r="N22" s="2933"/>
      <c r="O22" s="2991"/>
      <c r="P22" s="3552"/>
      <c r="Q22" s="1536"/>
      <c r="R22" s="714"/>
      <c r="S22" s="715"/>
      <c r="T22" s="714"/>
      <c r="U22" s="715"/>
      <c r="V22" s="714"/>
      <c r="W22" s="715"/>
      <c r="X22" s="1539"/>
      <c r="Y22" s="3552"/>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552"/>
      <c r="Q23" s="1536" t="str">
        <f t="shared" ref="Q23:Q37" si="8">B23</f>
        <v>区域土地利用方向</v>
      </c>
      <c r="R23" s="714" t="s">
        <v>17</v>
      </c>
      <c r="S23" s="715">
        <f>F23</f>
        <v>100</v>
      </c>
      <c r="T23" s="714" t="s">
        <v>17</v>
      </c>
      <c r="U23" s="715">
        <f>H23</f>
        <v>100</v>
      </c>
      <c r="V23" s="714" t="s">
        <v>17</v>
      </c>
      <c r="W23" s="715">
        <f>J23</f>
        <v>100</v>
      </c>
      <c r="X23" s="1539"/>
      <c r="Y23" s="3552"/>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9"/>
      <c r="M24" s="2933"/>
      <c r="N24" s="2933"/>
      <c r="O24" s="2991"/>
      <c r="P24" s="3552"/>
      <c r="Q24" s="1536"/>
      <c r="R24" s="714"/>
      <c r="S24" s="715"/>
      <c r="T24" s="714"/>
      <c r="U24" s="715"/>
      <c r="V24" s="714"/>
      <c r="W24" s="715"/>
      <c r="X24" s="1539"/>
      <c r="Y24" s="3552"/>
      <c r="Z24" s="1540"/>
      <c r="AA24" s="1537"/>
      <c r="AB24" s="1537"/>
      <c r="AC24" s="1537"/>
    </row>
    <row r="25" spans="1:29" ht="128.25">
      <c r="A25" s="364"/>
      <c r="B25" s="1293" t="s">
        <v>2569</v>
      </c>
      <c r="C25" s="2140"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552"/>
      <c r="Q25" s="1536" t="str">
        <f t="shared" si="8"/>
        <v>自然及人文环境状况</v>
      </c>
      <c r="R25" s="714" t="s">
        <v>17</v>
      </c>
      <c r="S25" s="715">
        <f>F25</f>
        <v>100</v>
      </c>
      <c r="T25" s="714" t="s">
        <v>17</v>
      </c>
      <c r="U25" s="715">
        <f>H25</f>
        <v>100</v>
      </c>
      <c r="V25" s="714" t="s">
        <v>17</v>
      </c>
      <c r="W25" s="715">
        <f>J25</f>
        <v>100</v>
      </c>
      <c r="X25" s="1539"/>
      <c r="Y25" s="3552"/>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9"/>
      <c r="M26" s="2933"/>
      <c r="N26" s="2933"/>
      <c r="O26" s="2991"/>
      <c r="P26" s="3552"/>
      <c r="Q26" s="1536"/>
      <c r="R26" s="714"/>
      <c r="S26" s="715"/>
      <c r="T26" s="714"/>
      <c r="U26" s="715"/>
      <c r="V26" s="714"/>
      <c r="W26" s="715"/>
      <c r="X26" s="1539"/>
      <c r="Y26" s="3552"/>
      <c r="Z26" s="1540"/>
      <c r="AA26" s="1537">
        <v>1</v>
      </c>
      <c r="AB26" s="1537">
        <v>1</v>
      </c>
      <c r="AC26" s="1537">
        <v>1</v>
      </c>
    </row>
    <row r="27" spans="1:29" s="113" customFormat="1" ht="327.75">
      <c r="A27" s="605"/>
      <c r="B27" s="1293" t="s">
        <v>2474</v>
      </c>
      <c r="C27" s="2085"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552"/>
      <c r="Q27" s="1527" t="str">
        <f t="shared" si="8"/>
        <v>公共配套设施</v>
      </c>
      <c r="R27" s="710" t="s">
        <v>17</v>
      </c>
      <c r="S27" s="711">
        <f>F27</f>
        <v>100</v>
      </c>
      <c r="T27" s="710" t="s">
        <v>17</v>
      </c>
      <c r="U27" s="711">
        <f>H27</f>
        <v>100</v>
      </c>
      <c r="V27" s="710" t="s">
        <v>17</v>
      </c>
      <c r="W27" s="711">
        <f>J27</f>
        <v>100</v>
      </c>
      <c r="X27" s="712"/>
      <c r="Y27" s="3552"/>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4"/>
      <c r="M28" s="2935"/>
      <c r="N28" s="2935"/>
      <c r="O28" s="2989"/>
      <c r="P28" s="3552"/>
      <c r="Q28" s="1527"/>
      <c r="R28" s="710"/>
      <c r="S28" s="711"/>
      <c r="T28" s="710"/>
      <c r="U28" s="711"/>
      <c r="V28" s="710"/>
      <c r="W28" s="711"/>
      <c r="X28" s="712"/>
      <c r="Y28" s="3552"/>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552"/>
      <c r="Q29" s="1527" t="str">
        <f t="shared" ref="Q29" si="9">B29</f>
        <v>基础设施水平</v>
      </c>
      <c r="R29" s="710" t="s">
        <v>17</v>
      </c>
      <c r="S29" s="711">
        <f>F29</f>
        <v>100</v>
      </c>
      <c r="T29" s="710" t="s">
        <v>17</v>
      </c>
      <c r="U29" s="711">
        <f>H29</f>
        <v>100</v>
      </c>
      <c r="V29" s="710" t="s">
        <v>17</v>
      </c>
      <c r="W29" s="711">
        <f>J29</f>
        <v>100</v>
      </c>
      <c r="X29" s="712"/>
      <c r="Y29" s="3552"/>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4"/>
      <c r="M30" s="2935"/>
      <c r="N30" s="2935"/>
      <c r="O30" s="2989"/>
      <c r="P30" s="3552"/>
      <c r="Q30" s="1527"/>
      <c r="R30" s="710"/>
      <c r="S30" s="711"/>
      <c r="T30" s="710"/>
      <c r="U30" s="711"/>
      <c r="V30" s="710"/>
      <c r="W30" s="711"/>
      <c r="X30" s="712"/>
      <c r="Y30" s="3552"/>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55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52"/>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552"/>
      <c r="Q32" s="1536" t="str">
        <f t="shared" si="8"/>
        <v>毗邻道路的类型与等级</v>
      </c>
      <c r="R32" s="714" t="s">
        <v>17</v>
      </c>
      <c r="S32" s="715">
        <f t="shared" si="10"/>
        <v>100</v>
      </c>
      <c r="T32" s="714" t="s">
        <v>17</v>
      </c>
      <c r="U32" s="715">
        <f t="shared" si="11"/>
        <v>100</v>
      </c>
      <c r="V32" s="714" t="s">
        <v>17</v>
      </c>
      <c r="W32" s="715">
        <f t="shared" si="12"/>
        <v>100</v>
      </c>
      <c r="X32" s="1539"/>
      <c r="Y32" s="3552"/>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9"/>
      <c r="M33" s="2933"/>
      <c r="N33" s="2933"/>
      <c r="O33" s="2991"/>
      <c r="P33" s="3552"/>
      <c r="Q33" s="1536"/>
      <c r="R33" s="714"/>
      <c r="S33" s="715"/>
      <c r="T33" s="714"/>
      <c r="U33" s="715"/>
      <c r="V33" s="714"/>
      <c r="W33" s="715"/>
      <c r="X33" s="1539"/>
      <c r="Y33" s="3552"/>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552"/>
      <c r="Q34" s="1536" t="str">
        <f t="shared" si="8"/>
        <v>土地级别</v>
      </c>
      <c r="R34" s="714" t="s">
        <v>17</v>
      </c>
      <c r="S34" s="715">
        <f t="shared" si="10"/>
        <v>100</v>
      </c>
      <c r="T34" s="714" t="s">
        <v>17</v>
      </c>
      <c r="U34" s="715">
        <f t="shared" si="11"/>
        <v>100</v>
      </c>
      <c r="V34" s="714" t="s">
        <v>17</v>
      </c>
      <c r="W34" s="715">
        <f t="shared" si="12"/>
        <v>100</v>
      </c>
      <c r="X34" s="1539"/>
      <c r="Y34" s="355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552"/>
      <c r="Q35" s="1536">
        <f t="shared" si="8"/>
        <v>111</v>
      </c>
      <c r="R35" s="714" t="s">
        <v>17</v>
      </c>
      <c r="S35" s="715">
        <f t="shared" si="10"/>
        <v>100</v>
      </c>
      <c r="T35" s="714" t="s">
        <v>17</v>
      </c>
      <c r="U35" s="715">
        <f t="shared" si="11"/>
        <v>100</v>
      </c>
      <c r="V35" s="714" t="s">
        <v>17</v>
      </c>
      <c r="W35" s="715">
        <f t="shared" si="12"/>
        <v>100</v>
      </c>
      <c r="X35" s="1539"/>
      <c r="Y35" s="355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608" t="s">
        <v>2385</v>
      </c>
      <c r="Q36" s="1536">
        <f t="shared" si="8"/>
        <v>111</v>
      </c>
      <c r="R36" s="714" t="s">
        <v>17</v>
      </c>
      <c r="S36" s="715">
        <f t="shared" si="10"/>
        <v>100</v>
      </c>
      <c r="T36" s="714" t="s">
        <v>17</v>
      </c>
      <c r="U36" s="715">
        <f t="shared" si="11"/>
        <v>100</v>
      </c>
      <c r="V36" s="714" t="s">
        <v>17</v>
      </c>
      <c r="W36" s="715">
        <f t="shared" si="12"/>
        <v>100</v>
      </c>
      <c r="X36" s="1539"/>
      <c r="Y36" s="3556"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556"/>
      <c r="Q37" s="1536">
        <f t="shared" si="8"/>
        <v>111</v>
      </c>
      <c r="R37" s="717" t="s">
        <v>17</v>
      </c>
      <c r="S37" s="718">
        <f t="shared" si="10"/>
        <v>100</v>
      </c>
      <c r="T37" s="717" t="s">
        <v>17</v>
      </c>
      <c r="U37" s="718">
        <f t="shared" si="11"/>
        <v>100</v>
      </c>
      <c r="V37" s="717" t="s">
        <v>17</v>
      </c>
      <c r="W37" s="718">
        <f t="shared" si="12"/>
        <v>100</v>
      </c>
      <c r="X37" s="719"/>
      <c r="Y37" s="3556"/>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556"/>
      <c r="Q38" s="1536" t="str">
        <f>B38</f>
        <v>宗地面积</v>
      </c>
      <c r="R38" s="714" t="s">
        <v>17</v>
      </c>
      <c r="S38" s="715" t="e">
        <f t="shared" si="10"/>
        <v>#N/A</v>
      </c>
      <c r="T38" s="714" t="s">
        <v>17</v>
      </c>
      <c r="U38" s="715" t="e">
        <f t="shared" si="11"/>
        <v>#N/A</v>
      </c>
      <c r="V38" s="714" t="s">
        <v>17</v>
      </c>
      <c r="W38" s="715" t="e">
        <f t="shared" si="12"/>
        <v>#N/A</v>
      </c>
      <c r="X38" s="1539"/>
      <c r="Y38" s="3556"/>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9"/>
      <c r="M39" s="2933"/>
      <c r="N39" s="2933"/>
      <c r="O39" s="2991"/>
      <c r="P39" s="3556"/>
      <c r="Q39" s="1536" t="str">
        <f t="shared" ref="Q39:Q45" si="14">B39</f>
        <v>宗地形状</v>
      </c>
      <c r="R39" s="714" t="s">
        <v>17</v>
      </c>
      <c r="S39" s="715">
        <f t="shared" si="10"/>
        <v>100</v>
      </c>
      <c r="T39" s="714" t="s">
        <v>17</v>
      </c>
      <c r="U39" s="715">
        <f t="shared" si="11"/>
        <v>100</v>
      </c>
      <c r="V39" s="714" t="s">
        <v>17</v>
      </c>
      <c r="W39" s="715">
        <f t="shared" si="12"/>
        <v>100</v>
      </c>
      <c r="X39" s="1539"/>
      <c r="Y39" s="3556"/>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9"/>
      <c r="M40" s="2933"/>
      <c r="N40" s="2933"/>
      <c r="O40" s="2991"/>
      <c r="P40" s="3556"/>
      <c r="Q40" s="1536" t="str">
        <f t="shared" si="14"/>
        <v>临街宽度及深度</v>
      </c>
      <c r="R40" s="714" t="s">
        <v>17</v>
      </c>
      <c r="S40" s="715">
        <f t="shared" si="10"/>
        <v>100</v>
      </c>
      <c r="T40" s="714" t="s">
        <v>17</v>
      </c>
      <c r="U40" s="715">
        <f t="shared" si="11"/>
        <v>100</v>
      </c>
      <c r="V40" s="714" t="s">
        <v>17</v>
      </c>
      <c r="W40" s="715">
        <f t="shared" si="12"/>
        <v>100</v>
      </c>
      <c r="X40" s="1539"/>
      <c r="Y40" s="3556"/>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4"/>
      <c r="M41" s="2935"/>
      <c r="N41" s="2935"/>
      <c r="O41" s="2989"/>
      <c r="P41" s="3556"/>
      <c r="Q41" s="1536" t="str">
        <f t="shared" si="14"/>
        <v>宗地开发程度</v>
      </c>
      <c r="R41" s="710" t="s">
        <v>17</v>
      </c>
      <c r="S41" s="711">
        <f t="shared" si="10"/>
        <v>100</v>
      </c>
      <c r="T41" s="710" t="s">
        <v>17</v>
      </c>
      <c r="U41" s="711">
        <f t="shared" si="11"/>
        <v>100</v>
      </c>
      <c r="V41" s="710" t="s">
        <v>17</v>
      </c>
      <c r="W41" s="711">
        <f t="shared" si="12"/>
        <v>100</v>
      </c>
      <c r="X41" s="712"/>
      <c r="Y41" s="3556"/>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9"/>
      <c r="M42" s="2933"/>
      <c r="N42" s="2933"/>
      <c r="O42" s="2991"/>
      <c r="P42" s="3556" t="s">
        <v>2385</v>
      </c>
      <c r="Q42" s="1536" t="str">
        <f t="shared" si="14"/>
        <v>工程地质条件</v>
      </c>
      <c r="R42" s="714" t="s">
        <v>17</v>
      </c>
      <c r="S42" s="715">
        <f t="shared" si="10"/>
        <v>100</v>
      </c>
      <c r="T42" s="714" t="s">
        <v>17</v>
      </c>
      <c r="U42" s="715">
        <f t="shared" si="11"/>
        <v>100</v>
      </c>
      <c r="V42" s="714" t="s">
        <v>17</v>
      </c>
      <c r="W42" s="715">
        <f t="shared" si="12"/>
        <v>100</v>
      </c>
      <c r="X42" s="1539"/>
      <c r="Y42" s="3556"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556"/>
      <c r="Q43" s="1536">
        <f t="shared" si="14"/>
        <v>111</v>
      </c>
      <c r="R43" s="714" t="s">
        <v>17</v>
      </c>
      <c r="S43" s="715">
        <f t="shared" si="10"/>
        <v>100</v>
      </c>
      <c r="T43" s="714" t="s">
        <v>17</v>
      </c>
      <c r="U43" s="715">
        <f t="shared" si="11"/>
        <v>100</v>
      </c>
      <c r="V43" s="714" t="s">
        <v>17</v>
      </c>
      <c r="W43" s="715">
        <f t="shared" si="12"/>
        <v>100</v>
      </c>
      <c r="X43" s="1539"/>
      <c r="Y43" s="355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556"/>
      <c r="Q44" s="1536">
        <f t="shared" si="14"/>
        <v>111</v>
      </c>
      <c r="R44" s="714" t="s">
        <v>17</v>
      </c>
      <c r="S44" s="715">
        <f t="shared" si="10"/>
        <v>100</v>
      </c>
      <c r="T44" s="714" t="s">
        <v>17</v>
      </c>
      <c r="U44" s="715">
        <f t="shared" si="11"/>
        <v>100</v>
      </c>
      <c r="V44" s="714" t="s">
        <v>17</v>
      </c>
      <c r="W44" s="715">
        <f t="shared" si="12"/>
        <v>100</v>
      </c>
      <c r="X44" s="1539"/>
      <c r="Y44" s="3556"/>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556"/>
      <c r="Q45" s="1536">
        <f t="shared" si="14"/>
        <v>111</v>
      </c>
      <c r="R45" s="717" t="s">
        <v>17</v>
      </c>
      <c r="S45" s="718">
        <f t="shared" si="10"/>
        <v>100</v>
      </c>
      <c r="T45" s="717" t="s">
        <v>17</v>
      </c>
      <c r="U45" s="718">
        <f t="shared" si="11"/>
        <v>100</v>
      </c>
      <c r="V45" s="717" t="s">
        <v>17</v>
      </c>
      <c r="W45" s="718">
        <f t="shared" si="12"/>
        <v>100</v>
      </c>
      <c r="X45" s="719"/>
      <c r="Y45" s="3556"/>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1"/>
      <c r="M46" s="2942"/>
      <c r="N46" s="2933"/>
      <c r="O46" s="2942"/>
      <c r="P46" s="3558" t="str">
        <f>A46</f>
        <v>成交单价</v>
      </c>
      <c r="Q46" s="3558"/>
      <c r="R46" s="3544">
        <f>E46</f>
        <v>0</v>
      </c>
      <c r="S46" s="3544"/>
      <c r="T46" s="3544">
        <f>G46</f>
        <v>0</v>
      </c>
      <c r="U46" s="3544"/>
      <c r="V46" s="3544">
        <f>I46</f>
        <v>0</v>
      </c>
      <c r="W46" s="3544"/>
      <c r="X46" s="699"/>
      <c r="Y46" s="721"/>
      <c r="Z46" s="699"/>
      <c r="AA46" s="699"/>
      <c r="AB46" s="699"/>
      <c r="AC46" s="699"/>
    </row>
    <row r="47" spans="1:29" ht="15.75" thickBot="1">
      <c r="A47" s="445" t="s">
        <v>2489</v>
      </c>
      <c r="B47" s="639"/>
      <c r="C47" s="448" t="e">
        <f>R48</f>
        <v>#DIV/0!</v>
      </c>
      <c r="D47" s="2528" t="s">
        <v>2878</v>
      </c>
      <c r="E47" s="448" t="e">
        <f>R47</f>
        <v>#DIV/0!</v>
      </c>
      <c r="F47" s="2529"/>
      <c r="G47" s="447" t="e">
        <f>T47</f>
        <v>#DIV/0!</v>
      </c>
      <c r="H47" s="2529"/>
      <c r="I47" s="448" t="e">
        <f>V47</f>
        <v>#DIV/0!</v>
      </c>
      <c r="J47" s="2529"/>
      <c r="K47" s="2531">
        <f>F47+H47+J47</f>
        <v>0</v>
      </c>
      <c r="L47" s="2941"/>
      <c r="M47" s="2942"/>
      <c r="N47" s="2942"/>
      <c r="O47" s="2942"/>
      <c r="P47" s="3558" t="str">
        <f>A47</f>
        <v>比较价值（元/平方米）</v>
      </c>
      <c r="Q47" s="3558"/>
      <c r="R47" s="3615" t="e">
        <f>ROUND(PRODUCT(R46,AA7:AA45),0)</f>
        <v>#DIV/0!</v>
      </c>
      <c r="S47" s="3615"/>
      <c r="T47" s="3615" t="e">
        <f>ROUND(PRODUCT(T46,AB7:AB45),0)</f>
        <v>#DIV/0!</v>
      </c>
      <c r="U47" s="3615"/>
      <c r="V47" s="3615" t="e">
        <f>ROUND(PRODUCT(V46,AC7:AC45),0)</f>
        <v>#DIV/0!</v>
      </c>
      <c r="W47" s="3615"/>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560" t="str">
        <f>A48</f>
        <v>估价对象XX用房的比较价值（楼面单价，元/平方米）</v>
      </c>
      <c r="Q48" s="3561"/>
      <c r="R48" s="3616" t="e">
        <f>ROUND(IF(D47="简单平均",AVERAGE(R47:W47),R47*F47+T47*H47+V47*J47),0)</f>
        <v>#DIV/0!</v>
      </c>
      <c r="S48" s="3616"/>
      <c r="T48" s="3616"/>
      <c r="U48" s="3616"/>
      <c r="V48" s="3616"/>
      <c r="W48" s="3616"/>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8" t="s">
        <v>2580</v>
      </c>
      <c r="D55" s="2169" t="s">
        <v>2581</v>
      </c>
      <c r="E55" s="642" t="s">
        <v>2582</v>
      </c>
      <c r="F55" s="1021" t="s">
        <v>2583</v>
      </c>
      <c r="G55" s="3520" t="s">
        <v>2584</v>
      </c>
      <c r="H55" s="3617"/>
      <c r="I55" s="140" t="s">
        <v>2585</v>
      </c>
      <c r="J55" s="2170">
        <f>项目基本情况!F35</f>
        <v>0</v>
      </c>
      <c r="K55" s="2171"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241.88</v>
      </c>
      <c r="F56" s="1017" t="e">
        <f t="shared" ref="F56:F65" si="15">ROUND(B56*E56/10000,0)</f>
        <v>#DIV/0!</v>
      </c>
      <c r="G56" s="3548"/>
      <c r="H56" s="3558"/>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0.7</v>
      </c>
      <c r="D57" s="1076">
        <v>0.25</v>
      </c>
      <c r="E57" s="650"/>
      <c r="F57" s="1017" t="e">
        <f t="shared" si="15"/>
        <v>#DIV/0!</v>
      </c>
      <c r="G57" s="3618" t="s">
        <v>2589</v>
      </c>
      <c r="H57" s="1018" t="str">
        <f>项目基本情况!B37</f>
        <v>三级</v>
      </c>
      <c r="I57" s="1022">
        <f>SUMIF(修正!A45:A56,H57,修正!B45:B56)</f>
        <v>0.7</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0.4</v>
      </c>
      <c r="D58" s="1076">
        <v>0.25</v>
      </c>
      <c r="E58" s="650"/>
      <c r="F58" s="1017" t="e">
        <f t="shared" si="15"/>
        <v>#DIV/0!</v>
      </c>
      <c r="G58" s="3618"/>
      <c r="H58" s="1018" t="str">
        <f>项目基本情况!B37</f>
        <v>三级</v>
      </c>
      <c r="I58" s="1022">
        <f>SUMIF(修正!A45:A56,H58,修正!C45:C56)</f>
        <v>0.4</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0.28000000000000003</v>
      </c>
      <c r="D59" s="1076">
        <v>0.25</v>
      </c>
      <c r="E59" s="650"/>
      <c r="F59" s="1017" t="e">
        <f t="shared" si="15"/>
        <v>#DIV/0!</v>
      </c>
      <c r="G59" s="3618"/>
      <c r="H59" s="1018" t="str">
        <f>项目基本情况!B37</f>
        <v>三级</v>
      </c>
      <c r="I59" s="1022">
        <f>SUMIF(修正!A45:A56,H59,修正!D45:D56)</f>
        <v>0.28000000000000003</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0.25</v>
      </c>
      <c r="D60" s="1076">
        <v>0.25</v>
      </c>
      <c r="E60" s="650"/>
      <c r="F60" s="1017" t="e">
        <f t="shared" si="15"/>
        <v>#DIV/0!</v>
      </c>
      <c r="G60" s="3618"/>
      <c r="H60" s="1018" t="str">
        <f>项目基本情况!B37</f>
        <v>三级</v>
      </c>
      <c r="I60" s="1022">
        <f>SUMIF(修正!A45:A56,H60,修正!E45:E56)</f>
        <v>0.25</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三级</v>
      </c>
      <c r="I61" s="1022">
        <f>SUMIF(修正!A45:A56,H61,修正!F45:F56)</f>
        <v>0.25</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0.25</v>
      </c>
      <c r="D62" s="1076">
        <v>0.25</v>
      </c>
      <c r="E62" s="223">
        <f>'数据-汇总表'!E12</f>
        <v>131.88</v>
      </c>
      <c r="F62" s="1017" t="e">
        <f t="shared" si="15"/>
        <v>#DIV/0!</v>
      </c>
      <c r="G62" s="1023" t="s">
        <v>2596</v>
      </c>
      <c r="H62" s="1018" t="str">
        <f>IF(G62="商业",项目基本情况!B37,IF(G62="办公",项目基本情况!C37,IF(G62="住宅",项目基本情况!D37,项目基本情况!E37)))</f>
        <v>三级</v>
      </c>
      <c r="I62" s="1022">
        <f>SUMIF(修正!A45:A56,H62,修正!G45:G56)</f>
        <v>0.25</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0.2</v>
      </c>
      <c r="D63" s="1076">
        <v>0.25</v>
      </c>
      <c r="E63" s="223">
        <f>'数据-汇总表'!E13</f>
        <v>0</v>
      </c>
      <c r="F63" s="1017" t="e">
        <f t="shared" si="15"/>
        <v>#DIV/0!</v>
      </c>
      <c r="G63" s="1023" t="s">
        <v>2598</v>
      </c>
      <c r="H63" s="1018" t="str">
        <f>IF(G63="商业",项目基本情况!B37,IF(G63="办公",项目基本情况!C37,IF(G63="住宅",项目基本情况!D37,项目基本情况!E37)))</f>
        <v>三级</v>
      </c>
      <c r="I63" s="1022">
        <f>SUMIF(修正!A45:A56,H63,修正!H45:H56)</f>
        <v>0.2</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0.2</v>
      </c>
      <c r="D64" s="1076">
        <v>0.25</v>
      </c>
      <c r="E64" s="223">
        <f>'数据-汇总表'!E14</f>
        <v>0</v>
      </c>
      <c r="F64" s="1017" t="e">
        <f t="shared" si="15"/>
        <v>#DIV/0!</v>
      </c>
      <c r="G64" s="2172" t="s">
        <v>2589</v>
      </c>
      <c r="H64" s="1018" t="str">
        <f>项目基本情况!B37</f>
        <v>三级</v>
      </c>
      <c r="I64" s="1022">
        <f>SUMIF(修正!A45:A56,H64,修正!H45:H56)</f>
        <v>0.2</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三级</v>
      </c>
      <c r="I65" s="1024">
        <f>SUMIF(修正!A45:A56,H65,修正!H45:H56)</f>
        <v>0.2</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373.76</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4" t="s">
        <v>2602</v>
      </c>
      <c r="B70" s="1269"/>
      <c r="C70" s="1344" t="str">
        <f>YEAR(C68)&amp;"-"&amp;ROUNDUP(MONTH(C68)/3,0)</f>
        <v>2022-3</v>
      </c>
      <c r="D70" s="1344" t="str">
        <f>YEAR(D68)&amp;"-"&amp;ROUNDUP(MONTH(D68)/3,0)</f>
        <v>2022-2</v>
      </c>
      <c r="E70" s="1344" t="str">
        <f t="shared" ref="E70:O70" si="19">YEAR(E68)&amp;"-"&amp;ROUNDUP(MONTH(E68)/3,0)</f>
        <v>2022-1</v>
      </c>
      <c r="F70" s="1344" t="str">
        <f t="shared" si="19"/>
        <v>2021-4</v>
      </c>
      <c r="G70" s="1344" t="str">
        <f t="shared" si="19"/>
        <v>2021-3</v>
      </c>
      <c r="H70" s="1344" t="str">
        <f t="shared" si="19"/>
        <v>2021-2</v>
      </c>
      <c r="I70" s="1344" t="str">
        <f t="shared" si="19"/>
        <v>2021-1</v>
      </c>
      <c r="J70" s="1344" t="str">
        <f t="shared" si="19"/>
        <v>2020-4</v>
      </c>
      <c r="K70" s="1344" t="str">
        <f t="shared" si="19"/>
        <v>2020-3</v>
      </c>
      <c r="L70" s="1344" t="str">
        <f t="shared" si="19"/>
        <v>2020-2</v>
      </c>
      <c r="M70" s="1344" t="str">
        <f t="shared" si="19"/>
        <v>2020-1</v>
      </c>
      <c r="N70" s="1344" t="str">
        <f t="shared" si="19"/>
        <v>2019-4</v>
      </c>
      <c r="O70" s="1344" t="str">
        <f t="shared" si="19"/>
        <v>2019-3</v>
      </c>
      <c r="P70" s="2993"/>
      <c r="Q70" s="2958"/>
      <c r="R70" s="2958"/>
      <c r="S70" s="2958"/>
      <c r="T70" s="2958"/>
      <c r="U70" s="2958"/>
      <c r="V70" s="2958"/>
      <c r="W70" s="2958"/>
      <c r="X70" s="2958"/>
      <c r="Y70" s="2958"/>
      <c r="Z70" s="2958"/>
      <c r="AA70" s="2958"/>
      <c r="AB70" s="2958"/>
      <c r="AC70" s="2958"/>
    </row>
    <row r="71" spans="1:29" s="113" customFormat="1" ht="30" customHeight="1">
      <c r="A71" s="2175" t="s">
        <v>2603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2" xr:uid="{00000000-0002-0000-2500-000013000000}">
      <formula1>"商业,办公,住宅,工业"</formula1>
    </dataValidation>
    <dataValidation type="list" allowBlank="1" showInputMessage="1" showErrorMessage="1" sqref="G63" xr:uid="{00000000-0002-0000-2500-000014000000}">
      <formula1>"住宅,工业"</formula1>
    </dataValidation>
    <dataValidation type="list" allowBlank="1" showInputMessage="1" showErrorMessage="1" sqref="D57:D65" xr:uid="{00000000-0002-0000-2500-000015000000}">
      <formula1>"25%,1"</formula1>
    </dataValidation>
    <dataValidation type="list" allowBlank="1" showInputMessage="1" showErrorMessage="1" sqref="C30 E30 G30 I30" xr:uid="{00000000-0002-0000-2500-000016000000}">
      <formula1>基础设施水平</formula1>
    </dataValidation>
    <dataValidation type="list" allowBlank="1" showInputMessage="1" showErrorMessage="1" sqref="A71" xr:uid="{00000000-0002-0000-2500-000017000000}">
      <formula1>"综合,商业,办公,住宅"</formula1>
    </dataValidation>
    <dataValidation type="list" allowBlank="1" showInputMessage="1" showErrorMessage="1" sqref="D47" xr:uid="{00000000-0002-0000-2500-000018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20" t="s">
        <v>2466</v>
      </c>
      <c r="D4" s="3521"/>
      <c r="E4" s="3522" t="s">
        <v>2467</v>
      </c>
      <c r="F4" s="3523"/>
      <c r="G4" s="3520" t="s">
        <v>2468</v>
      </c>
      <c r="H4" s="3521"/>
      <c r="I4" s="3520" t="s">
        <v>2469</v>
      </c>
      <c r="J4" s="3521"/>
      <c r="K4" s="567" t="s">
        <v>2470</v>
      </c>
      <c r="L4" s="2932"/>
      <c r="M4" s="2933"/>
      <c r="N4" s="2933"/>
      <c r="O4" s="2933"/>
      <c r="P4" s="3524" t="s">
        <v>2471</v>
      </c>
      <c r="Q4" s="3525"/>
      <c r="R4" s="3530" t="s">
        <v>2467</v>
      </c>
      <c r="S4" s="3531"/>
      <c r="T4" s="3530" t="s">
        <v>2468</v>
      </c>
      <c r="U4" s="3531"/>
      <c r="V4" s="3544" t="s">
        <v>2469</v>
      </c>
      <c r="W4" s="3544"/>
      <c r="X4" s="1539"/>
      <c r="Y4" s="3530" t="s">
        <v>2471</v>
      </c>
      <c r="Z4" s="3531"/>
      <c r="AA4" s="3517" t="s">
        <v>2467</v>
      </c>
      <c r="AB4" s="3518" t="s">
        <v>2468</v>
      </c>
      <c r="AC4" s="3517" t="s">
        <v>2469</v>
      </c>
    </row>
    <row r="5" spans="1:29" ht="15">
      <c r="A5" s="364"/>
      <c r="B5" s="365"/>
      <c r="C5" s="3592" t="s">
        <v>2362</v>
      </c>
      <c r="D5" s="3535"/>
      <c r="E5" s="3591" t="s">
        <v>2363</v>
      </c>
      <c r="F5" s="3537"/>
      <c r="G5" s="3592" t="s">
        <v>2364</v>
      </c>
      <c r="H5" s="3535"/>
      <c r="I5" s="3592" t="s">
        <v>2365</v>
      </c>
      <c r="J5" s="3535"/>
      <c r="K5" s="567"/>
      <c r="L5" s="2932"/>
      <c r="M5" s="2933"/>
      <c r="N5" s="2933"/>
      <c r="O5" s="2933"/>
      <c r="P5" s="3526"/>
      <c r="Q5" s="3527"/>
      <c r="R5" s="3532"/>
      <c r="S5" s="3533"/>
      <c r="T5" s="3532"/>
      <c r="U5" s="3533"/>
      <c r="V5" s="3544"/>
      <c r="W5" s="3544"/>
      <c r="X5" s="1539"/>
      <c r="Y5" s="3532"/>
      <c r="Z5" s="3533"/>
      <c r="AA5" s="3518"/>
      <c r="AB5" s="3518"/>
      <c r="AC5" s="3518"/>
    </row>
    <row r="6" spans="1:29" ht="15.75" thickBot="1">
      <c r="A6" s="366"/>
      <c r="B6" s="367"/>
      <c r="C6" s="3619" t="s">
        <v>2617</v>
      </c>
      <c r="D6" s="3620"/>
      <c r="E6" s="3621" t="s">
        <v>2617</v>
      </c>
      <c r="F6" s="3622"/>
      <c r="G6" s="3619" t="s">
        <v>2617</v>
      </c>
      <c r="H6" s="3620"/>
      <c r="I6" s="3619" t="s">
        <v>2617</v>
      </c>
      <c r="J6" s="3620"/>
      <c r="K6" s="567" t="s">
        <v>2367</v>
      </c>
      <c r="L6" s="2932"/>
      <c r="M6" s="2933"/>
      <c r="N6" s="2933"/>
      <c r="O6" s="2933"/>
      <c r="P6" s="3528"/>
      <c r="Q6" s="3529"/>
      <c r="R6" s="3532"/>
      <c r="S6" s="3533"/>
      <c r="T6" s="3542"/>
      <c r="U6" s="3543"/>
      <c r="V6" s="3544"/>
      <c r="W6" s="3544"/>
      <c r="X6" s="1539"/>
      <c r="Y6" s="3542"/>
      <c r="Z6" s="3543"/>
      <c r="AA6" s="3519"/>
      <c r="AB6" s="3519"/>
      <c r="AC6" s="3519"/>
    </row>
    <row r="7" spans="1:29" s="113" customFormat="1" ht="15.75" thickBot="1">
      <c r="A7" s="368" t="s">
        <v>2368</v>
      </c>
      <c r="B7" s="369"/>
      <c r="C7" s="370">
        <f>'数据-取费表'!B2</f>
        <v>44775</v>
      </c>
      <c r="D7" s="371">
        <v>100</v>
      </c>
      <c r="E7" s="372"/>
      <c r="F7" s="373">
        <f>SUMIF(65:65,YEAR(E7)&amp;"-"&amp;INT((MONTH(E7)+2)/3),66:66)</f>
        <v>0</v>
      </c>
      <c r="G7" s="2159"/>
      <c r="H7" s="371">
        <f>SUMIF(65:65,YEAR(G7)&amp;"-"&amp;INT((MONTH(G7)+2)/3),66:66)</f>
        <v>0</v>
      </c>
      <c r="I7" s="2159"/>
      <c r="J7" s="371">
        <f>SUMIF(65:65,YEAR(I7)&amp;"-"&amp;INT((MONTH(I7)+2)/3),66:66)</f>
        <v>0</v>
      </c>
      <c r="K7" s="568"/>
      <c r="L7" s="2934"/>
      <c r="M7" s="2935"/>
      <c r="N7" s="2935"/>
      <c r="O7" s="2935"/>
      <c r="P7" s="3545" t="s">
        <v>2369</v>
      </c>
      <c r="Q7" s="3546"/>
      <c r="R7" s="710" t="s">
        <v>17</v>
      </c>
      <c r="S7" s="711">
        <f t="shared" ref="S7:S15" si="0">F7</f>
        <v>0</v>
      </c>
      <c r="T7" s="710" t="s">
        <v>17</v>
      </c>
      <c r="U7" s="711">
        <f t="shared" ref="U7:U15" si="1">H7</f>
        <v>0</v>
      </c>
      <c r="V7" s="710" t="s">
        <v>17</v>
      </c>
      <c r="W7" s="711">
        <f t="shared" ref="W7:W15" si="2">J7</f>
        <v>0</v>
      </c>
      <c r="X7" s="712"/>
      <c r="Y7" s="3545" t="s">
        <v>2369</v>
      </c>
      <c r="Z7" s="354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545" t="s">
        <v>2372</v>
      </c>
      <c r="Q8" s="3547"/>
      <c r="R8" s="710" t="s">
        <v>17</v>
      </c>
      <c r="S8" s="711">
        <f t="shared" si="0"/>
        <v>0</v>
      </c>
      <c r="T8" s="710" t="s">
        <v>17</v>
      </c>
      <c r="U8" s="711">
        <f t="shared" si="1"/>
        <v>0</v>
      </c>
      <c r="V8" s="710" t="s">
        <v>17</v>
      </c>
      <c r="W8" s="711">
        <f t="shared" si="2"/>
        <v>0</v>
      </c>
      <c r="X8" s="712"/>
      <c r="Y8" s="3545" t="s">
        <v>2372</v>
      </c>
      <c r="Z8" s="3547"/>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4"/>
      <c r="M9" s="2935"/>
      <c r="N9" s="2935"/>
      <c r="O9" s="2989"/>
      <c r="P9" s="3558" t="s">
        <v>2375</v>
      </c>
      <c r="Q9" s="1527" t="str">
        <f t="shared" ref="Q9:Q15" si="6">B9</f>
        <v>用途</v>
      </c>
      <c r="R9" s="710" t="s">
        <v>17</v>
      </c>
      <c r="S9" s="711">
        <f t="shared" si="0"/>
        <v>100</v>
      </c>
      <c r="T9" s="710" t="s">
        <v>17</v>
      </c>
      <c r="U9" s="711">
        <f t="shared" si="1"/>
        <v>100</v>
      </c>
      <c r="V9" s="710" t="s">
        <v>17</v>
      </c>
      <c r="W9" s="711">
        <f t="shared" si="2"/>
        <v>100</v>
      </c>
      <c r="X9" s="712"/>
      <c r="Y9" s="3427"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118</v>
      </c>
      <c r="G10" s="391"/>
      <c r="H10" s="132">
        <f>ROUND(100/'数据-取费表'!G16,0)</f>
        <v>118</v>
      </c>
      <c r="I10" s="391"/>
      <c r="J10" s="132">
        <f>ROUND(100/'数据-取费表'!G16,0)</f>
        <v>118</v>
      </c>
      <c r="K10" s="628"/>
      <c r="L10" s="2936"/>
      <c r="M10" s="2937"/>
      <c r="N10" s="2937"/>
      <c r="O10" s="2990"/>
      <c r="P10" s="3558"/>
      <c r="Q10" s="1527" t="str">
        <f t="shared" si="6"/>
        <v>土地使用年限（年）</v>
      </c>
      <c r="R10" s="710" t="s">
        <v>17</v>
      </c>
      <c r="S10" s="711">
        <f t="shared" si="0"/>
        <v>118</v>
      </c>
      <c r="T10" s="710" t="s">
        <v>17</v>
      </c>
      <c r="U10" s="711">
        <f t="shared" si="1"/>
        <v>118</v>
      </c>
      <c r="V10" s="710" t="s">
        <v>17</v>
      </c>
      <c r="W10" s="711">
        <f t="shared" si="2"/>
        <v>118</v>
      </c>
      <c r="X10" s="712"/>
      <c r="Y10" s="3427"/>
      <c r="Z10" s="55" t="str">
        <f t="shared" si="7"/>
        <v>土地使用年限（年）</v>
      </c>
      <c r="AA10" s="713">
        <f t="shared" si="3"/>
        <v>0.84745762711864403</v>
      </c>
      <c r="AB10" s="713">
        <f t="shared" si="4"/>
        <v>0.84745762711864403</v>
      </c>
      <c r="AC10" s="713">
        <f t="shared" si="5"/>
        <v>0.84745762711864403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558"/>
      <c r="Q11" s="1527" t="str">
        <f t="shared" si="6"/>
        <v>容积率</v>
      </c>
      <c r="R11" s="710" t="s">
        <v>17</v>
      </c>
      <c r="S11" s="711" t="e">
        <f t="shared" si="0"/>
        <v>#N/A</v>
      </c>
      <c r="T11" s="710" t="s">
        <v>17</v>
      </c>
      <c r="U11" s="711" t="e">
        <f t="shared" si="1"/>
        <v>#N/A</v>
      </c>
      <c r="V11" s="710" t="s">
        <v>17</v>
      </c>
      <c r="W11" s="711" t="e">
        <f t="shared" si="2"/>
        <v>#N/A</v>
      </c>
      <c r="X11" s="712"/>
      <c r="Y11" s="3427"/>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558"/>
      <c r="Q12" s="1527">
        <f t="shared" si="6"/>
        <v>111</v>
      </c>
      <c r="R12" s="710" t="s">
        <v>17</v>
      </c>
      <c r="S12" s="711">
        <f t="shared" si="0"/>
        <v>100</v>
      </c>
      <c r="T12" s="710" t="s">
        <v>17</v>
      </c>
      <c r="U12" s="711">
        <f t="shared" si="1"/>
        <v>100</v>
      </c>
      <c r="V12" s="710" t="s">
        <v>17</v>
      </c>
      <c r="W12" s="711">
        <f t="shared" si="2"/>
        <v>100</v>
      </c>
      <c r="X12" s="712"/>
      <c r="Y12" s="3427"/>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558"/>
      <c r="Q13" s="1527">
        <f t="shared" si="6"/>
        <v>111</v>
      </c>
      <c r="R13" s="710" t="s">
        <v>17</v>
      </c>
      <c r="S13" s="711">
        <f t="shared" si="0"/>
        <v>100</v>
      </c>
      <c r="T13" s="710" t="s">
        <v>17</v>
      </c>
      <c r="U13" s="711">
        <f t="shared" si="1"/>
        <v>100</v>
      </c>
      <c r="V13" s="710" t="s">
        <v>17</v>
      </c>
      <c r="W13" s="711">
        <f t="shared" si="2"/>
        <v>100</v>
      </c>
      <c r="X13" s="712"/>
      <c r="Y13" s="3427"/>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558"/>
      <c r="Q14" s="1527">
        <f t="shared" si="6"/>
        <v>111</v>
      </c>
      <c r="R14" s="710" t="s">
        <v>17</v>
      </c>
      <c r="S14" s="711">
        <f t="shared" si="0"/>
        <v>100</v>
      </c>
      <c r="T14" s="710" t="s">
        <v>17</v>
      </c>
      <c r="U14" s="711">
        <f t="shared" si="1"/>
        <v>100</v>
      </c>
      <c r="V14" s="710" t="s">
        <v>17</v>
      </c>
      <c r="W14" s="711">
        <f t="shared" si="2"/>
        <v>100</v>
      </c>
      <c r="X14" s="712"/>
      <c r="Y14" s="3427"/>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551" t="s">
        <v>2380</v>
      </c>
      <c r="Q15" s="1536" t="str">
        <f t="shared" si="6"/>
        <v>产业集聚程度</v>
      </c>
      <c r="R15" s="714" t="s">
        <v>17</v>
      </c>
      <c r="S15" s="715">
        <f t="shared" si="0"/>
        <v>100</v>
      </c>
      <c r="T15" s="714" t="s">
        <v>17</v>
      </c>
      <c r="U15" s="715">
        <f t="shared" si="1"/>
        <v>100</v>
      </c>
      <c r="V15" s="714" t="s">
        <v>17</v>
      </c>
      <c r="W15" s="715">
        <f t="shared" si="2"/>
        <v>100</v>
      </c>
      <c r="X15" s="1539"/>
      <c r="Y15" s="3551"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9"/>
      <c r="M16" s="2933"/>
      <c r="N16" s="2933"/>
      <c r="O16" s="2991"/>
      <c r="P16" s="3552"/>
      <c r="Q16" s="1536"/>
      <c r="R16" s="714"/>
      <c r="S16" s="715"/>
      <c r="T16" s="714"/>
      <c r="U16" s="715"/>
      <c r="V16" s="714"/>
      <c r="W16" s="715"/>
      <c r="X16" s="1539"/>
      <c r="Y16" s="3552"/>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552"/>
      <c r="Q17" s="1536" t="str">
        <f>B17</f>
        <v>交通便捷度</v>
      </c>
      <c r="R17" s="714" t="s">
        <v>17</v>
      </c>
      <c r="S17" s="715">
        <f>F17</f>
        <v>100</v>
      </c>
      <c r="T17" s="714" t="s">
        <v>17</v>
      </c>
      <c r="U17" s="715">
        <f>H17</f>
        <v>100</v>
      </c>
      <c r="V17" s="714" t="s">
        <v>17</v>
      </c>
      <c r="W17" s="715">
        <f>J17</f>
        <v>100</v>
      </c>
      <c r="X17" s="1539"/>
      <c r="Y17" s="3552"/>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9"/>
      <c r="M18" s="2933"/>
      <c r="N18" s="2933"/>
      <c r="O18" s="2991"/>
      <c r="P18" s="3552"/>
      <c r="Q18" s="1536"/>
      <c r="R18" s="714"/>
      <c r="S18" s="715"/>
      <c r="T18" s="714"/>
      <c r="U18" s="715"/>
      <c r="V18" s="714"/>
      <c r="W18" s="715"/>
      <c r="X18" s="1539"/>
      <c r="Y18" s="3552"/>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552"/>
      <c r="Q19" s="1536" t="str">
        <f t="shared" ref="Q19:Q33" si="8">B19</f>
        <v>区域土地利用方向</v>
      </c>
      <c r="R19" s="714" t="s">
        <v>17</v>
      </c>
      <c r="S19" s="715">
        <f>F19</f>
        <v>100</v>
      </c>
      <c r="T19" s="714" t="s">
        <v>17</v>
      </c>
      <c r="U19" s="715">
        <f>H19</f>
        <v>100</v>
      </c>
      <c r="V19" s="714" t="s">
        <v>17</v>
      </c>
      <c r="W19" s="715">
        <f>J19</f>
        <v>100</v>
      </c>
      <c r="X19" s="1539"/>
      <c r="Y19" s="3552"/>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9"/>
      <c r="M20" s="2933"/>
      <c r="N20" s="2933"/>
      <c r="O20" s="2991"/>
      <c r="P20" s="3552"/>
      <c r="Q20" s="1536"/>
      <c r="R20" s="714"/>
      <c r="S20" s="715"/>
      <c r="T20" s="714"/>
      <c r="U20" s="715"/>
      <c r="V20" s="714"/>
      <c r="W20" s="715"/>
      <c r="X20" s="1539"/>
      <c r="Y20" s="3552"/>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552"/>
      <c r="Q21" s="1536" t="str">
        <f t="shared" si="8"/>
        <v>环境状况</v>
      </c>
      <c r="R21" s="714" t="s">
        <v>17</v>
      </c>
      <c r="S21" s="715">
        <f>F21</f>
        <v>100</v>
      </c>
      <c r="T21" s="714" t="s">
        <v>17</v>
      </c>
      <c r="U21" s="715">
        <f>H21</f>
        <v>100</v>
      </c>
      <c r="V21" s="714" t="s">
        <v>17</v>
      </c>
      <c r="W21" s="715">
        <f>J21</f>
        <v>100</v>
      </c>
      <c r="X21" s="1539"/>
      <c r="Y21" s="3552"/>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9"/>
      <c r="M22" s="2933"/>
      <c r="N22" s="2933"/>
      <c r="O22" s="2991"/>
      <c r="P22" s="3552"/>
      <c r="Q22" s="1536"/>
      <c r="R22" s="714"/>
      <c r="S22" s="715"/>
      <c r="T22" s="714"/>
      <c r="U22" s="715"/>
      <c r="V22" s="714"/>
      <c r="W22" s="715"/>
      <c r="X22" s="1539"/>
      <c r="Y22" s="3552"/>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552"/>
      <c r="Q23" s="1527" t="str">
        <f t="shared" si="8"/>
        <v>公共配套设施</v>
      </c>
      <c r="R23" s="710" t="s">
        <v>17</v>
      </c>
      <c r="S23" s="711">
        <f>F23</f>
        <v>100</v>
      </c>
      <c r="T23" s="710" t="s">
        <v>17</v>
      </c>
      <c r="U23" s="711">
        <f>H23</f>
        <v>100</v>
      </c>
      <c r="V23" s="710" t="s">
        <v>17</v>
      </c>
      <c r="W23" s="711">
        <f>J23</f>
        <v>100</v>
      </c>
      <c r="X23" s="712"/>
      <c r="Y23" s="3552"/>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4"/>
      <c r="M24" s="2935"/>
      <c r="N24" s="2935"/>
      <c r="O24" s="2989"/>
      <c r="P24" s="3552"/>
      <c r="Q24" s="1527"/>
      <c r="R24" s="710"/>
      <c r="S24" s="711"/>
      <c r="T24" s="710"/>
      <c r="U24" s="711"/>
      <c r="V24" s="710"/>
      <c r="W24" s="711"/>
      <c r="X24" s="712"/>
      <c r="Y24" s="3552"/>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552"/>
      <c r="Q25" s="1527" t="str">
        <f t="shared" ref="Q25" si="9">B25</f>
        <v>基础设施水平</v>
      </c>
      <c r="R25" s="710" t="s">
        <v>17</v>
      </c>
      <c r="S25" s="711">
        <f>F25</f>
        <v>100</v>
      </c>
      <c r="T25" s="710" t="s">
        <v>17</v>
      </c>
      <c r="U25" s="711">
        <f>H25</f>
        <v>100</v>
      </c>
      <c r="V25" s="710" t="s">
        <v>17</v>
      </c>
      <c r="W25" s="711">
        <f>J25</f>
        <v>100</v>
      </c>
      <c r="X25" s="712"/>
      <c r="Y25" s="3552"/>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4"/>
      <c r="M26" s="2935"/>
      <c r="N26" s="2935"/>
      <c r="O26" s="2989"/>
      <c r="P26" s="3552"/>
      <c r="Q26" s="1527"/>
      <c r="R26" s="710"/>
      <c r="S26" s="711"/>
      <c r="T26" s="710"/>
      <c r="U26" s="711"/>
      <c r="V26" s="710"/>
      <c r="W26" s="711"/>
      <c r="X26" s="712"/>
      <c r="Y26" s="3552"/>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55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52"/>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552"/>
      <c r="Q28" s="1536" t="str">
        <f t="shared" si="8"/>
        <v>毗邻道路的类型与等级</v>
      </c>
      <c r="R28" s="714" t="s">
        <v>17</v>
      </c>
      <c r="S28" s="715">
        <f t="shared" si="10"/>
        <v>100</v>
      </c>
      <c r="T28" s="714" t="s">
        <v>17</v>
      </c>
      <c r="U28" s="715">
        <f t="shared" si="11"/>
        <v>100</v>
      </c>
      <c r="V28" s="714" t="s">
        <v>17</v>
      </c>
      <c r="W28" s="715">
        <f t="shared" si="12"/>
        <v>100</v>
      </c>
      <c r="X28" s="1539"/>
      <c r="Y28" s="3552"/>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9"/>
      <c r="M29" s="2933"/>
      <c r="N29" s="2933"/>
      <c r="O29" s="2991"/>
      <c r="P29" s="3552"/>
      <c r="Q29" s="1536"/>
      <c r="R29" s="714"/>
      <c r="S29" s="715"/>
      <c r="T29" s="714"/>
      <c r="U29" s="715"/>
      <c r="V29" s="714"/>
      <c r="W29" s="715"/>
      <c r="X29" s="1539"/>
      <c r="Y29" s="3552"/>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552"/>
      <c r="Q30" s="1536" t="str">
        <f t="shared" si="8"/>
        <v>土地级别</v>
      </c>
      <c r="R30" s="714" t="s">
        <v>17</v>
      </c>
      <c r="S30" s="715">
        <f t="shared" si="10"/>
        <v>100</v>
      </c>
      <c r="T30" s="714" t="s">
        <v>17</v>
      </c>
      <c r="U30" s="715">
        <f t="shared" si="11"/>
        <v>100</v>
      </c>
      <c r="V30" s="714" t="s">
        <v>17</v>
      </c>
      <c r="W30" s="715">
        <f t="shared" si="12"/>
        <v>100</v>
      </c>
      <c r="X30" s="1539"/>
      <c r="Y30" s="3552"/>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552"/>
      <c r="Q31" s="1536">
        <f t="shared" si="8"/>
        <v>111</v>
      </c>
      <c r="R31" s="714" t="s">
        <v>17</v>
      </c>
      <c r="S31" s="715">
        <f t="shared" si="10"/>
        <v>100</v>
      </c>
      <c r="T31" s="714" t="s">
        <v>17</v>
      </c>
      <c r="U31" s="715">
        <f t="shared" si="11"/>
        <v>100</v>
      </c>
      <c r="V31" s="714" t="s">
        <v>17</v>
      </c>
      <c r="W31" s="715">
        <f t="shared" si="12"/>
        <v>100</v>
      </c>
      <c r="X31" s="1539"/>
      <c r="Y31" s="3552"/>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608" t="s">
        <v>2385</v>
      </c>
      <c r="Q32" s="1536">
        <f t="shared" si="8"/>
        <v>111</v>
      </c>
      <c r="R32" s="714" t="s">
        <v>17</v>
      </c>
      <c r="S32" s="715">
        <f t="shared" si="10"/>
        <v>100</v>
      </c>
      <c r="T32" s="714" t="s">
        <v>17</v>
      </c>
      <c r="U32" s="715">
        <f t="shared" si="11"/>
        <v>100</v>
      </c>
      <c r="V32" s="714" t="s">
        <v>17</v>
      </c>
      <c r="W32" s="715">
        <f t="shared" si="12"/>
        <v>100</v>
      </c>
      <c r="X32" s="1539"/>
      <c r="Y32" s="3556"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556"/>
      <c r="Q33" s="1536">
        <f t="shared" si="8"/>
        <v>111</v>
      </c>
      <c r="R33" s="717" t="s">
        <v>17</v>
      </c>
      <c r="S33" s="718">
        <f t="shared" si="10"/>
        <v>100</v>
      </c>
      <c r="T33" s="717" t="s">
        <v>17</v>
      </c>
      <c r="U33" s="718">
        <f t="shared" si="11"/>
        <v>100</v>
      </c>
      <c r="V33" s="717" t="s">
        <v>17</v>
      </c>
      <c r="W33" s="718">
        <f t="shared" si="12"/>
        <v>100</v>
      </c>
      <c r="X33" s="719"/>
      <c r="Y33" s="3556"/>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556"/>
      <c r="Q34" s="1536" t="str">
        <f>B34</f>
        <v>宗地面积</v>
      </c>
      <c r="R34" s="714" t="s">
        <v>17</v>
      </c>
      <c r="S34" s="715" t="e">
        <f t="shared" si="10"/>
        <v>#N/A</v>
      </c>
      <c r="T34" s="714" t="s">
        <v>17</v>
      </c>
      <c r="U34" s="715" t="e">
        <f t="shared" si="11"/>
        <v>#N/A</v>
      </c>
      <c r="V34" s="714" t="s">
        <v>17</v>
      </c>
      <c r="W34" s="715" t="e">
        <f t="shared" si="12"/>
        <v>#N/A</v>
      </c>
      <c r="X34" s="1539"/>
      <c r="Y34" s="3556"/>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9"/>
      <c r="M35" s="2933"/>
      <c r="N35" s="2933"/>
      <c r="O35" s="2991"/>
      <c r="P35" s="3556"/>
      <c r="Q35" s="1536" t="str">
        <f t="shared" ref="Q35:Q40" si="14">B35</f>
        <v>宗地形状</v>
      </c>
      <c r="R35" s="714" t="s">
        <v>17</v>
      </c>
      <c r="S35" s="715">
        <f t="shared" si="10"/>
        <v>100</v>
      </c>
      <c r="T35" s="714" t="s">
        <v>17</v>
      </c>
      <c r="U35" s="715">
        <f t="shared" si="11"/>
        <v>100</v>
      </c>
      <c r="V35" s="714" t="s">
        <v>17</v>
      </c>
      <c r="W35" s="715">
        <f t="shared" si="12"/>
        <v>100</v>
      </c>
      <c r="X35" s="1539"/>
      <c r="Y35" s="3556"/>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4"/>
      <c r="M36" s="2935"/>
      <c r="N36" s="2935"/>
      <c r="O36" s="2989"/>
      <c r="P36" s="3556"/>
      <c r="Q36" s="1536" t="str">
        <f t="shared" si="14"/>
        <v>宗地开发程度</v>
      </c>
      <c r="R36" s="710" t="s">
        <v>17</v>
      </c>
      <c r="S36" s="711">
        <f t="shared" si="10"/>
        <v>100</v>
      </c>
      <c r="T36" s="710" t="s">
        <v>17</v>
      </c>
      <c r="U36" s="711">
        <f t="shared" si="11"/>
        <v>100</v>
      </c>
      <c r="V36" s="710" t="s">
        <v>17</v>
      </c>
      <c r="W36" s="711">
        <f t="shared" si="12"/>
        <v>100</v>
      </c>
      <c r="X36" s="712"/>
      <c r="Y36" s="3556"/>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9"/>
      <c r="M37" s="2933"/>
      <c r="N37" s="2933"/>
      <c r="O37" s="2991"/>
      <c r="P37" s="3556" t="s">
        <v>2385</v>
      </c>
      <c r="Q37" s="1536" t="str">
        <f t="shared" si="14"/>
        <v>工程地质条件</v>
      </c>
      <c r="R37" s="714" t="s">
        <v>17</v>
      </c>
      <c r="S37" s="715">
        <f t="shared" si="10"/>
        <v>100</v>
      </c>
      <c r="T37" s="714" t="s">
        <v>17</v>
      </c>
      <c r="U37" s="715">
        <f t="shared" si="11"/>
        <v>100</v>
      </c>
      <c r="V37" s="714" t="s">
        <v>17</v>
      </c>
      <c r="W37" s="715">
        <f t="shared" si="12"/>
        <v>100</v>
      </c>
      <c r="X37" s="1539"/>
      <c r="Y37" s="3556"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556"/>
      <c r="Q38" s="1536">
        <f t="shared" si="14"/>
        <v>111</v>
      </c>
      <c r="R38" s="714" t="s">
        <v>17</v>
      </c>
      <c r="S38" s="715">
        <f t="shared" si="10"/>
        <v>100</v>
      </c>
      <c r="T38" s="714" t="s">
        <v>17</v>
      </c>
      <c r="U38" s="715">
        <f t="shared" si="11"/>
        <v>100</v>
      </c>
      <c r="V38" s="714" t="s">
        <v>17</v>
      </c>
      <c r="W38" s="715">
        <f t="shared" si="12"/>
        <v>100</v>
      </c>
      <c r="X38" s="1539"/>
      <c r="Y38" s="355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556"/>
      <c r="Q39" s="1536">
        <f t="shared" si="14"/>
        <v>111</v>
      </c>
      <c r="R39" s="714" t="s">
        <v>17</v>
      </c>
      <c r="S39" s="715">
        <f t="shared" si="10"/>
        <v>100</v>
      </c>
      <c r="T39" s="714" t="s">
        <v>17</v>
      </c>
      <c r="U39" s="715">
        <f t="shared" si="11"/>
        <v>100</v>
      </c>
      <c r="V39" s="714" t="s">
        <v>17</v>
      </c>
      <c r="W39" s="715">
        <f t="shared" si="12"/>
        <v>100</v>
      </c>
      <c r="X39" s="1539"/>
      <c r="Y39" s="3556"/>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556"/>
      <c r="Q40" s="1536">
        <f t="shared" si="14"/>
        <v>111</v>
      </c>
      <c r="R40" s="717" t="s">
        <v>17</v>
      </c>
      <c r="S40" s="718">
        <f t="shared" si="10"/>
        <v>100</v>
      </c>
      <c r="T40" s="717" t="s">
        <v>17</v>
      </c>
      <c r="U40" s="718">
        <f t="shared" si="11"/>
        <v>100</v>
      </c>
      <c r="V40" s="717" t="s">
        <v>17</v>
      </c>
      <c r="W40" s="718">
        <f t="shared" si="12"/>
        <v>100</v>
      </c>
      <c r="X40" s="719"/>
      <c r="Y40" s="3556"/>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1"/>
      <c r="M41" s="2933"/>
      <c r="N41" s="2933"/>
      <c r="O41" s="2942"/>
      <c r="P41" s="3558" t="str">
        <f>A41</f>
        <v>成交单价</v>
      </c>
      <c r="Q41" s="3558"/>
      <c r="R41" s="3544">
        <f>E41</f>
        <v>0</v>
      </c>
      <c r="S41" s="3544"/>
      <c r="T41" s="3544">
        <f>G41</f>
        <v>0</v>
      </c>
      <c r="U41" s="3544"/>
      <c r="V41" s="3544">
        <f>I41</f>
        <v>0</v>
      </c>
      <c r="W41" s="3544"/>
      <c r="X41" s="699"/>
      <c r="Y41" s="721"/>
      <c r="Z41" s="699"/>
      <c r="AA41" s="699"/>
      <c r="AB41" s="699"/>
      <c r="AC41" s="699"/>
    </row>
    <row r="42" spans="1:31" ht="15.75" thickBot="1">
      <c r="A42" s="445" t="s">
        <v>2489</v>
      </c>
      <c r="B42" s="639"/>
      <c r="C42" s="448" t="e">
        <f>R43</f>
        <v>#DIV/0!</v>
      </c>
      <c r="D42" s="2528" t="s">
        <v>2878</v>
      </c>
      <c r="E42" s="448" t="e">
        <f>R42</f>
        <v>#DIV/0!</v>
      </c>
      <c r="F42" s="2529"/>
      <c r="G42" s="447" t="e">
        <f>T42</f>
        <v>#DIV/0!</v>
      </c>
      <c r="H42" s="2529"/>
      <c r="I42" s="448" t="e">
        <f>V42</f>
        <v>#DIV/0!</v>
      </c>
      <c r="J42" s="2529"/>
      <c r="K42" s="2531">
        <f>F42+H42+J42</f>
        <v>0</v>
      </c>
      <c r="L42" s="2941"/>
      <c r="M42" s="2933"/>
      <c r="N42" s="2933"/>
      <c r="O42" s="2942"/>
      <c r="P42" s="3558" t="str">
        <f>A42</f>
        <v>比较价值（元/平方米）</v>
      </c>
      <c r="Q42" s="3558"/>
      <c r="R42" s="3615" t="e">
        <f>ROUND(PRODUCT(R41,AA7:AA40),0)</f>
        <v>#DIV/0!</v>
      </c>
      <c r="S42" s="3615"/>
      <c r="T42" s="3615" t="e">
        <f>ROUND(PRODUCT(T41,AB7:AB40),0)</f>
        <v>#DIV/0!</v>
      </c>
      <c r="U42" s="3615"/>
      <c r="V42" s="3615" t="e">
        <f>ROUND(PRODUCT(V41,AC7:AC40),0)</f>
        <v>#DIV/0!</v>
      </c>
      <c r="W42" s="3615"/>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560" t="str">
        <f>A43</f>
        <v>估价对象XX用房的比较价值（楼面单价，元/平方米）</v>
      </c>
      <c r="Q43" s="3561"/>
      <c r="R43" s="3616" t="e">
        <f>ROUND(IF(D42="简单平均",AVERAGE(R42:W42),R42*F42+T42*H42+V42*J42),0)</f>
        <v>#DIV/0!</v>
      </c>
      <c r="S43" s="3616"/>
      <c r="T43" s="3616"/>
      <c r="U43" s="3616"/>
      <c r="V43" s="3616"/>
      <c r="W43" s="3616"/>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8" t="s">
        <v>2580</v>
      </c>
      <c r="D50" s="2169" t="s">
        <v>2581</v>
      </c>
      <c r="E50" s="642" t="s">
        <v>2582</v>
      </c>
      <c r="F50" s="643" t="s">
        <v>2583</v>
      </c>
      <c r="G50" s="3520" t="s">
        <v>2584</v>
      </c>
      <c r="H50" s="3617"/>
      <c r="I50" s="1540" t="s">
        <v>2621</v>
      </c>
      <c r="J50" s="1540">
        <f>项目基本情况!F35</f>
        <v>0</v>
      </c>
      <c r="K50" s="2171"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241.88</v>
      </c>
      <c r="F51" s="647" t="e">
        <f t="shared" ref="F51:F60" si="15">ROUND(B51*E51/10000,0)</f>
        <v>#DIV/0!</v>
      </c>
      <c r="G51" s="3548"/>
      <c r="H51" s="3558"/>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0.7</v>
      </c>
      <c r="D52" s="1076">
        <v>0.25</v>
      </c>
      <c r="E52" s="650"/>
      <c r="F52" s="647" t="e">
        <f t="shared" si="15"/>
        <v>#DIV/0!</v>
      </c>
      <c r="G52" s="3618" t="s">
        <v>2589</v>
      </c>
      <c r="H52" s="1018" t="str">
        <f>项目基本情况!B37</f>
        <v>三级</v>
      </c>
      <c r="I52" s="879">
        <f>SUMIF(修正!A45:A56,H52,修正!B45:B56)</f>
        <v>0.7</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0.4</v>
      </c>
      <c r="D53" s="1076">
        <v>0.25</v>
      </c>
      <c r="E53" s="650"/>
      <c r="F53" s="647" t="e">
        <f t="shared" si="15"/>
        <v>#DIV/0!</v>
      </c>
      <c r="G53" s="3618"/>
      <c r="H53" s="1018" t="str">
        <f>项目基本情况!B37</f>
        <v>三级</v>
      </c>
      <c r="I53" s="879">
        <f>SUMIF(修正!A45:A56,H53,修正!C45:C56)</f>
        <v>0.4</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0.28000000000000003</v>
      </c>
      <c r="D54" s="1076">
        <v>0.25</v>
      </c>
      <c r="E54" s="650"/>
      <c r="F54" s="647" t="e">
        <f t="shared" si="15"/>
        <v>#DIV/0!</v>
      </c>
      <c r="G54" s="3618"/>
      <c r="H54" s="1018" t="str">
        <f>项目基本情况!B37</f>
        <v>三级</v>
      </c>
      <c r="I54" s="879">
        <f>SUMIF(修正!A45:A56,H54,修正!D45:D56)</f>
        <v>0.28000000000000003</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0.25</v>
      </c>
      <c r="D55" s="1076">
        <v>0.25</v>
      </c>
      <c r="E55" s="650"/>
      <c r="F55" s="647" t="e">
        <f t="shared" si="15"/>
        <v>#DIV/0!</v>
      </c>
      <c r="G55" s="3618"/>
      <c r="H55" s="1018" t="str">
        <f>项目基本情况!B37</f>
        <v>三级</v>
      </c>
      <c r="I55" s="879">
        <f>SUMIF(修正!A45:A56,H55,修正!E45:E56)</f>
        <v>0.25</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三级</v>
      </c>
      <c r="I56" s="879">
        <f>SUMIF(修正!A45:A56,H56,修正!F45:F56)</f>
        <v>0.25</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0.25</v>
      </c>
      <c r="D57" s="1076">
        <v>0.25</v>
      </c>
      <c r="E57" s="223">
        <f>'数据-汇总表'!E12</f>
        <v>131.88</v>
      </c>
      <c r="F57" s="647" t="e">
        <f t="shared" si="15"/>
        <v>#DIV/0!</v>
      </c>
      <c r="G57" s="1023" t="s">
        <v>2596</v>
      </c>
      <c r="H57" s="1018" t="str">
        <f>IF(G57="商业",项目基本情况!B37,IF(G57="办公",项目基本情况!C37,IF(G57="住宅",项目基本情况!D37,项目基本情况!E37)))</f>
        <v>三级</v>
      </c>
      <c r="I57" s="879">
        <f>SUMIF(修正!A45:A56,H57,修正!G45:G56)</f>
        <v>0.25</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0.2</v>
      </c>
      <c r="D58" s="1076">
        <v>0.25</v>
      </c>
      <c r="E58" s="223">
        <f>'数据-汇总表'!E13</f>
        <v>0</v>
      </c>
      <c r="F58" s="647" t="e">
        <f t="shared" si="15"/>
        <v>#DIV/0!</v>
      </c>
      <c r="G58" s="1023" t="s">
        <v>2598</v>
      </c>
      <c r="H58" s="1018" t="str">
        <f>IF(G58="商业",项目基本情况!B37,IF(G58="办公",项目基本情况!C37,IF(G58="住宅",项目基本情况!D37,项目基本情况!E37)))</f>
        <v>三级</v>
      </c>
      <c r="I58" s="879">
        <f>SUMIF(修正!A45:A56,H58,修正!H45:H56)</f>
        <v>0.2</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0.2</v>
      </c>
      <c r="D59" s="1076">
        <v>0.25</v>
      </c>
      <c r="E59" s="223">
        <f>'数据-汇总表'!E14</f>
        <v>0</v>
      </c>
      <c r="F59" s="647" t="e">
        <f t="shared" si="15"/>
        <v>#DIV/0!</v>
      </c>
      <c r="G59" s="2172" t="s">
        <v>2589</v>
      </c>
      <c r="H59" s="1018" t="str">
        <f>项目基本情况!B37</f>
        <v>三级</v>
      </c>
      <c r="I59" s="879">
        <f>SUMIF(修正!A45:A56,H59,修正!H45:H56)</f>
        <v>0.2</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三级</v>
      </c>
      <c r="I60" s="879">
        <f>SUMIF(修正!A45:A56,H60,修正!H45:H56)</f>
        <v>0.2</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4" t="s">
        <v>2602</v>
      </c>
      <c r="B65" s="1269"/>
      <c r="C65" s="1344" t="str">
        <f>YEAR(C63)&amp;"-"&amp;ROUNDUP(MONTH(C63)/3,0)</f>
        <v>2022-3</v>
      </c>
      <c r="D65" s="1344" t="str">
        <f t="shared" ref="D65:O65" si="19">YEAR(D63)&amp;"-"&amp;ROUNDUP(MONTH(D63)/3,0)</f>
        <v>2022-2</v>
      </c>
      <c r="E65" s="1344" t="str">
        <f t="shared" si="19"/>
        <v>2022-1</v>
      </c>
      <c r="F65" s="1344" t="str">
        <f t="shared" si="19"/>
        <v>2021-4</v>
      </c>
      <c r="G65" s="1344" t="str">
        <f t="shared" si="19"/>
        <v>2021-3</v>
      </c>
      <c r="H65" s="1344" t="str">
        <f t="shared" si="19"/>
        <v>2021-2</v>
      </c>
      <c r="I65" s="1344" t="str">
        <f t="shared" si="19"/>
        <v>2021-1</v>
      </c>
      <c r="J65" s="1344" t="str">
        <f t="shared" si="19"/>
        <v>2020-4</v>
      </c>
      <c r="K65" s="1344" t="str">
        <f t="shared" si="19"/>
        <v>2020-3</v>
      </c>
      <c r="L65" s="1344" t="str">
        <f t="shared" si="19"/>
        <v>2020-2</v>
      </c>
      <c r="M65" s="1344" t="str">
        <f t="shared" si="19"/>
        <v>2020-1</v>
      </c>
      <c r="N65" s="1344" t="str">
        <f t="shared" si="19"/>
        <v>2019-4</v>
      </c>
      <c r="O65" s="1344" t="str">
        <f t="shared" si="19"/>
        <v>2019-3</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9" t="s">
        <v>2622</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估价结果一览表（市场价值不需“结果表-1”）</v>
      </c>
      <c r="B3" s="3268"/>
      <c r="C3" s="3268"/>
      <c r="D3" s="3268"/>
      <c r="E3" s="3268"/>
    </row>
    <row r="4" spans="1:5" ht="19.5" thickBot="1">
      <c r="A4" s="1678"/>
      <c r="B4" s="3266" t="s">
        <v>1594</v>
      </c>
      <c r="C4" s="3266"/>
      <c r="D4" s="3266"/>
      <c r="E4" s="1678"/>
    </row>
    <row r="5" spans="1:5" ht="16.5" thickTop="1">
      <c r="A5" s="1676"/>
      <c r="B5" s="3264" t="s">
        <v>1586</v>
      </c>
      <c r="C5" s="1679" t="s">
        <v>1587</v>
      </c>
      <c r="D5" s="959" t="e">
        <f ca="1">结果表!H101</f>
        <v>#REF!</v>
      </c>
      <c r="E5" s="1676"/>
    </row>
    <row r="6" spans="1:5" ht="15.75">
      <c r="A6" s="1676"/>
      <c r="B6" s="3264"/>
      <c r="C6" s="1679" t="s">
        <v>1588</v>
      </c>
      <c r="D6" s="959" t="e">
        <f ca="1">NUMBERSTRING(INT(D5*10000),2)&amp;"元整"</f>
        <v>#REF!</v>
      </c>
      <c r="E6" s="1676"/>
    </row>
    <row r="7" spans="1:5" ht="15.75">
      <c r="A7" s="1676"/>
      <c r="B7" s="3269"/>
      <c r="C7" s="1680" t="s">
        <v>1589</v>
      </c>
      <c r="D7" s="960" t="e">
        <f ca="1">结果表!H102</f>
        <v>#REF!</v>
      </c>
      <c r="E7" s="1676"/>
    </row>
    <row r="8" spans="1:5" ht="15.75">
      <c r="A8" s="1676"/>
      <c r="B8" s="3270" t="str">
        <f>结果表!E103</f>
        <v>2.估价师知悉的法定优先受偿款</v>
      </c>
      <c r="C8" s="1681" t="s">
        <v>1590</v>
      </c>
      <c r="D8" s="960">
        <f>结果表!H103</f>
        <v>0</v>
      </c>
      <c r="E8" s="1676"/>
    </row>
    <row r="9" spans="1:5" ht="15.75">
      <c r="A9" s="1676"/>
      <c r="B9" s="3272"/>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63" t="str">
        <f>结果表!E107</f>
        <v>3.房地产抵押价值</v>
      </c>
      <c r="C13" s="1684" t="s">
        <v>1587</v>
      </c>
      <c r="D13" s="962" t="e">
        <f ca="1">结果表!H107</f>
        <v>#REF!</v>
      </c>
      <c r="E13" s="1676"/>
    </row>
    <row r="14" spans="1:5" ht="15.75">
      <c r="A14" s="1676"/>
      <c r="B14" s="3264"/>
      <c r="C14" s="1679" t="s">
        <v>1588</v>
      </c>
      <c r="D14" s="959" t="e">
        <f ca="1">NUMBERSTRING(INT(D13*10000),2)&amp;"元整"</f>
        <v>#REF!</v>
      </c>
      <c r="E14" s="1676"/>
    </row>
    <row r="15" spans="1:5" ht="15">
      <c r="A15" s="1676"/>
      <c r="B15" s="3269"/>
      <c r="C15" s="1680" t="s">
        <v>1598</v>
      </c>
      <c r="D15" s="968" t="e">
        <f ca="1">结果表!H108</f>
        <v>#REF!</v>
      </c>
      <c r="E15" s="1676"/>
    </row>
    <row r="16" spans="1:5" ht="15">
      <c r="A16" s="1676"/>
      <c r="B16" s="3270" t="str">
        <f>结果表!E109</f>
        <v>——</v>
      </c>
      <c r="C16" s="1684" t="s">
        <v>1599</v>
      </c>
      <c r="D16" s="1685" t="str">
        <f>结果表!H109</f>
        <v>——</v>
      </c>
      <c r="E16" s="1676"/>
    </row>
    <row r="17" spans="1:5" ht="15.75">
      <c r="A17" s="1676"/>
      <c r="B17" s="3271"/>
      <c r="C17" s="1679" t="s">
        <v>1600</v>
      </c>
      <c r="D17" s="959" t="e">
        <f>NUMBERSTRING(INT(D16*10000),2)&amp;"元整"</f>
        <v>#VALUE!</v>
      </c>
      <c r="E17" s="1676"/>
    </row>
    <row r="18" spans="1:5" ht="15">
      <c r="A18" s="1676"/>
      <c r="B18" s="3272"/>
      <c r="C18" s="1680" t="s">
        <v>1589</v>
      </c>
      <c r="D18" s="968" t="str">
        <f>结果表!H110</f>
        <v>——</v>
      </c>
      <c r="E18" s="1676"/>
    </row>
    <row r="19" spans="1:5" ht="15.75">
      <c r="A19" s="1676"/>
      <c r="B19" s="3263" t="str">
        <f>结果表!E111</f>
        <v>——</v>
      </c>
      <c r="C19" s="1684" t="s">
        <v>1587</v>
      </c>
      <c r="D19" s="960" t="str">
        <f>结果表!H111</f>
        <v>——</v>
      </c>
      <c r="E19" s="1676"/>
    </row>
    <row r="20" spans="1:5" ht="15.75">
      <c r="A20" s="1676"/>
      <c r="B20" s="3264"/>
      <c r="C20" s="1679" t="s">
        <v>1600</v>
      </c>
      <c r="D20" s="959" t="e">
        <f>NUMBERSTRING(INT(D19*10000),2)&amp;"元整"</f>
        <v>#VALUE!</v>
      </c>
      <c r="E20" s="1676"/>
    </row>
    <row r="21" spans="1:5" ht="15.75" thickBot="1">
      <c r="A21" s="1676"/>
      <c r="B21" s="3265"/>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90</v>
      </c>
      <c r="C2" s="2184" t="s">
        <v>2633</v>
      </c>
      <c r="D2" s="2185" t="s">
        <v>2634</v>
      </c>
      <c r="E2" s="2186" t="s">
        <v>1342</v>
      </c>
      <c r="F2" s="2185" t="s">
        <v>2635</v>
      </c>
      <c r="G2" s="2187" t="str">
        <f>IF(E2="商业",项目基本情况!B37,IF(E2="办公",项目基本情况!C37,IF(E2="住宅",项目基本情况!D37,项目基本情况!E37)))</f>
        <v>三级</v>
      </c>
      <c r="H2" s="2185" t="s">
        <v>2636</v>
      </c>
      <c r="I2" s="2187" t="str">
        <f>IF(E2="商业",项目基本情况!B38,IF(E2="办公",项目基本情况!C38,IF(E2="住宅",项目基本情况!D38,项目基本情况!E38)))</f>
        <v>Ⅲ—15</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53839</v>
      </c>
      <c r="U2" s="1375"/>
      <c r="V2" s="1374">
        <f>ROUND(T2*U2/10000,0)</f>
        <v>0</v>
      </c>
      <c r="W2" s="1378"/>
      <c r="X2" s="1378"/>
      <c r="Y2" s="1378"/>
      <c r="Z2" s="1378"/>
      <c r="AA2" s="1378"/>
      <c r="AB2" s="1378"/>
      <c r="AC2" s="1379"/>
      <c r="AD2" s="1380"/>
      <c r="AE2" s="1380"/>
      <c r="AF2" s="1380"/>
      <c r="AG2" s="1380"/>
      <c r="AH2" s="1380"/>
      <c r="AI2" s="1380"/>
      <c r="AJ2" s="1381"/>
    </row>
    <row r="3" spans="1:36" ht="25.5">
      <c r="A3" s="209" t="s">
        <v>2638</v>
      </c>
      <c r="B3" s="210">
        <f>ROUND(B2*10000/D1,0)</f>
        <v>6824</v>
      </c>
      <c r="C3" s="2184" t="s">
        <v>2639</v>
      </c>
      <c r="D3" s="2185" t="s">
        <v>2640</v>
      </c>
      <c r="E3" s="2190" t="s">
        <v>3409</v>
      </c>
      <c r="F3" s="2191" t="s">
        <v>3313</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21520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38646</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642"/>
      <c r="B4" s="3643"/>
      <c r="C4" s="3643"/>
      <c r="D4" s="3644"/>
      <c r="E4" s="3644"/>
      <c r="F4" s="3644"/>
      <c r="G4" s="3644"/>
      <c r="H4" s="3644"/>
      <c r="I4" s="3644"/>
      <c r="J4" s="3645"/>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31178</v>
      </c>
      <c r="U4" s="1375"/>
      <c r="V4" s="1374">
        <f t="shared" si="1"/>
        <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21520</v>
      </c>
      <c r="D5" s="1523">
        <f>ROUND(C6+C16,0)</f>
        <v>21520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25017</v>
      </c>
      <c r="U5" s="1375"/>
      <c r="V5" s="1374">
        <f t="shared" si="1"/>
        <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21520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21303</v>
      </c>
      <c r="U6" s="1375"/>
      <c r="V6" s="1374">
        <f t="shared" si="1"/>
        <v>0</v>
      </c>
      <c r="W6" s="1378"/>
      <c r="X6" s="1378"/>
      <c r="Y6" s="1378"/>
      <c r="Z6" s="1378"/>
      <c r="AA6" s="1378"/>
      <c r="AB6" s="1378"/>
      <c r="AC6" s="2198"/>
      <c r="AD6" s="2199"/>
      <c r="AE6" s="2199"/>
      <c r="AF6" s="2199"/>
      <c r="AG6" s="2199"/>
      <c r="AH6" s="2199"/>
      <c r="AI6" s="2199"/>
      <c r="AJ6" s="2200"/>
    </row>
    <row r="7" spans="1:36" ht="24">
      <c r="A7" s="3623" t="str">
        <f>IF(E2="商业",IF(C8="不临58条商业街","",2),"")</f>
        <v/>
      </c>
      <c r="B7" s="2208" t="s">
        <v>2651</v>
      </c>
      <c r="C7" s="858">
        <f>IF(C8="不临58条商业街",1,ROUND(1+(1.6*E8+1.2*E9+0.8*E10+0.4*E11)*C9,4))</f>
        <v>1</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18734</v>
      </c>
      <c r="U7" s="1375"/>
      <c r="V7" s="1374">
        <f t="shared" si="1"/>
        <v>0</v>
      </c>
      <c r="W7" s="1542" t="s">
        <v>2654</v>
      </c>
      <c r="X7" s="1376" t="str">
        <f>G2</f>
        <v>三级</v>
      </c>
      <c r="Y7" s="1376" t="s">
        <v>2655</v>
      </c>
      <c r="Z7" s="1377">
        <f>G3</f>
        <v>2.5</v>
      </c>
      <c r="AA7" s="1378"/>
      <c r="AB7" s="1378"/>
      <c r="AC7" s="1379"/>
      <c r="AD7" s="1380"/>
      <c r="AE7" s="1380"/>
      <c r="AF7" s="1380"/>
      <c r="AG7" s="1380"/>
      <c r="AH7" s="1380"/>
      <c r="AI7" s="1380"/>
      <c r="AJ7" s="1381"/>
    </row>
    <row r="8" spans="1:36" ht="25.5">
      <c r="A8" s="3646"/>
      <c r="B8" s="175" t="s">
        <v>2656</v>
      </c>
      <c r="C8" s="2213" t="s">
        <v>3535</v>
      </c>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639" t="s">
        <v>2659</v>
      </c>
      <c r="X8" s="3640"/>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46"/>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641"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46"/>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64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46"/>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641"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623"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641"/>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47"/>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f t="shared" si="0"/>
        <v>0</v>
      </c>
      <c r="U13" s="1375"/>
      <c r="V13" s="1374">
        <f t="shared" si="1"/>
        <v>0</v>
      </c>
      <c r="W13" s="3641"/>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47"/>
      <c r="B14" s="2231"/>
      <c r="C14" s="2232"/>
      <c r="D14" s="2233"/>
      <c r="E14" s="2233"/>
      <c r="F14" s="2234"/>
      <c r="G14" s="2235" t="s">
        <v>2696</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648"/>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623" t="s">
        <v>2702</v>
      </c>
      <c r="B16" s="2208" t="s">
        <v>2703</v>
      </c>
      <c r="C16" s="2370">
        <f>ROUND(IF(F17="与级别开发程度一致",0,(G17-E17)/C17),0)</f>
        <v>0</v>
      </c>
      <c r="D16" s="3636" t="s">
        <v>2707</v>
      </c>
      <c r="E16" s="3637"/>
      <c r="F16" s="3636" t="s">
        <v>2704</v>
      </c>
      <c r="G16" s="3637"/>
      <c r="H16" s="2240"/>
      <c r="I16" s="2240"/>
      <c r="J16" s="2374"/>
      <c r="K16" s="2240"/>
      <c r="L16" s="2240"/>
      <c r="M16" s="2240"/>
      <c r="N16" s="2240"/>
      <c r="O16" s="2241"/>
      <c r="P16" s="2182"/>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624"/>
      <c r="B17" s="2381" t="s">
        <v>2706</v>
      </c>
      <c r="C17" s="2382">
        <f>SUMPRODUCT((修正!A2:A5=E2)*(修正!B1:M1=G2)*(修正!B2:M5))</f>
        <v>2.5</v>
      </c>
      <c r="D17" s="193" t="str">
        <f>IF(OR(G2="八级",G2="九级",G2="十级",G2="十一级",G2="十二级"),"五通一平","七通一平")</f>
        <v>七通一平</v>
      </c>
      <c r="E17" s="2371">
        <f>SUMPRODUCT((修正!B1:M1=G2)*(修正!B15:M15))</f>
        <v>300</v>
      </c>
      <c r="F17" s="2372" t="s">
        <v>3311</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1.1000000000000001</v>
      </c>
      <c r="D18" s="2378"/>
      <c r="E18" s="2379"/>
      <c r="F18" s="2379"/>
      <c r="G18" s="2379"/>
      <c r="H18" s="2379"/>
      <c r="I18" s="2379"/>
      <c r="J18" s="2380"/>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7"/>
    </row>
    <row r="19" spans="1:37" s="2201" customFormat="1" ht="29.25" thickBot="1">
      <c r="A19" s="2245" t="s">
        <v>809</v>
      </c>
      <c r="B19" s="2246" t="s">
        <v>2710</v>
      </c>
      <c r="C19" s="863">
        <f>ROUND(IF(H19="按公示增长率计算",SUMPRODUCT((地价!A3:A39=YEAR(G19)&amp;"-"&amp;ROUNDUP(MONTH(G19)/3,0))*(地价!X2:AB2=E2)*(地价!X3:AB39)),IF(H19="地价指数",M20/M19,(1+I19)^O19)),4)</f>
        <v>1.4097999999999999</v>
      </c>
      <c r="D19" s="2250" t="s">
        <v>2711</v>
      </c>
      <c r="E19" s="864">
        <v>41640</v>
      </c>
      <c r="F19" s="2250" t="s">
        <v>2712</v>
      </c>
      <c r="G19" s="865">
        <f>'数据-取费表'!B2</f>
        <v>44775</v>
      </c>
      <c r="H19" s="2251" t="s">
        <v>3314</v>
      </c>
      <c r="I19" s="866" t="str">
        <f>IF(H19="季度增幅（自定义）",SUMIF(N21:N24,E2,O21:O24),"")</f>
        <v/>
      </c>
      <c r="J19" s="2248"/>
      <c r="K19" s="1287"/>
      <c r="L19" s="2252" t="s">
        <v>2713</v>
      </c>
      <c r="M19" s="1496">
        <f>ROUND(SUMIF(地价!B2:F2,E2,地价!B39:F39),0)</f>
        <v>258</v>
      </c>
      <c r="N19" s="2253" t="s">
        <v>2714</v>
      </c>
      <c r="O19" s="867">
        <f>ROUNDDOWN(DATEDIF(E19,G19,"M")/3,0)</f>
        <v>34</v>
      </c>
      <c r="P19" s="1284"/>
      <c r="Q19" s="1286"/>
      <c r="R19" s="1286"/>
      <c r="S19" s="1286"/>
      <c r="T19" s="1281"/>
      <c r="U19" s="1281"/>
      <c r="V19" s="1281"/>
      <c r="W19" s="1280"/>
      <c r="X19" s="1280"/>
      <c r="Y19" s="1280"/>
      <c r="Z19" s="1287"/>
      <c r="AA19" s="1287"/>
      <c r="AB19" s="1287"/>
      <c r="AC19" s="1287"/>
      <c r="AD19" s="1287"/>
      <c r="AE19" s="1287"/>
      <c r="AF19" s="1286"/>
      <c r="AG19" s="3010"/>
      <c r="AH19" s="2339"/>
      <c r="AI19" s="3011"/>
      <c r="AJ19" s="3011"/>
      <c r="AK19" s="2254"/>
    </row>
    <row r="20" spans="1:37" s="2201" customFormat="1" ht="27.75" thickBot="1">
      <c r="A20" s="2255" t="s">
        <v>810</v>
      </c>
      <c r="B20" s="2256" t="s">
        <v>2715</v>
      </c>
      <c r="C20" s="868">
        <f>ROUND(POWER(1+G20,J20-I20)*(POWER(1+G20,I20)-1)/(POWER(1+G20,J20)-1),4)</f>
        <v>0.86599999999999999</v>
      </c>
      <c r="D20" s="2257" t="s">
        <v>2716</v>
      </c>
      <c r="E20" s="1505">
        <f>存贷款利率!E18/100</f>
        <v>4.3499999999999997E-2</v>
      </c>
      <c r="F20" s="2257" t="s">
        <v>2708</v>
      </c>
      <c r="G20" s="873">
        <f>SUMIF(M26:P26,E2,M28:P28)</f>
        <v>5.3999999999999999E-2</v>
      </c>
      <c r="H20" s="2257" t="s">
        <v>2717</v>
      </c>
      <c r="I20" s="874">
        <f>SUMIF('数据-取费表'!C6:C15,E2,'数据-取费表'!F6:F15)/COUNTIF('数据-取费表'!C6:C15,E2)</f>
        <v>27.164999999999999</v>
      </c>
      <c r="J20" s="875">
        <f>IF(E2="住宅",70,IF(E2="商业",40,50))</f>
        <v>40</v>
      </c>
      <c r="K20" s="1287"/>
      <c r="L20" s="2258" t="s">
        <v>2718</v>
      </c>
      <c r="M20" s="1497">
        <f>ROUND(SUMPRODUCT((地价!A4:A39=YEAR(G19)&amp;"-"&amp;ROUNDUP(MONTH(G19)/3,0))*(地价!B2:F2=E2)*(地价!B4:F39)),0)</f>
        <v>355</v>
      </c>
      <c r="N20" s="2259" t="s">
        <v>2719</v>
      </c>
      <c r="O20" s="2260" t="s">
        <v>2720</v>
      </c>
      <c r="P20" s="2261"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1" customFormat="1" ht="15">
      <c r="A21" s="2262" t="s">
        <v>811</v>
      </c>
      <c r="B21" s="2263" t="s">
        <v>3312</v>
      </c>
      <c r="C21" s="876">
        <f>IF(B21="容积率修正",IF(G3&lt;=10,D22,J22),C23)</f>
        <v>1</v>
      </c>
      <c r="D21" s="2264"/>
      <c r="E21" s="2264"/>
      <c r="F21" s="2264"/>
      <c r="G21" s="2264"/>
      <c r="H21" s="2264"/>
      <c r="I21" s="2264"/>
      <c r="J21" s="2265"/>
      <c r="K21" s="1287"/>
      <c r="L21" s="3007"/>
      <c r="M21" s="3007"/>
      <c r="N21" s="2266" t="s">
        <v>2722</v>
      </c>
      <c r="O21" s="1335"/>
      <c r="P21" s="1336">
        <f>SUMPRODUCT((地价!A3:A39=YEAR(G19)&amp;"-"&amp;ROUNDUP(MONTH(G19)/3,0))*(地价!AD2:AH2=N21)*(地价!AD3:AH39))</f>
        <v>9.9000000000000008E-3</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1" customFormat="1" ht="14.25">
      <c r="A22" s="2140" t="s">
        <v>2723</v>
      </c>
      <c r="B22" s="2267" t="s">
        <v>2724</v>
      </c>
      <c r="C22" s="1536" t="s">
        <v>2725</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07"/>
      <c r="M22" s="3007"/>
      <c r="N22" s="2266" t="s">
        <v>2726</v>
      </c>
      <c r="O22" s="1335"/>
      <c r="P22" s="1336">
        <f>SUMPRODUCT((地价!A3:A39=YEAR(G19)&amp;"-"&amp;ROUNDUP(MONTH(G19)/3,0))*(地价!AD2:AH2=N22)*(地价!AD3:AH39))</f>
        <v>9.9000000000000008E-3</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SUMPRODUCT((地价!A3:A39=YEAR(G19)&amp;"-"&amp;ROUNDUP(MONTH(G19)/3,0))*(地价!AD2:AH2=N23)*(地价!AD3:AH39))</f>
        <v>1.8100000000000002E-2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7"/>
      <c r="M24" s="3007"/>
      <c r="N24" s="2276" t="s">
        <v>2731</v>
      </c>
      <c r="O24" s="1337"/>
      <c r="P24" s="1338">
        <f>SUMPRODUCT((地价!A3:A39=YEAR(G19)&amp;"-"&amp;ROUNDUP(MONTH(G19)/3,0))*(地价!AD2:AH2=N24)*(地价!AD3:AH39))</f>
        <v>1.18E-2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5" t="s">
        <v>813</v>
      </c>
      <c r="B25" s="2277" t="s">
        <v>2732</v>
      </c>
      <c r="C25" s="869"/>
      <c r="D25" s="2211"/>
      <c r="E25" s="2211"/>
      <c r="F25" s="2278"/>
      <c r="G25" s="2211"/>
      <c r="H25" s="2211"/>
      <c r="I25" s="2211"/>
      <c r="J25" s="2212"/>
      <c r="K25" s="1280"/>
      <c r="L25" s="2182"/>
      <c r="M25" s="2182"/>
      <c r="N25" s="3002" t="s">
        <v>2733</v>
      </c>
      <c r="O25" s="3003"/>
      <c r="P25" s="3004">
        <f>SUMPRODUCT((地价!A3:A39=YEAR(G19)&amp;"-"&amp;ROUNDUP(MONTH(G19)/3,0))*(地价!AD2:AH2=N25)*(地价!AD3:AH39))</f>
        <v>1.6400000000000001E-2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32">
        <f>IF(B21="容积率修正",E29+SUM(E33:E39),SUM(V2:V16)+SUM(E33:E39))</f>
        <v>90</v>
      </c>
      <c r="D26" s="2280"/>
      <c r="E26" s="2236"/>
      <c r="F26" s="2281"/>
      <c r="G26" s="2236"/>
      <c r="H26" s="2236"/>
      <c r="I26" s="2236"/>
      <c r="J26" s="2282"/>
      <c r="K26" s="1280"/>
      <c r="L26" s="3005" t="s">
        <v>2634</v>
      </c>
      <c r="M26" s="2209" t="s">
        <v>2698</v>
      </c>
      <c r="N26" s="2209" t="s">
        <v>2699</v>
      </c>
      <c r="O26" s="2209" t="s">
        <v>2700</v>
      </c>
      <c r="P26" s="3006"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f>E30+SUM(I33:I39)</f>
        <v>23</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f>ROUND(C5*C18*C19*C20*C21*C24,0)</f>
        <v>28901</v>
      </c>
      <c r="D29" s="2295"/>
      <c r="E29" s="879">
        <f>ROUND(C29*D29/10000,0)</f>
        <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f>ROUND(IF(E2="工业",C29*M39,C29*M38),0)</f>
        <v>7225</v>
      </c>
      <c r="D30" s="2301"/>
      <c r="E30" s="879">
        <f>ROUND(C30*D30/10000,0)</f>
        <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33"/>
      <c r="B33" s="2311" t="s">
        <v>2748</v>
      </c>
      <c r="C33" s="180">
        <f>ROUND(D5*C19*C20*C24*F33,0)</f>
        <v>18391</v>
      </c>
      <c r="D33" s="2295"/>
      <c r="E33" s="176">
        <f>ROUND(C33*D33/10000,0)</f>
        <v>0</v>
      </c>
      <c r="F33" s="176">
        <f>SUMIF(修正!A45:A56,G2,修正!B45:B56)</f>
        <v>0.7</v>
      </c>
      <c r="G33" s="176">
        <f t="shared" ref="G33" si="6">ROUND(IF(E2="工业",C33*$M$39,C33*$M$38),0)</f>
        <v>4598</v>
      </c>
      <c r="H33" s="176">
        <f>D33</f>
        <v>0</v>
      </c>
      <c r="I33" s="176">
        <f>ROUND(G33*H33/10000,0)</f>
        <v>0</v>
      </c>
      <c r="J33" s="3638"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34"/>
      <c r="B34" s="2228" t="s">
        <v>2749</v>
      </c>
      <c r="C34" s="180">
        <f>ROUND(D5*C19*C20*C24*F34,0)</f>
        <v>10509</v>
      </c>
      <c r="D34" s="2295"/>
      <c r="E34" s="176">
        <f t="shared" ref="E34:E39" si="7">ROUND(C34*D34/10000,0)</f>
        <v>0</v>
      </c>
      <c r="F34" s="176">
        <f>SUMIF(修正!A45:A56,G2,修正!C45:C56)</f>
        <v>0.4</v>
      </c>
      <c r="G34" s="176">
        <f>ROUND(IF(E2="工业",C34*$M$39,C34*$M$38),0)</f>
        <v>2627</v>
      </c>
      <c r="H34" s="176">
        <f t="shared" ref="H34:H39" si="8">D34</f>
        <v>0</v>
      </c>
      <c r="I34" s="176">
        <f t="shared" ref="I34:I39" si="9">ROUND(G34*H34/10000,0)</f>
        <v>0</v>
      </c>
      <c r="J34" s="363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34"/>
      <c r="B35" s="2228" t="s">
        <v>2750</v>
      </c>
      <c r="C35" s="180">
        <f>ROUND(D5*C19*C20*C24*F35,0)</f>
        <v>7357</v>
      </c>
      <c r="D35" s="2295"/>
      <c r="E35" s="176">
        <f t="shared" si="7"/>
        <v>0</v>
      </c>
      <c r="F35" s="176">
        <f>SUMIF(修正!A45:A56,G2,修正!D45:D56)</f>
        <v>0.28000000000000003</v>
      </c>
      <c r="G35" s="176">
        <f>ROUND(IF(E2="工业",C35*$M$39,C35*$M$38),0)</f>
        <v>1839</v>
      </c>
      <c r="H35" s="176">
        <f t="shared" si="8"/>
        <v>0</v>
      </c>
      <c r="I35" s="176">
        <f t="shared" si="9"/>
        <v>0</v>
      </c>
      <c r="J35" s="363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35"/>
      <c r="B36" s="2228" t="s">
        <v>2751</v>
      </c>
      <c r="C36" s="180">
        <f>ROUND(D5*C19*C20*C24*F36,0)</f>
        <v>6568</v>
      </c>
      <c r="D36" s="2295"/>
      <c r="E36" s="176">
        <f t="shared" si="7"/>
        <v>0</v>
      </c>
      <c r="F36" s="176">
        <f>SUMIF(修正!A45:A56,G2,修正!E45:E56)</f>
        <v>0.25</v>
      </c>
      <c r="G36" s="176">
        <f>ROUND(IF(E2="工业",C36*$M$39,C36*$M$38),0)</f>
        <v>1642</v>
      </c>
      <c r="H36" s="176">
        <f t="shared" si="8"/>
        <v>0</v>
      </c>
      <c r="I36" s="176">
        <f t="shared" si="9"/>
        <v>0</v>
      </c>
      <c r="J36" s="3635"/>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f>ROUND(D5*C19*C20*C24*F37,0)</f>
        <v>6568</v>
      </c>
      <c r="D37" s="2295"/>
      <c r="E37" s="176">
        <f t="shared" si="7"/>
        <v>0</v>
      </c>
      <c r="F37" s="180">
        <f>SUMIF(修正!A45:A56,G2,修正!F45:F56)</f>
        <v>0.25</v>
      </c>
      <c r="G37" s="176">
        <f>ROUND(IF(E2="工业",C37*$M$39,C37*$M$38),0)</f>
        <v>1642</v>
      </c>
      <c r="H37" s="176">
        <f t="shared" si="8"/>
        <v>0</v>
      </c>
      <c r="I37" s="176">
        <f t="shared" si="9"/>
        <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f>ROUND(D5*C19*C41*C24*F38,0)</f>
        <v>6831</v>
      </c>
      <c r="D38" s="2295">
        <f>面积表!G39</f>
        <v>131.88</v>
      </c>
      <c r="E38" s="176">
        <f t="shared" si="7"/>
        <v>90</v>
      </c>
      <c r="F38" s="180">
        <f>SUMIF(修正!A45:A56,G2,修正!G45:G56)</f>
        <v>0.25</v>
      </c>
      <c r="G38" s="176">
        <f>ROUND(IF(E2="工业",C38*$M$39,C38*$M$38),0)</f>
        <v>1708</v>
      </c>
      <c r="H38" s="176">
        <f t="shared" si="8"/>
        <v>131.88</v>
      </c>
      <c r="I38" s="176">
        <f t="shared" si="9"/>
        <v>23</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f>ROUND(D5*C19*C41*C24*F39,0)</f>
        <v>5465</v>
      </c>
      <c r="D39" s="2301"/>
      <c r="E39" s="193">
        <f t="shared" si="7"/>
        <v>0</v>
      </c>
      <c r="F39" s="871">
        <f>SUMIF(修正!A45:A56,G2,修正!H45:H56)</f>
        <v>0.2</v>
      </c>
      <c r="G39" s="193">
        <f>ROUND(IF(E2="工业",C39*$M$39,C39*$M$38),0)</f>
        <v>1366</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f>ROUND(POWER(1+E41,H41-G41)*(POWER(1+E41,G41)-1)/(POWER(1+E41,H41)-1),4)</f>
        <v>0.90059999999999996</v>
      </c>
      <c r="D41" s="176" t="s">
        <v>2708</v>
      </c>
      <c r="E41" s="2368">
        <f>G20</f>
        <v>5.3999999999999999E-2</v>
      </c>
      <c r="F41" s="176" t="s">
        <v>2717</v>
      </c>
      <c r="G41" s="189">
        <f>项目基本情况!H15</f>
        <v>34.340000000000003</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8" t="s">
        <v>2767</v>
      </c>
      <c r="B48" s="2331" t="str">
        <f>估价对象房地状况!C4</f>
        <v>估价对象周边有光耀东方广场、西单商场（万方店）、北京长安商场等项目，商业繁华程度较好。</v>
      </c>
      <c r="C48" s="2233"/>
      <c r="D48" s="1196">
        <f t="shared" ref="D48:D56" si="10">SUMIF($J$47:$N$47,C48,J48:N48)</f>
        <v>0</v>
      </c>
      <c r="E48" s="760">
        <f>ROUND(SUM(D48:D56),4)</f>
        <v>0</v>
      </c>
      <c r="F48" s="1999">
        <f>IF(E2="商业",SUMIF(L1:L12,G2,N1:N12),"——")</f>
        <v>9.8000000000000004E-2</v>
      </c>
      <c r="G48" s="1194"/>
      <c r="H48" s="1198">
        <f t="shared" ref="H48:H56" si="11">IFERROR(ROUNDDOWN($F$48*I48/2,4),"——")</f>
        <v>1.61E-2</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8" t="s">
        <v>2768</v>
      </c>
      <c r="B49" s="2332" t="str">
        <f>估价对象房地状况!C18</f>
        <v>距地铁1、9号线军事博物馆站约400米，距地铁1号线木樨地约900米；周边有1路、21路、65路、85路、78路等多条公交线路经过，交通便捷度好。</v>
      </c>
      <c r="C49" s="2233"/>
      <c r="D49" s="1196">
        <f t="shared" si="10"/>
        <v>0</v>
      </c>
      <c r="E49" s="761"/>
      <c r="F49" s="1999"/>
      <c r="G49" s="1194"/>
      <c r="H49" s="1198">
        <f t="shared" si="11"/>
        <v>1.2200000000000001E-2</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f t="shared" si="11"/>
        <v>2.3999999999999998E-3</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f t="shared" si="11"/>
        <v>2.3999999999999998E-3</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8" t="s">
        <v>2772</v>
      </c>
      <c r="B52" s="2332" t="str">
        <f>估价对象房地状况!C24</f>
        <v>估价对象临近城市次干道——北蜂窝路</v>
      </c>
      <c r="C52" s="2233"/>
      <c r="D52" s="1196">
        <f t="shared" si="10"/>
        <v>0</v>
      </c>
      <c r="E52" s="761"/>
      <c r="F52" s="1999"/>
      <c r="G52" s="1194"/>
      <c r="H52" s="1198">
        <f t="shared" si="11"/>
        <v>3.8999999999999998E-3</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f t="shared" si="11"/>
        <v>1.4E-3</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5" t="s">
        <v>2775</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3"/>
      <c r="D54" s="1196">
        <f t="shared" si="10"/>
        <v>0</v>
      </c>
      <c r="E54" s="761"/>
      <c r="F54" s="1999"/>
      <c r="G54" s="1194"/>
      <c r="H54" s="1198">
        <f t="shared" si="11"/>
        <v>2.3999999999999998E-3</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f t="shared" si="11"/>
        <v>4.8999999999999998E-3</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6" t="s">
        <v>2777</v>
      </c>
      <c r="B56" s="2337" t="str">
        <f>估价对象房地状况!C20</f>
        <v>自然环境：紫竹院公园、玉渊潭公园、玲珑公园等自然景观；
人文环境：中国人民军事博物馆等人文场所；
综合评价环境状况好。</v>
      </c>
      <c r="C56" s="2233"/>
      <c r="D56" s="1196">
        <f t="shared" si="10"/>
        <v>0</v>
      </c>
      <c r="E56" s="764"/>
      <c r="F56" s="1999"/>
      <c r="G56" s="1194"/>
      <c r="H56" s="1198">
        <f t="shared" si="11"/>
        <v>2.8999999999999998E-3</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8" t="s">
        <v>2768</v>
      </c>
      <c r="B60" s="2332" t="str">
        <f>估价对象房地状况!C18</f>
        <v>距地铁1、9号线军事博物馆站约400米，距地铁1号线木樨地约900米；周边有1路、21路、65路、85路、78路等多条公交线路经过，交通便捷度好。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8" t="s">
        <v>2772</v>
      </c>
      <c r="B63" s="2332" t="str">
        <f>估价对象房地状况!C24</f>
        <v>估价对象临近城市次干道——北蜂窝路</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8" t="s">
        <v>2775</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6" t="s">
        <v>2777</v>
      </c>
      <c r="B67" s="2338" t="str">
        <f>估价对象房地状况!C20</f>
        <v>自然环境：紫竹院公园、玉渊潭公园、玲珑公园等自然景观；
人文环境：中国人民军事博物馆等人文场所；
综合评价环境状况好。</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8" t="s">
        <v>2768</v>
      </c>
      <c r="B71" s="2332" t="str">
        <f>估价对象房地状况!C18</f>
        <v>距地铁1、9号线军事博物馆站约400米，距地铁1号线木樨地约900米；周边有1路、21路、65路、85路、78路等多条公交线路经过，交通便捷度好。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8" t="s">
        <v>2783</v>
      </c>
      <c r="B73" s="2332" t="str">
        <f>估价对象房地状况!C24</f>
        <v>估价对象临近城市次干道——北蜂窝路</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8" t="s">
        <v>2775</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76.5">
      <c r="A77" s="2328" t="s">
        <v>2777</v>
      </c>
      <c r="B77" s="2331" t="str">
        <f>估价对象房地状况!C20</f>
        <v>自然环境：紫竹院公园、玉渊潭公园、玲珑公园等自然景观；
人文环境：中国人民军事博物馆等人文场所；
综合评价环境状况好。</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625" t="s">
        <v>2789</v>
      </c>
      <c r="B90" s="3625"/>
      <c r="C90" s="3625"/>
      <c r="D90" s="3625"/>
      <c r="E90" s="3625"/>
      <c r="F90" s="3625"/>
      <c r="G90" s="3625"/>
      <c r="H90" s="3625"/>
      <c r="I90" s="3625"/>
      <c r="J90" s="3625"/>
      <c r="K90" s="2342"/>
      <c r="L90" s="2342"/>
      <c r="M90" s="2342"/>
      <c r="N90" s="2342"/>
    </row>
    <row r="91" spans="1:37">
      <c r="A91" s="3627" t="s">
        <v>2790</v>
      </c>
      <c r="B91" s="3627" t="s">
        <v>2791</v>
      </c>
      <c r="C91" s="2296" t="s">
        <v>2792</v>
      </c>
      <c r="D91" s="2297"/>
      <c r="E91" s="2297"/>
      <c r="F91" s="2297"/>
      <c r="G91" s="2297"/>
      <c r="H91" s="2297"/>
      <c r="I91" s="2297"/>
      <c r="J91" s="2343"/>
      <c r="K91" s="2344"/>
      <c r="L91" s="2344"/>
      <c r="M91" s="2344"/>
      <c r="N91" s="2344"/>
    </row>
    <row r="92" spans="1:37">
      <c r="A92" s="3627"/>
      <c r="B92" s="3627"/>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28"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29"/>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29"/>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29"/>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29"/>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29"/>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29"/>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30"/>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28"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29"/>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29"/>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29"/>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29"/>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29"/>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29"/>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29"/>
      <c r="B108" s="3631"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30"/>
      <c r="B109" s="3632"/>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626" t="s">
        <v>2797</v>
      </c>
      <c r="B110" s="3626"/>
      <c r="C110" s="3626"/>
      <c r="D110" s="3626"/>
      <c r="E110" s="3626"/>
      <c r="F110" s="3626"/>
      <c r="G110" s="3626"/>
      <c r="H110" s="3626"/>
      <c r="I110" s="3626"/>
      <c r="J110" s="3626"/>
      <c r="K110" s="2351"/>
      <c r="L110" s="2351"/>
      <c r="M110" s="2351"/>
      <c r="N110" s="2351"/>
    </row>
    <row r="112" spans="1:14" ht="13.5" thickBot="1"/>
    <row r="113" spans="1:13" ht="25.5" thickBot="1">
      <c r="A113" s="842" t="s">
        <v>2798</v>
      </c>
      <c r="B113" s="1197">
        <f>G3</f>
        <v>2.5</v>
      </c>
      <c r="C113" s="843" t="s">
        <v>2799</v>
      </c>
      <c r="D113" s="844">
        <f>SUMPRODUCT((A115:A118=F113)*(B114:M114=H113)*B115:M118)</f>
        <v>0.80589999999999995</v>
      </c>
      <c r="E113" s="2187" t="s">
        <v>2634</v>
      </c>
      <c r="F113" s="2353" t="str">
        <f>E2</f>
        <v>商业</v>
      </c>
      <c r="G113" s="2187" t="s">
        <v>2635</v>
      </c>
      <c r="H113" s="2353" t="str">
        <f>G2</f>
        <v>三级</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xr:uid="{00000000-0002-0000-2700-000000000000}">
      <formula1>"500米范围内,500-1000米,1000米以外"</formula1>
    </dataValidation>
    <dataValidation type="list" allowBlank="1" showInputMessage="1" showErrorMessage="1" sqref="C14:E14" xr:uid="{00000000-0002-0000-2700-000001000000}">
      <formula1>"有,无"</formula1>
    </dataValidation>
    <dataValidation type="list" allowBlank="1" showInputMessage="1" showErrorMessage="1" sqref="B21" xr:uid="{00000000-0002-0000-2700-000002000000}">
      <formula1>"容积率修正,楼层修正"</formula1>
    </dataValidation>
    <dataValidation type="list" allowBlank="1" showInputMessage="1" showErrorMessage="1" sqref="F17" xr:uid="{00000000-0002-0000-2700-000003000000}">
      <formula1>"与级别开发程度一致,与级别开发程度不一致"</formula1>
    </dataValidation>
    <dataValidation type="list" allowBlank="1" showInputMessage="1" showErrorMessage="1" sqref="E2" xr:uid="{00000000-0002-0000-2700-000004000000}">
      <formula1>"商业,办公,住宅,工业"</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81:C88 C70:C78 C48:C56 C59:C67" xr:uid="{00000000-0002-0000-2700-000008000000}">
      <formula1>五等判定</formula1>
    </dataValidation>
    <dataValidation type="list" allowBlank="1" showInputMessage="1" showErrorMessage="1" sqref="H19" xr:uid="{00000000-0002-0000-2700-000009000000}">
      <formula1>"地价指数,季度增幅（自定义）,按公示增长率计算"</formula1>
    </dataValidation>
    <dataValidation type="list" allowBlank="1" showInputMessage="1" showErrorMessage="1" sqref="H16:O16" xr:uid="{00000000-0002-0000-2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49" t="s">
        <v>183</v>
      </c>
      <c r="B18" s="821" t="s">
        <v>560</v>
      </c>
      <c r="C18" s="822" t="s">
        <v>561</v>
      </c>
      <c r="D18" s="823"/>
      <c r="E18" s="821">
        <v>1</v>
      </c>
      <c r="F18" s="824" t="s">
        <v>562</v>
      </c>
      <c r="G18" s="825"/>
      <c r="H18" s="817"/>
      <c r="I18" s="817"/>
    </row>
    <row r="19" spans="1:9" s="826" customFormat="1" ht="19.5" customHeight="1">
      <c r="A19" s="3649"/>
      <c r="B19" s="3649" t="s">
        <v>563</v>
      </c>
      <c r="C19" s="822" t="s">
        <v>564</v>
      </c>
      <c r="D19" s="823"/>
      <c r="E19" s="821">
        <v>0.9</v>
      </c>
      <c r="F19" s="824" t="s">
        <v>565</v>
      </c>
      <c r="G19" s="825"/>
      <c r="H19" s="817"/>
      <c r="I19" s="817"/>
    </row>
    <row r="20" spans="1:9" s="826" customFormat="1" ht="19.5" customHeight="1">
      <c r="A20" s="3649"/>
      <c r="B20" s="3649"/>
      <c r="C20" s="822" t="s">
        <v>566</v>
      </c>
      <c r="D20" s="823"/>
      <c r="E20" s="821">
        <v>1.1000000000000001</v>
      </c>
      <c r="F20" s="824" t="s">
        <v>567</v>
      </c>
      <c r="G20" s="825"/>
      <c r="H20" s="817"/>
      <c r="I20" s="817"/>
    </row>
    <row r="21" spans="1:9" s="826" customFormat="1" ht="19.5" customHeight="1">
      <c r="A21" s="3649"/>
      <c r="B21" s="3649"/>
      <c r="C21" s="822" t="s">
        <v>568</v>
      </c>
      <c r="D21" s="823"/>
      <c r="E21" s="821">
        <v>0.8</v>
      </c>
      <c r="F21" s="824" t="s">
        <v>569</v>
      </c>
      <c r="G21" s="825"/>
      <c r="H21" s="817"/>
      <c r="I21" s="817"/>
    </row>
    <row r="22" spans="1:9" s="826" customFormat="1" ht="19.5" customHeight="1">
      <c r="A22" s="3649"/>
      <c r="B22" s="3649"/>
      <c r="C22" s="822" t="s">
        <v>570</v>
      </c>
      <c r="D22" s="823"/>
      <c r="E22" s="821">
        <v>0.5</v>
      </c>
      <c r="F22" s="824"/>
      <c r="G22" s="825"/>
      <c r="H22" s="817"/>
      <c r="I22" s="817"/>
    </row>
    <row r="23" spans="1:9" s="826" customFormat="1" ht="19.5" customHeight="1">
      <c r="A23" s="3649" t="s">
        <v>184</v>
      </c>
      <c r="B23" s="821" t="s">
        <v>560</v>
      </c>
      <c r="C23" s="822" t="s">
        <v>571</v>
      </c>
      <c r="D23" s="823"/>
      <c r="E23" s="821">
        <v>1</v>
      </c>
      <c r="F23" s="824" t="s">
        <v>572</v>
      </c>
      <c r="G23" s="825"/>
      <c r="H23" s="817"/>
      <c r="I23" s="817"/>
    </row>
    <row r="24" spans="1:9" s="826" customFormat="1" ht="19.5" customHeight="1">
      <c r="A24" s="3649"/>
      <c r="B24" s="3649" t="s">
        <v>563</v>
      </c>
      <c r="C24" s="822" t="s">
        <v>573</v>
      </c>
      <c r="D24" s="823"/>
      <c r="E24" s="821">
        <v>0.5</v>
      </c>
      <c r="F24" s="824"/>
      <c r="G24" s="825"/>
      <c r="H24" s="817"/>
      <c r="I24" s="817"/>
    </row>
    <row r="25" spans="1:9" s="826" customFormat="1" ht="19.5" customHeight="1">
      <c r="A25" s="3649"/>
      <c r="B25" s="3649"/>
      <c r="C25" s="822" t="s">
        <v>574</v>
      </c>
      <c r="D25" s="823"/>
      <c r="E25" s="821">
        <v>1.1000000000000001</v>
      </c>
      <c r="F25" s="824"/>
      <c r="G25" s="825"/>
      <c r="H25" s="817"/>
      <c r="I25" s="817"/>
    </row>
    <row r="26" spans="1:9" s="826" customFormat="1" ht="19.5" customHeight="1">
      <c r="A26" s="3649"/>
      <c r="B26" s="3649"/>
      <c r="C26" s="822" t="s">
        <v>575</v>
      </c>
      <c r="D26" s="823"/>
      <c r="E26" s="821">
        <v>1.1000000000000001</v>
      </c>
      <c r="F26" s="824"/>
      <c r="G26" s="825"/>
      <c r="H26" s="817"/>
      <c r="I26" s="817"/>
    </row>
    <row r="27" spans="1:9" s="826" customFormat="1" ht="19.5" customHeight="1">
      <c r="A27" s="3649"/>
      <c r="B27" s="3649"/>
      <c r="C27" s="822" t="s">
        <v>576</v>
      </c>
      <c r="D27" s="823"/>
      <c r="E27" s="821">
        <v>0.9</v>
      </c>
      <c r="F27" s="824" t="s">
        <v>577</v>
      </c>
      <c r="G27" s="825"/>
      <c r="H27" s="817"/>
      <c r="I27" s="817"/>
    </row>
    <row r="28" spans="1:9" s="826" customFormat="1" ht="19.5" customHeight="1">
      <c r="A28" s="3649"/>
      <c r="B28" s="3649"/>
      <c r="C28" s="822" t="s">
        <v>578</v>
      </c>
      <c r="D28" s="823"/>
      <c r="E28" s="821">
        <v>0.9</v>
      </c>
      <c r="F28" s="824" t="s">
        <v>579</v>
      </c>
      <c r="G28" s="825"/>
      <c r="H28" s="817"/>
      <c r="I28" s="817"/>
    </row>
    <row r="29" spans="1:9" s="826" customFormat="1" ht="19.5" customHeight="1">
      <c r="A29" s="3649"/>
      <c r="B29" s="3649"/>
      <c r="C29" s="822" t="s">
        <v>580</v>
      </c>
      <c r="D29" s="823"/>
      <c r="E29" s="821">
        <v>0.9</v>
      </c>
      <c r="F29" s="824" t="s">
        <v>581</v>
      </c>
      <c r="G29" s="825"/>
      <c r="H29" s="817"/>
      <c r="I29" s="817"/>
    </row>
    <row r="30" spans="1:9" s="826" customFormat="1" ht="19.5" customHeight="1">
      <c r="A30" s="3649"/>
      <c r="B30" s="3649"/>
      <c r="C30" s="822" t="s">
        <v>582</v>
      </c>
      <c r="D30" s="823"/>
      <c r="E30" s="821">
        <v>0.9</v>
      </c>
      <c r="F30" s="824" t="s">
        <v>583</v>
      </c>
      <c r="G30" s="825"/>
      <c r="H30" s="817"/>
      <c r="I30" s="817"/>
    </row>
    <row r="31" spans="1:9" s="826" customFormat="1" ht="19.5" customHeight="1">
      <c r="A31" s="3649"/>
      <c r="B31" s="3649"/>
      <c r="C31" s="822" t="s">
        <v>584</v>
      </c>
      <c r="D31" s="823"/>
      <c r="E31" s="821">
        <v>0.8</v>
      </c>
      <c r="F31" s="824" t="s">
        <v>585</v>
      </c>
      <c r="G31" s="825"/>
      <c r="H31" s="817"/>
      <c r="I31" s="817"/>
    </row>
    <row r="32" spans="1:9" s="826" customFormat="1" ht="19.5" customHeight="1">
      <c r="A32" s="3649"/>
      <c r="B32" s="3649"/>
      <c r="C32" s="822" t="s">
        <v>586</v>
      </c>
      <c r="D32" s="823"/>
      <c r="E32" s="821">
        <v>0.8</v>
      </c>
      <c r="F32" s="824" t="s">
        <v>587</v>
      </c>
      <c r="G32" s="825"/>
      <c r="H32" s="817"/>
      <c r="I32" s="817"/>
    </row>
    <row r="33" spans="1:9" s="826" customFormat="1" ht="19.5" customHeight="1">
      <c r="A33" s="3649" t="s">
        <v>185</v>
      </c>
      <c r="B33" s="821" t="s">
        <v>560</v>
      </c>
      <c r="C33" s="822" t="s">
        <v>588</v>
      </c>
      <c r="D33" s="823"/>
      <c r="E33" s="821">
        <v>1</v>
      </c>
      <c r="F33" s="824" t="s">
        <v>589</v>
      </c>
      <c r="G33" s="825"/>
      <c r="H33" s="817"/>
      <c r="I33" s="817"/>
    </row>
    <row r="34" spans="1:9" s="826" customFormat="1" ht="19.5" customHeight="1">
      <c r="A34" s="3649"/>
      <c r="B34" s="821" t="s">
        <v>563</v>
      </c>
      <c r="C34" s="822" t="s">
        <v>590</v>
      </c>
      <c r="D34" s="823"/>
      <c r="E34" s="821">
        <v>1.5</v>
      </c>
      <c r="F34" s="824" t="s">
        <v>591</v>
      </c>
      <c r="G34" s="825"/>
      <c r="H34" s="817"/>
      <c r="I34" s="817"/>
    </row>
    <row r="35" spans="1:9" s="826" customFormat="1" ht="19.5" customHeight="1">
      <c r="A35" s="3649" t="s">
        <v>186</v>
      </c>
      <c r="B35" s="821" t="s">
        <v>560</v>
      </c>
      <c r="C35" s="822" t="s">
        <v>592</v>
      </c>
      <c r="D35" s="823"/>
      <c r="E35" s="821">
        <v>1</v>
      </c>
      <c r="F35" s="824" t="s">
        <v>593</v>
      </c>
      <c r="G35" s="825"/>
      <c r="H35" s="817"/>
      <c r="I35" s="817"/>
    </row>
    <row r="36" spans="1:9" s="826" customFormat="1" ht="19.5" customHeight="1">
      <c r="A36" s="3649"/>
      <c r="B36" s="3649" t="s">
        <v>563</v>
      </c>
      <c r="C36" s="822" t="s">
        <v>594</v>
      </c>
      <c r="D36" s="823"/>
      <c r="E36" s="821">
        <v>1</v>
      </c>
      <c r="F36" s="824" t="s">
        <v>595</v>
      </c>
      <c r="G36" s="825"/>
      <c r="H36" s="817"/>
      <c r="I36" s="817"/>
    </row>
    <row r="37" spans="1:9" s="826" customFormat="1" ht="19.5" customHeight="1">
      <c r="A37" s="3649"/>
      <c r="B37" s="3649"/>
      <c r="C37" s="822" t="s">
        <v>596</v>
      </c>
      <c r="D37" s="823"/>
      <c r="E37" s="821">
        <v>1.5</v>
      </c>
      <c r="F37" s="824" t="s">
        <v>597</v>
      </c>
      <c r="G37" s="825"/>
      <c r="H37" s="817"/>
      <c r="I37" s="817"/>
    </row>
    <row r="38" spans="1:9" s="826" customFormat="1" ht="19.5" customHeight="1">
      <c r="A38" s="3649"/>
      <c r="B38" s="3649"/>
      <c r="C38" s="822" t="s">
        <v>598</v>
      </c>
      <c r="D38" s="823"/>
      <c r="E38" s="821">
        <v>1</v>
      </c>
      <c r="F38" s="824" t="s">
        <v>599</v>
      </c>
      <c r="G38" s="825"/>
      <c r="H38" s="817"/>
      <c r="I38" s="817"/>
    </row>
    <row r="39" spans="1:9" s="826" customFormat="1" ht="19.5" customHeight="1">
      <c r="A39" s="3649"/>
      <c r="B39" s="364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49" t="s">
        <v>614</v>
      </c>
      <c r="C61" s="757" t="s">
        <v>615</v>
      </c>
      <c r="D61" s="757" t="s">
        <v>616</v>
      </c>
      <c r="E61" s="834">
        <v>0.5</v>
      </c>
      <c r="F61" s="821">
        <v>80</v>
      </c>
    </row>
    <row r="62" spans="1:8" s="817" customFormat="1" ht="24">
      <c r="A62" s="821">
        <v>2</v>
      </c>
      <c r="B62" s="3649"/>
      <c r="C62" s="757" t="s">
        <v>617</v>
      </c>
      <c r="D62" s="757" t="s">
        <v>618</v>
      </c>
      <c r="E62" s="834">
        <v>0.5</v>
      </c>
      <c r="F62" s="821">
        <v>80</v>
      </c>
    </row>
    <row r="63" spans="1:8" s="817" customFormat="1" ht="36">
      <c r="A63" s="821">
        <v>3</v>
      </c>
      <c r="B63" s="3649"/>
      <c r="C63" s="757" t="s">
        <v>619</v>
      </c>
      <c r="D63" s="757" t="s">
        <v>620</v>
      </c>
      <c r="E63" s="834">
        <v>0.5</v>
      </c>
      <c r="F63" s="821">
        <v>80</v>
      </c>
    </row>
    <row r="64" spans="1:8" s="817" customFormat="1" ht="36">
      <c r="A64" s="821">
        <v>4</v>
      </c>
      <c r="B64" s="3649"/>
      <c r="C64" s="757" t="s">
        <v>621</v>
      </c>
      <c r="D64" s="757" t="s">
        <v>622</v>
      </c>
      <c r="E64" s="834">
        <v>0.4</v>
      </c>
      <c r="F64" s="821">
        <v>60</v>
      </c>
    </row>
    <row r="65" spans="1:6" s="817" customFormat="1" ht="36">
      <c r="A65" s="821">
        <v>5</v>
      </c>
      <c r="B65" s="3649"/>
      <c r="C65" s="757" t="s">
        <v>623</v>
      </c>
      <c r="D65" s="757" t="s">
        <v>624</v>
      </c>
      <c r="E65" s="834">
        <v>0.2</v>
      </c>
      <c r="F65" s="821">
        <v>30</v>
      </c>
    </row>
    <row r="66" spans="1:6" s="817" customFormat="1" ht="36">
      <c r="A66" s="821">
        <v>6</v>
      </c>
      <c r="B66" s="3649"/>
      <c r="C66" s="757" t="s">
        <v>625</v>
      </c>
      <c r="D66" s="757" t="s">
        <v>626</v>
      </c>
      <c r="E66" s="834">
        <v>0.3</v>
      </c>
      <c r="F66" s="821">
        <v>50</v>
      </c>
    </row>
    <row r="67" spans="1:6" s="817" customFormat="1" ht="36">
      <c r="A67" s="821">
        <v>7</v>
      </c>
      <c r="B67" s="3649"/>
      <c r="C67" s="757" t="s">
        <v>627</v>
      </c>
      <c r="D67" s="757" t="s">
        <v>628</v>
      </c>
      <c r="E67" s="834">
        <v>0.2</v>
      </c>
      <c r="F67" s="821">
        <v>30</v>
      </c>
    </row>
    <row r="68" spans="1:6" s="817" customFormat="1" ht="36">
      <c r="A68" s="821">
        <v>8</v>
      </c>
      <c r="B68" s="3649"/>
      <c r="C68" s="757" t="s">
        <v>629</v>
      </c>
      <c r="D68" s="757" t="s">
        <v>630</v>
      </c>
      <c r="E68" s="834">
        <v>0.2</v>
      </c>
      <c r="F68" s="821">
        <v>30</v>
      </c>
    </row>
    <row r="69" spans="1:6" s="817" customFormat="1" ht="36">
      <c r="A69" s="821">
        <v>9</v>
      </c>
      <c r="B69" s="3649"/>
      <c r="C69" s="757" t="s">
        <v>631</v>
      </c>
      <c r="D69" s="757" t="s">
        <v>632</v>
      </c>
      <c r="E69" s="834">
        <v>0.2</v>
      </c>
      <c r="F69" s="821">
        <v>30</v>
      </c>
    </row>
    <row r="70" spans="1:6" s="817" customFormat="1" ht="48">
      <c r="A70" s="821">
        <v>10</v>
      </c>
      <c r="B70" s="3649"/>
      <c r="C70" s="757" t="s">
        <v>633</v>
      </c>
      <c r="D70" s="757" t="s">
        <v>634</v>
      </c>
      <c r="E70" s="834">
        <v>0.2</v>
      </c>
      <c r="F70" s="821">
        <v>30</v>
      </c>
    </row>
    <row r="71" spans="1:6" s="817" customFormat="1" ht="48">
      <c r="A71" s="821">
        <v>11</v>
      </c>
      <c r="B71" s="3649"/>
      <c r="C71" s="757" t="s">
        <v>635</v>
      </c>
      <c r="D71" s="757" t="s">
        <v>636</v>
      </c>
      <c r="E71" s="834">
        <v>0.2</v>
      </c>
      <c r="F71" s="821">
        <v>30</v>
      </c>
    </row>
    <row r="72" spans="1:6" s="817" customFormat="1" ht="36">
      <c r="A72" s="821">
        <v>12</v>
      </c>
      <c r="B72" s="3649"/>
      <c r="C72" s="757" t="s">
        <v>637</v>
      </c>
      <c r="D72" s="757" t="s">
        <v>638</v>
      </c>
      <c r="E72" s="834">
        <v>0.5</v>
      </c>
      <c r="F72" s="821">
        <v>80</v>
      </c>
    </row>
    <row r="73" spans="1:6" s="817" customFormat="1" ht="24">
      <c r="A73" s="821">
        <v>13</v>
      </c>
      <c r="B73" s="3649"/>
      <c r="C73" s="757" t="s">
        <v>639</v>
      </c>
      <c r="D73" s="757" t="s">
        <v>640</v>
      </c>
      <c r="E73" s="834">
        <v>0.4</v>
      </c>
      <c r="F73" s="821">
        <v>60</v>
      </c>
    </row>
    <row r="74" spans="1:6" s="817" customFormat="1" ht="24">
      <c r="A74" s="821">
        <v>14</v>
      </c>
      <c r="B74" s="3649"/>
      <c r="C74" s="757" t="s">
        <v>641</v>
      </c>
      <c r="D74" s="757" t="s">
        <v>642</v>
      </c>
      <c r="E74" s="834">
        <v>0.2</v>
      </c>
      <c r="F74" s="821">
        <v>30</v>
      </c>
    </row>
    <row r="75" spans="1:6" s="817" customFormat="1" ht="24">
      <c r="A75" s="821">
        <v>15</v>
      </c>
      <c r="B75" s="3649"/>
      <c r="C75" s="757" t="s">
        <v>643</v>
      </c>
      <c r="D75" s="757" t="s">
        <v>644</v>
      </c>
      <c r="E75" s="834">
        <v>0.2</v>
      </c>
      <c r="F75" s="821">
        <v>30</v>
      </c>
    </row>
    <row r="76" spans="1:6" s="817" customFormat="1" ht="24">
      <c r="A76" s="821">
        <v>16</v>
      </c>
      <c r="B76" s="3649" t="s">
        <v>645</v>
      </c>
      <c r="C76" s="757" t="s">
        <v>646</v>
      </c>
      <c r="D76" s="757" t="s">
        <v>647</v>
      </c>
      <c r="E76" s="834">
        <v>0.5</v>
      </c>
      <c r="F76" s="821">
        <v>80</v>
      </c>
    </row>
    <row r="77" spans="1:6" s="817" customFormat="1" ht="24">
      <c r="A77" s="821">
        <v>17</v>
      </c>
      <c r="B77" s="3649"/>
      <c r="C77" s="757" t="s">
        <v>648</v>
      </c>
      <c r="D77" s="757" t="s">
        <v>649</v>
      </c>
      <c r="E77" s="834">
        <v>0.5</v>
      </c>
      <c r="F77" s="821">
        <v>80</v>
      </c>
    </row>
    <row r="78" spans="1:6" s="817" customFormat="1" ht="24">
      <c r="A78" s="821">
        <v>18</v>
      </c>
      <c r="B78" s="3649"/>
      <c r="C78" s="757" t="s">
        <v>650</v>
      </c>
      <c r="D78" s="757" t="s">
        <v>651</v>
      </c>
      <c r="E78" s="834">
        <v>0.2</v>
      </c>
      <c r="F78" s="821">
        <v>30</v>
      </c>
    </row>
    <row r="79" spans="1:6" s="817" customFormat="1" ht="24">
      <c r="A79" s="821">
        <v>19</v>
      </c>
      <c r="B79" s="3649"/>
      <c r="C79" s="757" t="s">
        <v>652</v>
      </c>
      <c r="D79" s="757" t="s">
        <v>653</v>
      </c>
      <c r="E79" s="834">
        <v>0.5</v>
      </c>
      <c r="F79" s="821">
        <v>80</v>
      </c>
    </row>
    <row r="80" spans="1:6" s="817" customFormat="1" ht="36">
      <c r="A80" s="821">
        <v>20</v>
      </c>
      <c r="B80" s="3649"/>
      <c r="C80" s="757" t="s">
        <v>654</v>
      </c>
      <c r="D80" s="757" t="s">
        <v>655</v>
      </c>
      <c r="E80" s="834">
        <v>0.2</v>
      </c>
      <c r="F80" s="821">
        <v>30</v>
      </c>
    </row>
    <row r="81" spans="1:6" s="817" customFormat="1" ht="36">
      <c r="A81" s="821">
        <v>21</v>
      </c>
      <c r="B81" s="3649"/>
      <c r="C81" s="757" t="s">
        <v>656</v>
      </c>
      <c r="D81" s="757" t="s">
        <v>657</v>
      </c>
      <c r="E81" s="834">
        <v>0.2</v>
      </c>
      <c r="F81" s="821">
        <v>30</v>
      </c>
    </row>
    <row r="82" spans="1:6" s="817" customFormat="1" ht="48">
      <c r="A82" s="821">
        <v>22</v>
      </c>
      <c r="B82" s="3649"/>
      <c r="C82" s="757" t="s">
        <v>658</v>
      </c>
      <c r="D82" s="757" t="s">
        <v>659</v>
      </c>
      <c r="E82" s="834">
        <v>0.2</v>
      </c>
      <c r="F82" s="821">
        <v>30</v>
      </c>
    </row>
    <row r="83" spans="1:6" s="817" customFormat="1" ht="48">
      <c r="A83" s="821">
        <v>23</v>
      </c>
      <c r="B83" s="3649"/>
      <c r="C83" s="757" t="s">
        <v>660</v>
      </c>
      <c r="D83" s="757" t="s">
        <v>661</v>
      </c>
      <c r="E83" s="834">
        <v>0.2</v>
      </c>
      <c r="F83" s="821">
        <v>30</v>
      </c>
    </row>
    <row r="84" spans="1:6" s="817" customFormat="1" ht="36">
      <c r="A84" s="821">
        <v>24</v>
      </c>
      <c r="B84" s="3649"/>
      <c r="C84" s="757" t="s">
        <v>662</v>
      </c>
      <c r="D84" s="757" t="s">
        <v>663</v>
      </c>
      <c r="E84" s="834">
        <v>0.2</v>
      </c>
      <c r="F84" s="821">
        <v>30</v>
      </c>
    </row>
    <row r="85" spans="1:6" s="817" customFormat="1" ht="36">
      <c r="A85" s="821">
        <v>25</v>
      </c>
      <c r="B85" s="3649"/>
      <c r="C85" s="757" t="s">
        <v>664</v>
      </c>
      <c r="D85" s="757" t="s">
        <v>665</v>
      </c>
      <c r="E85" s="834">
        <v>0.5</v>
      </c>
      <c r="F85" s="821">
        <v>80</v>
      </c>
    </row>
    <row r="86" spans="1:6" s="817" customFormat="1" ht="36">
      <c r="A86" s="821">
        <v>26</v>
      </c>
      <c r="B86" s="3649"/>
      <c r="C86" s="757" t="s">
        <v>666</v>
      </c>
      <c r="D86" s="757" t="s">
        <v>667</v>
      </c>
      <c r="E86" s="834">
        <v>0.2</v>
      </c>
      <c r="F86" s="821">
        <v>30</v>
      </c>
    </row>
    <row r="87" spans="1:6" s="817" customFormat="1" ht="36">
      <c r="A87" s="821">
        <v>27</v>
      </c>
      <c r="B87" s="3649"/>
      <c r="C87" s="757" t="s">
        <v>668</v>
      </c>
      <c r="D87" s="757" t="s">
        <v>669</v>
      </c>
      <c r="E87" s="834">
        <v>0.2</v>
      </c>
      <c r="F87" s="821">
        <v>30</v>
      </c>
    </row>
    <row r="88" spans="1:6" s="817" customFormat="1" ht="36">
      <c r="A88" s="821">
        <v>28</v>
      </c>
      <c r="B88" s="3649"/>
      <c r="C88" s="757" t="s">
        <v>670</v>
      </c>
      <c r="D88" s="757" t="s">
        <v>671</v>
      </c>
      <c r="E88" s="834">
        <v>0.2</v>
      </c>
      <c r="F88" s="821">
        <v>30</v>
      </c>
    </row>
    <row r="89" spans="1:6" s="817" customFormat="1" ht="24">
      <c r="A89" s="821">
        <v>29</v>
      </c>
      <c r="B89" s="3649"/>
      <c r="C89" s="757" t="s">
        <v>672</v>
      </c>
      <c r="D89" s="757" t="s">
        <v>673</v>
      </c>
      <c r="E89" s="834">
        <v>0.2</v>
      </c>
      <c r="F89" s="821">
        <v>30</v>
      </c>
    </row>
    <row r="90" spans="1:6" s="817" customFormat="1" ht="24">
      <c r="A90" s="821">
        <v>30</v>
      </c>
      <c r="B90" s="3649"/>
      <c r="C90" s="757" t="s">
        <v>674</v>
      </c>
      <c r="D90" s="757" t="s">
        <v>675</v>
      </c>
      <c r="E90" s="834">
        <v>0.2</v>
      </c>
      <c r="F90" s="821">
        <v>30</v>
      </c>
    </row>
    <row r="91" spans="1:6" s="817" customFormat="1" ht="36">
      <c r="A91" s="821">
        <v>31</v>
      </c>
      <c r="B91" s="3649"/>
      <c r="C91" s="757" t="s">
        <v>676</v>
      </c>
      <c r="D91" s="757" t="s">
        <v>677</v>
      </c>
      <c r="E91" s="834">
        <v>0.2</v>
      </c>
      <c r="F91" s="821">
        <v>30</v>
      </c>
    </row>
    <row r="92" spans="1:6" s="817" customFormat="1" ht="24">
      <c r="A92" s="821">
        <v>32</v>
      </c>
      <c r="B92" s="3649" t="s">
        <v>678</v>
      </c>
      <c r="C92" s="821" t="s">
        <v>679</v>
      </c>
      <c r="D92" s="757" t="s">
        <v>680</v>
      </c>
      <c r="E92" s="834">
        <v>0.2</v>
      </c>
      <c r="F92" s="821">
        <v>30</v>
      </c>
    </row>
    <row r="93" spans="1:6" s="817" customFormat="1" ht="36">
      <c r="A93" s="821">
        <v>33</v>
      </c>
      <c r="B93" s="3649"/>
      <c r="C93" s="821" t="s">
        <v>681</v>
      </c>
      <c r="D93" s="757" t="s">
        <v>682</v>
      </c>
      <c r="E93" s="834">
        <v>0.2</v>
      </c>
      <c r="F93" s="821">
        <v>30</v>
      </c>
    </row>
    <row r="94" spans="1:6" s="817" customFormat="1" ht="48">
      <c r="A94" s="821">
        <v>34</v>
      </c>
      <c r="B94" s="3649"/>
      <c r="C94" s="821" t="s">
        <v>683</v>
      </c>
      <c r="D94" s="757" t="s">
        <v>684</v>
      </c>
      <c r="E94" s="834">
        <v>0.2</v>
      </c>
      <c r="F94" s="821">
        <v>30</v>
      </c>
    </row>
    <row r="95" spans="1:6" s="817" customFormat="1" ht="36">
      <c r="A95" s="821">
        <v>35</v>
      </c>
      <c r="B95" s="3649"/>
      <c r="C95" s="821" t="s">
        <v>685</v>
      </c>
      <c r="D95" s="757" t="s">
        <v>686</v>
      </c>
      <c r="E95" s="834">
        <v>0.2</v>
      </c>
      <c r="F95" s="821">
        <v>30</v>
      </c>
    </row>
    <row r="96" spans="1:6" s="817" customFormat="1" ht="48">
      <c r="A96" s="821">
        <v>36</v>
      </c>
      <c r="B96" s="3649"/>
      <c r="C96" s="757" t="s">
        <v>687</v>
      </c>
      <c r="D96" s="757" t="s">
        <v>688</v>
      </c>
      <c r="E96" s="834">
        <v>0.2</v>
      </c>
      <c r="F96" s="821">
        <v>30</v>
      </c>
    </row>
    <row r="97" spans="1:6" s="817" customFormat="1" ht="36">
      <c r="A97" s="821">
        <v>37</v>
      </c>
      <c r="B97" s="3649"/>
      <c r="C97" s="821" t="s">
        <v>689</v>
      </c>
      <c r="D97" s="757" t="s">
        <v>690</v>
      </c>
      <c r="E97" s="834">
        <v>0.2</v>
      </c>
      <c r="F97" s="821">
        <v>30</v>
      </c>
    </row>
    <row r="98" spans="1:6" s="817" customFormat="1" ht="36">
      <c r="A98" s="821">
        <v>38</v>
      </c>
      <c r="B98" s="3649"/>
      <c r="C98" s="821" t="s">
        <v>691</v>
      </c>
      <c r="D98" s="757" t="s">
        <v>692</v>
      </c>
      <c r="E98" s="834">
        <v>0.2</v>
      </c>
      <c r="F98" s="821">
        <v>30</v>
      </c>
    </row>
    <row r="99" spans="1:6" s="817" customFormat="1" ht="36">
      <c r="A99" s="821">
        <v>39</v>
      </c>
      <c r="B99" s="3649" t="s">
        <v>693</v>
      </c>
      <c r="C99" s="821" t="s">
        <v>694</v>
      </c>
      <c r="D99" s="757" t="s">
        <v>695</v>
      </c>
      <c r="E99" s="834">
        <v>0.3</v>
      </c>
      <c r="F99" s="821">
        <v>50</v>
      </c>
    </row>
    <row r="100" spans="1:6" s="817" customFormat="1" ht="24">
      <c r="A100" s="821">
        <v>40</v>
      </c>
      <c r="B100" s="3649"/>
      <c r="C100" s="821" t="s">
        <v>696</v>
      </c>
      <c r="D100" s="757" t="s">
        <v>697</v>
      </c>
      <c r="E100" s="834">
        <v>0.2</v>
      </c>
      <c r="F100" s="821">
        <v>30</v>
      </c>
    </row>
    <row r="101" spans="1:6" s="817" customFormat="1" ht="36">
      <c r="A101" s="821">
        <v>41</v>
      </c>
      <c r="B101" s="364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49" t="s">
        <v>708</v>
      </c>
      <c r="C105" s="821" t="s">
        <v>709</v>
      </c>
      <c r="D105" s="757" t="s">
        <v>710</v>
      </c>
      <c r="E105" s="834">
        <v>0.2</v>
      </c>
      <c r="F105" s="821">
        <v>30</v>
      </c>
    </row>
    <row r="106" spans="1:6" s="817" customFormat="1" ht="36">
      <c r="A106" s="821">
        <v>46</v>
      </c>
      <c r="B106" s="3649"/>
      <c r="C106" s="821" t="s">
        <v>711</v>
      </c>
      <c r="D106" s="757" t="s">
        <v>712</v>
      </c>
      <c r="E106" s="834">
        <v>0.2</v>
      </c>
      <c r="F106" s="821">
        <v>30</v>
      </c>
    </row>
    <row r="107" spans="1:6" s="817" customFormat="1" ht="36">
      <c r="A107" s="821">
        <v>47</v>
      </c>
      <c r="B107" s="3649" t="s">
        <v>713</v>
      </c>
      <c r="C107" s="821" t="s">
        <v>714</v>
      </c>
      <c r="D107" s="757" t="s">
        <v>715</v>
      </c>
      <c r="E107" s="834">
        <v>0.3</v>
      </c>
      <c r="F107" s="821">
        <v>50</v>
      </c>
    </row>
    <row r="108" spans="1:6" s="817" customFormat="1" ht="36">
      <c r="A108" s="821">
        <v>48</v>
      </c>
      <c r="B108" s="364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49" t="s">
        <v>724</v>
      </c>
      <c r="C111" s="821" t="s">
        <v>725</v>
      </c>
      <c r="D111" s="757" t="s">
        <v>726</v>
      </c>
      <c r="E111" s="834">
        <v>0.2</v>
      </c>
      <c r="F111" s="821">
        <v>30</v>
      </c>
    </row>
    <row r="112" spans="1:6" s="817" customFormat="1" ht="24">
      <c r="A112" s="821">
        <v>52</v>
      </c>
      <c r="B112" s="3649"/>
      <c r="C112" s="821" t="s">
        <v>727</v>
      </c>
      <c r="D112" s="757" t="s">
        <v>728</v>
      </c>
      <c r="E112" s="834">
        <v>0.2</v>
      </c>
      <c r="F112" s="821">
        <v>30</v>
      </c>
    </row>
    <row r="113" spans="1:6" s="817" customFormat="1" ht="24">
      <c r="A113" s="821">
        <v>53</v>
      </c>
      <c r="B113" s="364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49" t="s">
        <v>737</v>
      </c>
      <c r="C116" s="821" t="s">
        <v>738</v>
      </c>
      <c r="D116" s="757" t="s">
        <v>739</v>
      </c>
      <c r="E116" s="834">
        <v>0.2</v>
      </c>
      <c r="F116" s="821">
        <v>30</v>
      </c>
    </row>
    <row r="117" spans="1:6" ht="36">
      <c r="A117" s="821">
        <v>57</v>
      </c>
      <c r="B117" s="364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12"/>
      <c r="G1" s="3012"/>
      <c r="H1" s="3012"/>
      <c r="I1" s="3012"/>
      <c r="J1" s="3012"/>
      <c r="K1" s="3012"/>
      <c r="L1" s="3012"/>
      <c r="M1" s="3012"/>
      <c r="N1" s="3012"/>
      <c r="O1" s="3012"/>
      <c r="P1" s="3012"/>
    </row>
    <row r="2" spans="1:16" ht="15.75">
      <c r="A2" s="2360" t="s">
        <v>2812</v>
      </c>
      <c r="B2" s="2816">
        <f ca="1">SUMIF(B6:B13,"&lt;&gt;#ref!",B6:B13)</f>
        <v>90</v>
      </c>
      <c r="C2" s="2360" t="s">
        <v>2813</v>
      </c>
      <c r="D2" s="2360" t="s">
        <v>2814</v>
      </c>
      <c r="E2" s="2826">
        <f ca="1">SUMIF(E6:E13,"&lt;&gt;#ref!",E6:E13)</f>
        <v>131.88</v>
      </c>
      <c r="F2" s="3012"/>
      <c r="G2" s="3012"/>
      <c r="H2" s="3012"/>
      <c r="I2" s="3012"/>
      <c r="J2" s="3012"/>
      <c r="K2" s="3012"/>
      <c r="L2" s="3012"/>
      <c r="M2" s="3012"/>
      <c r="N2" s="3012"/>
      <c r="O2" s="3012"/>
      <c r="P2" s="3012"/>
    </row>
    <row r="3" spans="1:16" ht="15.75">
      <c r="A3" s="2360" t="s">
        <v>2815</v>
      </c>
      <c r="B3" s="2816">
        <f ca="1">ROUND(B2*10000/E2,0)</f>
        <v>6824</v>
      </c>
      <c r="C3" s="2360"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1"/>
      <c r="D5" s="3012"/>
      <c r="E5" s="2825" t="s">
        <v>2818</v>
      </c>
      <c r="F5" s="3012"/>
      <c r="G5" s="3012"/>
      <c r="H5" s="3012"/>
      <c r="I5" s="3012"/>
      <c r="J5" s="3012"/>
      <c r="K5" s="3012"/>
      <c r="L5" s="3012"/>
      <c r="M5" s="3012"/>
      <c r="N5" s="3012"/>
      <c r="O5" s="3012"/>
      <c r="P5" s="3012"/>
    </row>
    <row r="6" spans="1:16" ht="15.75">
      <c r="A6" s="2823" t="s">
        <v>2819</v>
      </c>
      <c r="B6" s="2816">
        <f ca="1">SUMIF(INDIRECT("'"&amp;A6&amp;"'"&amp;"!A:A"),"总价",INDIRECT("'"&amp;A6&amp;"'"&amp;"!B:B"))</f>
        <v>90</v>
      </c>
      <c r="C6" s="2360" t="s">
        <v>2813</v>
      </c>
      <c r="D6" s="3012"/>
      <c r="E6" s="2826">
        <f ca="1">SUMIF(INDIRECT("'"&amp;A6&amp;"'"&amp;"!C:C"),"建筑面积",INDIRECT("'"&amp;A6&amp;"'"&amp;"!D:D"))</f>
        <v>131.88</v>
      </c>
      <c r="F6" s="3012"/>
      <c r="G6" s="3012"/>
      <c r="H6" s="3012"/>
      <c r="I6" s="3012"/>
      <c r="J6" s="3012"/>
      <c r="K6" s="3012"/>
      <c r="L6" s="3012"/>
      <c r="M6" s="3012"/>
      <c r="N6" s="3012"/>
      <c r="O6" s="3012"/>
      <c r="P6" s="3012"/>
    </row>
    <row r="7" spans="1:16" ht="15.75">
      <c r="A7" s="2823"/>
      <c r="B7" s="2816" t="e">
        <f ca="1">SUMIF(INDIRECT("'"&amp;A7&amp;"'"&amp;"!A:A"),"总价",INDIRECT("'"&amp;A7&amp;"'"&amp;"!B:B"))</f>
        <v>#REF!</v>
      </c>
      <c r="C7" s="2360"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0"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0"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0"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0"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0"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0"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tabColor rgb="FF92D050"/>
    <pageSetUpPr fitToPage="1"/>
  </sheetPr>
  <dimension ref="A1:H57"/>
  <sheetViews>
    <sheetView view="pageBreakPreview" topLeftCell="B39" zoomScale="90" zoomScaleNormal="70" zoomScaleSheetLayoutView="90" workbookViewId="0">
      <selection activeCell="C44" sqref="C4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t="s">
        <v>3536</v>
      </c>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162</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12284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858642</v>
      </c>
      <c r="D5" s="217" t="s">
        <v>2154</v>
      </c>
      <c r="E5" s="218" t="s">
        <v>2155</v>
      </c>
      <c r="F5" s="218" t="s">
        <v>2156</v>
      </c>
      <c r="G5" s="219"/>
    </row>
    <row r="6" spans="1:8" s="220" customFormat="1" ht="13.5" customHeight="1">
      <c r="A6" s="886" t="s">
        <v>2157</v>
      </c>
      <c r="B6" s="221" t="s">
        <v>2158</v>
      </c>
      <c r="C6" s="222">
        <f>ROUND([1]基准地价修正!$C$41*[1]基准地价修正!$D$41,0)</f>
        <v>807633</v>
      </c>
      <c r="D6" s="223"/>
      <c r="E6" s="224"/>
      <c r="F6" s="224"/>
      <c r="G6" s="225"/>
    </row>
    <row r="7" spans="1:8" s="220" customFormat="1" ht="13.5" customHeight="1">
      <c r="A7" s="886" t="s">
        <v>2159</v>
      </c>
      <c r="B7" s="221" t="s">
        <v>2160</v>
      </c>
      <c r="C7" s="226">
        <f>ROUND(C6*F7,0)</f>
        <v>24633</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26376</v>
      </c>
      <c r="D8" s="228"/>
      <c r="E8" s="226"/>
      <c r="F8" s="227"/>
      <c r="G8" s="2041" t="s">
        <v>3315</v>
      </c>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26376</v>
      </c>
      <c r="D10" s="954">
        <f ca="1">IF(B1="",'数据-汇总表'!E6,IF(INDIRECT("'数据-取费表'!c"&amp;$G$1)="住宅",INDIRECT("'数据-取费表'!s"&amp;$G$1),INDIRECT("'数据-取费表'!k"&amp;$G$1)+INDIRECT("'数据-取费表'!s"&amp;$G$1)))</f>
        <v>131.88</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t="str">
        <f>IF(G19="已包含在土地取得成本中","0",ROUND(D19*E19,0))</f>
        <v>0</v>
      </c>
      <c r="D19" s="958">
        <f ca="1">D9+D10</f>
        <v>131.88</v>
      </c>
      <c r="E19" s="217">
        <f>'数据-取费表'!B31</f>
        <v>200</v>
      </c>
      <c r="F19" s="237"/>
      <c r="G19" s="2041" t="s">
        <v>3317</v>
      </c>
    </row>
    <row r="20" spans="1:7" s="220" customFormat="1" ht="13.5" customHeight="1">
      <c r="A20" s="261" t="s">
        <v>2259</v>
      </c>
      <c r="B20" s="216" t="s">
        <v>2260</v>
      </c>
      <c r="C20" s="238">
        <f ca="1">ROUND((C5+C19)*F20,0)</f>
        <v>8586</v>
      </c>
      <c r="D20" s="238"/>
      <c r="E20" s="238"/>
      <c r="F20" s="3260">
        <v>0.01</v>
      </c>
      <c r="G20" s="240" t="s">
        <v>2261</v>
      </c>
    </row>
    <row r="21" spans="1:7" s="220" customFormat="1" ht="13.5" customHeight="1">
      <c r="A21" s="261" t="s">
        <v>2262</v>
      </c>
      <c r="B21" s="216" t="s">
        <v>2263</v>
      </c>
      <c r="C21" s="241">
        <f>F21</f>
        <v>0.01</v>
      </c>
      <c r="D21" s="242" t="s">
        <v>2264</v>
      </c>
      <c r="E21" s="238"/>
      <c r="F21" s="3260">
        <v>0.01</v>
      </c>
      <c r="G21" s="240" t="s">
        <v>2265</v>
      </c>
    </row>
    <row r="22" spans="1:7" s="220" customFormat="1" ht="13.5" customHeight="1">
      <c r="A22" s="261" t="s">
        <v>2266</v>
      </c>
      <c r="B22" s="216" t="s">
        <v>2267</v>
      </c>
      <c r="C22" s="1289">
        <f ca="1">ROUND(SUM(C23:C25),0)</f>
        <v>83916</v>
      </c>
      <c r="D22" s="241">
        <f ca="1">C26</f>
        <v>5.0000000000000001E-4</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83508</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0</v>
      </c>
      <c r="D24" s="244"/>
      <c r="E24" s="244"/>
      <c r="F24" s="245"/>
      <c r="G24" s="246" t="s">
        <v>2271</v>
      </c>
    </row>
    <row r="25" spans="1:7" s="220" customFormat="1" ht="24">
      <c r="A25" s="888" t="s">
        <v>2161</v>
      </c>
      <c r="B25" s="221" t="s">
        <v>2272</v>
      </c>
      <c r="C25" s="1290">
        <f ca="1">ROUND(IF('数据-取费表'!B22&lt;=1,C20*F22*'数据-取费表'!B22/2,C20*(POWER((1+F22),'数据-取费表'!B22/2)-1)),0)</f>
        <v>408</v>
      </c>
      <c r="D25" s="244"/>
      <c r="E25" s="247"/>
      <c r="F25" s="245"/>
      <c r="G25" s="248" t="s">
        <v>2273</v>
      </c>
    </row>
    <row r="26" spans="1:7" s="220" customFormat="1">
      <c r="A26" s="888" t="s">
        <v>795</v>
      </c>
      <c r="B26" s="221" t="s">
        <v>2196</v>
      </c>
      <c r="C26" s="244">
        <f ca="1">ROUND(IF('数据-取费表'!B22&lt;=1,F21*F22*'数据-取费表'!B22/2,F21*(POWER((1+F22),'数据-取费表'!B22/2)-1)),4)</f>
        <v>5.0000000000000001E-4</v>
      </c>
      <c r="D26" s="244"/>
      <c r="E26" s="247"/>
      <c r="F26" s="245"/>
      <c r="G26" s="249"/>
    </row>
    <row r="27" spans="1:7" s="220" customFormat="1" ht="24.75">
      <c r="A27" s="261" t="s">
        <v>2197</v>
      </c>
      <c r="B27" s="250" t="s">
        <v>2198</v>
      </c>
      <c r="C27" s="251">
        <f ca="1">C28</f>
        <v>86723</v>
      </c>
      <c r="D27" s="241">
        <f ca="1">C29</f>
        <v>1E-3</v>
      </c>
      <c r="E27" s="242" t="s">
        <v>2199</v>
      </c>
      <c r="F27" s="252">
        <f ca="1">IF(B1="",'数据-取费表'!Q16,INDIRECT("'数据-取费表'!q"&amp;$G$1))</f>
        <v>0.1</v>
      </c>
      <c r="G27" s="253" t="s">
        <v>2200</v>
      </c>
    </row>
    <row r="28" spans="1:7" s="220" customFormat="1" ht="13.5" customHeight="1">
      <c r="A28" s="888" t="s">
        <v>791</v>
      </c>
      <c r="B28" s="254" t="s">
        <v>2201</v>
      </c>
      <c r="C28" s="255">
        <f ca="1">ROUND((C5+C19+C20)*F27,0)</f>
        <v>86723</v>
      </c>
      <c r="D28" s="241"/>
      <c r="E28" s="242"/>
      <c r="F28" s="252"/>
      <c r="G28" s="253"/>
    </row>
    <row r="29" spans="1:7" s="220" customFormat="1" ht="13.5" customHeight="1">
      <c r="A29" s="888" t="s">
        <v>792</v>
      </c>
      <c r="B29" s="254" t="s">
        <v>2202</v>
      </c>
      <c r="C29" s="244">
        <f ca="1">ROUND(C21*F27,4)</f>
        <v>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1109781</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513343</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461580</v>
      </c>
      <c r="D34" s="223"/>
      <c r="E34" s="226"/>
      <c r="F34" s="263"/>
      <c r="G34" s="225"/>
    </row>
    <row r="35" spans="1:7" ht="13.5" customHeight="1">
      <c r="A35" s="888" t="s">
        <v>796</v>
      </c>
      <c r="B35" s="221" t="s">
        <v>2212</v>
      </c>
      <c r="C35" s="226">
        <f ca="1">ROUND(C34*F35,0)</f>
        <v>18463</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26376</v>
      </c>
      <c r="D37" s="223">
        <f ca="1">D19</f>
        <v>131.88</v>
      </c>
      <c r="E37" s="255">
        <f>'数据-取费表'!B35</f>
        <v>200</v>
      </c>
      <c r="F37" s="265"/>
      <c r="G37" s="267"/>
    </row>
    <row r="38" spans="1:7" ht="13.5" customHeight="1">
      <c r="A38" s="888" t="s">
        <v>799</v>
      </c>
      <c r="B38" s="221" t="s">
        <v>2218</v>
      </c>
      <c r="C38" s="226">
        <f ca="1">ROUND(C34*F38,0)</f>
        <v>6924</v>
      </c>
      <c r="D38" s="226"/>
      <c r="E38" s="226"/>
      <c r="F38" s="265">
        <f>'数据-取费表'!B36</f>
        <v>1.4999999999999999E-2</v>
      </c>
      <c r="G38" s="225" t="s">
        <v>2213</v>
      </c>
    </row>
    <row r="39" spans="1:7" s="220" customFormat="1" ht="13.5" customHeight="1">
      <c r="A39" s="261" t="s">
        <v>2219</v>
      </c>
      <c r="B39" s="216" t="s">
        <v>2220</v>
      </c>
      <c r="C39" s="238">
        <f ca="1">ROUND(C33*F20,0)</f>
        <v>5133</v>
      </c>
      <c r="D39" s="238"/>
      <c r="E39" s="238"/>
      <c r="F39" s="2525">
        <f>F20</f>
        <v>0.01</v>
      </c>
      <c r="G39" s="240" t="s">
        <v>2221</v>
      </c>
    </row>
    <row r="40" spans="1:7" s="220" customFormat="1" ht="13.5" customHeight="1">
      <c r="A40" s="261" t="s">
        <v>2222</v>
      </c>
      <c r="B40" s="216" t="s">
        <v>2223</v>
      </c>
      <c r="C40" s="1495">
        <f>F21</f>
        <v>0.01</v>
      </c>
      <c r="D40" s="242" t="s">
        <v>2224</v>
      </c>
      <c r="E40" s="238"/>
      <c r="F40" s="2525">
        <f>F21</f>
        <v>0.01</v>
      </c>
      <c r="G40" s="240" t="s">
        <v>2225</v>
      </c>
    </row>
    <row r="41" spans="1:7" s="220" customFormat="1" ht="13.5" customHeight="1">
      <c r="A41" s="261" t="s">
        <v>2226</v>
      </c>
      <c r="B41" s="216" t="s">
        <v>2227</v>
      </c>
      <c r="C41" s="238">
        <f ca="1">ROUND(SUM(C42:C43),0)</f>
        <v>24628</v>
      </c>
      <c r="D41" s="241">
        <f ca="1">C44</f>
        <v>5.0000000000000001E-4</v>
      </c>
      <c r="E41" s="242" t="s">
        <v>2224</v>
      </c>
      <c r="F41" s="252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24384</v>
      </c>
      <c r="D42" s="244"/>
      <c r="E42" s="244"/>
      <c r="F42" s="245"/>
      <c r="G42" s="3612" t="s">
        <v>2276</v>
      </c>
    </row>
    <row r="43" spans="1:7" ht="13.5" customHeight="1">
      <c r="A43" s="888" t="s">
        <v>792</v>
      </c>
      <c r="B43" s="221" t="s">
        <v>2230</v>
      </c>
      <c r="C43" s="244">
        <f ca="1">ROUND(IF('数据-取费表'!B22&lt;=1,C39*F22*'数据-取费表'!B20/2,C39*(POWER((1+F22),'数据-取费表'!B20/2)-1)),0)</f>
        <v>244</v>
      </c>
      <c r="D43" s="244"/>
      <c r="E43" s="244"/>
      <c r="F43" s="245"/>
      <c r="G43" s="3613"/>
    </row>
    <row r="44" spans="1:7" ht="13.5" customHeight="1">
      <c r="A44" s="888" t="s">
        <v>793</v>
      </c>
      <c r="B44" s="221" t="s">
        <v>2231</v>
      </c>
      <c r="C44" s="244">
        <f ca="1">ROUND(IF('数据-取费表'!B22&lt;=1,C40*F22*'数据-取费表'!B20/2,C40*(POWER((1+F22),'数据-取费表'!B20/2)-1)),4)</f>
        <v>5.0000000000000001E-4</v>
      </c>
      <c r="D44" s="244"/>
      <c r="E44" s="244"/>
      <c r="F44" s="245"/>
      <c r="G44" s="3614"/>
    </row>
    <row r="45" spans="1:7" s="220" customFormat="1" ht="13.5" customHeight="1">
      <c r="A45" s="261" t="s">
        <v>2232</v>
      </c>
      <c r="B45" s="250" t="s">
        <v>2198</v>
      </c>
      <c r="C45" s="251">
        <f ca="1">C46</f>
        <v>51848</v>
      </c>
      <c r="D45" s="241">
        <f ca="1">C47</f>
        <v>1E-3</v>
      </c>
      <c r="E45" s="242" t="s">
        <v>2224</v>
      </c>
      <c r="F45" s="2527">
        <f ca="1">F27</f>
        <v>0.1</v>
      </c>
      <c r="G45" s="253" t="s">
        <v>2233</v>
      </c>
    </row>
    <row r="46" spans="1:7" s="220" customFormat="1" ht="13.5" customHeight="1">
      <c r="A46" s="888" t="s">
        <v>791</v>
      </c>
      <c r="B46" s="254" t="s">
        <v>2234</v>
      </c>
      <c r="C46" s="255">
        <f ca="1">ROUND((C33+C39)*F27,0)</f>
        <v>51848</v>
      </c>
      <c r="D46" s="269"/>
      <c r="E46" s="242"/>
      <c r="F46" s="252"/>
      <c r="G46" s="253"/>
    </row>
    <row r="47" spans="1:7" s="220" customFormat="1" ht="13.5" customHeight="1">
      <c r="A47" s="888" t="s">
        <v>792</v>
      </c>
      <c r="B47" s="254" t="s">
        <v>2235</v>
      </c>
      <c r="C47" s="244">
        <f ca="1">ROUND(C40*F27,4)</f>
        <v>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636176</v>
      </c>
      <c r="D49" s="238"/>
      <c r="E49" s="238"/>
      <c r="F49" s="270"/>
      <c r="G49" s="240" t="s">
        <v>2239</v>
      </c>
    </row>
    <row r="50" spans="1:7" s="264" customFormat="1">
      <c r="A50" s="261" t="s">
        <v>2240</v>
      </c>
      <c r="B50" s="216" t="s">
        <v>2241</v>
      </c>
      <c r="C50" s="238"/>
      <c r="D50" s="238"/>
      <c r="E50" s="238"/>
      <c r="F50" s="3261">
        <v>0.8</v>
      </c>
      <c r="G50" s="253"/>
    </row>
    <row r="51" spans="1:7" ht="16.5" customHeight="1">
      <c r="A51" s="261" t="s">
        <v>2243</v>
      </c>
      <c r="B51" s="216" t="s">
        <v>2278</v>
      </c>
      <c r="C51" s="238">
        <f ca="1">ROUND(C49*F50,0)</f>
        <v>508941</v>
      </c>
      <c r="D51" s="238"/>
      <c r="E51" s="238"/>
      <c r="F51" s="270"/>
      <c r="G51" s="240" t="s">
        <v>2245</v>
      </c>
    </row>
    <row r="52" spans="1:7" s="214" customFormat="1" ht="16.5" thickBot="1">
      <c r="A52" s="271" t="s">
        <v>2246</v>
      </c>
      <c r="B52" s="272"/>
      <c r="C52" s="273">
        <f ca="1">C31+C51</f>
        <v>1618722</v>
      </c>
      <c r="D52" s="272"/>
      <c r="E52" s="272"/>
      <c r="F52" s="272"/>
      <c r="G52" s="274"/>
    </row>
    <row r="53" spans="1:7">
      <c r="C53" s="257">
        <f ca="1">C52/131.88</f>
        <v>12274.203821656052</v>
      </c>
    </row>
    <row r="55" spans="1:7" ht="15">
      <c r="B55" s="276" t="s">
        <v>2247</v>
      </c>
      <c r="C55" s="277"/>
    </row>
    <row r="56" spans="1:7">
      <c r="B56" s="279" t="s">
        <v>1477</v>
      </c>
      <c r="C56" s="281">
        <f ca="1">1-C57</f>
        <v>0.68599999999999994</v>
      </c>
    </row>
    <row r="57" spans="1:7">
      <c r="B57" s="279" t="s">
        <v>1478</v>
      </c>
      <c r="C57" s="280">
        <f ca="1">ROUND(C51/C52,3)</f>
        <v>0.314</v>
      </c>
    </row>
  </sheetData>
  <sheetProtection formatCells="0"/>
  <mergeCells count="1">
    <mergeCell ref="G42:G44"/>
  </mergeCells>
  <phoneticPr fontId="140" type="noConversion"/>
  <dataValidations count="5">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2" xr:uid="{00000000-0002-0000-2B00-000003000000}">
      <formula1>估价方法</formula1>
    </dataValidation>
    <dataValidation type="list" allowBlank="1" showInputMessage="1" showErrorMessage="1" sqref="D2" xr:uid="{00000000-0002-0000-2B00-000004000000}">
      <formula1>"需扣减承租人权益,——"</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D241"/>
  <sheetViews>
    <sheetView view="pageBreakPreview" zoomScale="80" zoomScaleNormal="70" zoomScaleSheetLayoutView="80" workbookViewId="0">
      <selection activeCell="D51" sqref="D5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3203</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20" t="s">
        <v>2466</v>
      </c>
      <c r="D4" s="3521"/>
      <c r="E4" s="3522" t="s">
        <v>2467</v>
      </c>
      <c r="F4" s="3523"/>
      <c r="G4" s="3520" t="s">
        <v>2468</v>
      </c>
      <c r="H4" s="3521"/>
      <c r="I4" s="3520" t="s">
        <v>2469</v>
      </c>
      <c r="J4" s="3521"/>
      <c r="K4" s="567" t="s">
        <v>2470</v>
      </c>
      <c r="L4" s="2932"/>
      <c r="M4" s="2933"/>
      <c r="N4" s="2933"/>
      <c r="O4" s="2933"/>
      <c r="P4" s="3524" t="s">
        <v>2471</v>
      </c>
      <c r="Q4" s="3525"/>
      <c r="R4" s="3530" t="s">
        <v>2467</v>
      </c>
      <c r="S4" s="3531"/>
      <c r="T4" s="3530" t="s">
        <v>2468</v>
      </c>
      <c r="U4" s="3531"/>
      <c r="V4" s="3544" t="s">
        <v>2469</v>
      </c>
      <c r="W4" s="3544"/>
      <c r="X4" s="1539"/>
      <c r="Y4" s="3530" t="s">
        <v>2471</v>
      </c>
      <c r="Z4" s="3531"/>
      <c r="AA4" s="3517" t="s">
        <v>2467</v>
      </c>
      <c r="AB4" s="3518" t="s">
        <v>2468</v>
      </c>
      <c r="AC4" s="3517" t="s">
        <v>2469</v>
      </c>
    </row>
    <row r="5" spans="1:29" ht="15">
      <c r="A5" s="364"/>
      <c r="B5" s="365"/>
      <c r="C5" s="3592" t="s">
        <v>2362</v>
      </c>
      <c r="D5" s="3535"/>
      <c r="E5" s="3536" t="s">
        <v>3538</v>
      </c>
      <c r="F5" s="3537"/>
      <c r="G5" s="3534" t="s">
        <v>3539</v>
      </c>
      <c r="H5" s="3535"/>
      <c r="I5" s="3534" t="s">
        <v>3539</v>
      </c>
      <c r="J5" s="3535"/>
      <c r="K5" s="567"/>
      <c r="L5" s="2932"/>
      <c r="M5" s="2933"/>
      <c r="N5" s="2933"/>
      <c r="O5" s="2933"/>
      <c r="P5" s="3526"/>
      <c r="Q5" s="3527"/>
      <c r="R5" s="3532"/>
      <c r="S5" s="3533"/>
      <c r="T5" s="3532"/>
      <c r="U5" s="3533"/>
      <c r="V5" s="3544"/>
      <c r="W5" s="3544"/>
      <c r="X5" s="1539"/>
      <c r="Y5" s="3532"/>
      <c r="Z5" s="3533"/>
      <c r="AA5" s="3518"/>
      <c r="AB5" s="3518"/>
      <c r="AC5" s="3518"/>
    </row>
    <row r="6" spans="1:29" ht="15.75" thickBot="1">
      <c r="A6" s="366"/>
      <c r="B6" s="367"/>
      <c r="C6" s="3538" t="s">
        <v>2366</v>
      </c>
      <c r="D6" s="3539"/>
      <c r="E6" s="3540" t="s">
        <v>2366</v>
      </c>
      <c r="F6" s="3541"/>
      <c r="G6" s="3538" t="s">
        <v>2366</v>
      </c>
      <c r="H6" s="3539"/>
      <c r="I6" s="3538" t="s">
        <v>2366</v>
      </c>
      <c r="J6" s="3539"/>
      <c r="K6" s="567" t="s">
        <v>2367</v>
      </c>
      <c r="L6" s="2932"/>
      <c r="M6" s="2933"/>
      <c r="N6" s="2933"/>
      <c r="O6" s="2933"/>
      <c r="P6" s="3528"/>
      <c r="Q6" s="3529"/>
      <c r="R6" s="3532"/>
      <c r="S6" s="3533"/>
      <c r="T6" s="3542"/>
      <c r="U6" s="3543"/>
      <c r="V6" s="3544"/>
      <c r="W6" s="3544"/>
      <c r="X6" s="1539"/>
      <c r="Y6" s="3542"/>
      <c r="Z6" s="3543"/>
      <c r="AA6" s="3519"/>
      <c r="AB6" s="3519"/>
      <c r="AC6" s="3519"/>
    </row>
    <row r="7" spans="1:29" s="113" customFormat="1" ht="15.75" thickBot="1">
      <c r="A7" s="368" t="s">
        <v>2368</v>
      </c>
      <c r="B7" s="369"/>
      <c r="C7" s="370">
        <f>'数据-取费表'!B2</f>
        <v>44775</v>
      </c>
      <c r="D7" s="371">
        <v>100</v>
      </c>
      <c r="E7" s="372">
        <f>C7</f>
        <v>44775</v>
      </c>
      <c r="F7" s="373">
        <f>SUMIF(46:46,YEAR(E7)&amp;"-"&amp;MONTH(E7),47:47)</f>
        <v>100</v>
      </c>
      <c r="G7" s="2159">
        <f>C7</f>
        <v>44775</v>
      </c>
      <c r="H7" s="371">
        <f>SUMIF(46:46,YEAR(G7)&amp;"-"&amp;MONTH(G7),47:47)</f>
        <v>100</v>
      </c>
      <c r="I7" s="372">
        <f>C7</f>
        <v>44775</v>
      </c>
      <c r="J7" s="371">
        <f>SUMIF(46:46,YEAR(I7)&amp;"-"&amp;MONTH(I7),47:47)</f>
        <v>100</v>
      </c>
      <c r="K7" s="568"/>
      <c r="L7" s="2934"/>
      <c r="M7" s="2935"/>
      <c r="N7" s="2935"/>
      <c r="O7" s="2935"/>
      <c r="P7" s="3545" t="s">
        <v>2369</v>
      </c>
      <c r="Q7" s="3546"/>
      <c r="R7" s="710" t="s">
        <v>17</v>
      </c>
      <c r="S7" s="711">
        <f t="shared" ref="S7:S14" si="0">F7</f>
        <v>100</v>
      </c>
      <c r="T7" s="710" t="s">
        <v>17</v>
      </c>
      <c r="U7" s="711">
        <f t="shared" ref="U7:U14" si="1">H7</f>
        <v>100</v>
      </c>
      <c r="V7" s="710" t="s">
        <v>17</v>
      </c>
      <c r="W7" s="711">
        <f t="shared" ref="W7:W14" si="2">J7</f>
        <v>100</v>
      </c>
      <c r="X7" s="712"/>
      <c r="Y7" s="3545" t="s">
        <v>2369</v>
      </c>
      <c r="Z7" s="3547"/>
      <c r="AA7" s="713">
        <f>D7/F7</f>
        <v>1</v>
      </c>
      <c r="AB7" s="713">
        <f>D7/H7</f>
        <v>1</v>
      </c>
      <c r="AC7" s="713">
        <f>D7/J7</f>
        <v>1</v>
      </c>
    </row>
    <row r="8" spans="1:29" s="113" customFormat="1" ht="15.75" thickBot="1">
      <c r="A8" s="368" t="s">
        <v>2370</v>
      </c>
      <c r="B8" s="369"/>
      <c r="C8" s="374" t="s">
        <v>2472</v>
      </c>
      <c r="D8" s="371">
        <v>100</v>
      </c>
      <c r="E8" s="374" t="s">
        <v>3540</v>
      </c>
      <c r="F8" s="373">
        <f>SUMIF(49:49,E8,50:50)-SUMIF(49:49,C8,50:50)+100</f>
        <v>102</v>
      </c>
      <c r="G8" s="374" t="s">
        <v>3540</v>
      </c>
      <c r="H8" s="371">
        <f>SUMIF(49:49,G8,50:50)-SUMIF(49:49,C8,50:50)+100</f>
        <v>102</v>
      </c>
      <c r="I8" s="374" t="s">
        <v>3540</v>
      </c>
      <c r="J8" s="371">
        <f>SUMIF(49:49,I8,50:50)-SUMIF(49:49,C8,50:50)+100</f>
        <v>102</v>
      </c>
      <c r="K8" s="568"/>
      <c r="L8" s="2934"/>
      <c r="M8" s="2935"/>
      <c r="N8" s="2935"/>
      <c r="O8" s="2935"/>
      <c r="P8" s="3545" t="s">
        <v>2372</v>
      </c>
      <c r="Q8" s="3547"/>
      <c r="R8" s="710" t="s">
        <v>17</v>
      </c>
      <c r="S8" s="711">
        <f t="shared" si="0"/>
        <v>102</v>
      </c>
      <c r="T8" s="710" t="s">
        <v>17</v>
      </c>
      <c r="U8" s="711">
        <f t="shared" si="1"/>
        <v>102</v>
      </c>
      <c r="V8" s="710" t="s">
        <v>17</v>
      </c>
      <c r="W8" s="711">
        <f t="shared" si="2"/>
        <v>102</v>
      </c>
      <c r="X8" s="712"/>
      <c r="Y8" s="3545" t="s">
        <v>2372</v>
      </c>
      <c r="Z8" s="3547"/>
      <c r="AA8" s="713">
        <f t="shared" ref="AA8:AA34" si="3">D8/F8</f>
        <v>0.98039215686274506</v>
      </c>
      <c r="AB8" s="713">
        <f t="shared" ref="AB8:AB34" si="4">D8/H8</f>
        <v>0.98039215686274506</v>
      </c>
      <c r="AC8" s="713">
        <f t="shared" ref="AC8:AC34" si="5">D8/J8</f>
        <v>0.98039215686274506</v>
      </c>
    </row>
    <row r="9" spans="1:29" s="113" customFormat="1" ht="15" thickBot="1">
      <c r="A9" s="375" t="s">
        <v>2373</v>
      </c>
      <c r="B9" s="67" t="s">
        <v>2374</v>
      </c>
      <c r="C9" s="3127" t="s">
        <v>3537</v>
      </c>
      <c r="D9" s="131">
        <v>100</v>
      </c>
      <c r="E9" s="379" t="s">
        <v>3536</v>
      </c>
      <c r="F9" s="378">
        <f>SUMIF(51:51,E9,52:52)-SUMIF(51:51,C9,52:52)+100</f>
        <v>100</v>
      </c>
      <c r="G9" s="379" t="s">
        <v>3536</v>
      </c>
      <c r="H9" s="131">
        <f>SUMIF(51:51,G9,52:52)-SUMIF(51:51,C9,52:52)+100</f>
        <v>100</v>
      </c>
      <c r="I9" s="379" t="s">
        <v>3536</v>
      </c>
      <c r="J9" s="131">
        <f>SUMIF(51:51,I9,52:52)-SUMIF(51:51,C9,52:52)+100</f>
        <v>100</v>
      </c>
      <c r="K9" s="568"/>
      <c r="L9" s="2934"/>
      <c r="M9" s="2935"/>
      <c r="N9" s="2935"/>
      <c r="O9" s="2989"/>
      <c r="P9" s="3558" t="s">
        <v>2375</v>
      </c>
      <c r="Q9" s="1527" t="str">
        <f t="shared" ref="Q9:Q14" si="6">B9</f>
        <v>用途</v>
      </c>
      <c r="R9" s="710" t="s">
        <v>17</v>
      </c>
      <c r="S9" s="711">
        <f t="shared" si="0"/>
        <v>100</v>
      </c>
      <c r="T9" s="710" t="s">
        <v>17</v>
      </c>
      <c r="U9" s="711">
        <f t="shared" si="1"/>
        <v>100</v>
      </c>
      <c r="V9" s="710" t="s">
        <v>17</v>
      </c>
      <c r="W9" s="711">
        <f t="shared" si="2"/>
        <v>100</v>
      </c>
      <c r="X9" s="712"/>
      <c r="Y9" s="3427" t="s">
        <v>2376</v>
      </c>
      <c r="Z9" s="55" t="str">
        <f t="shared" ref="Z9:Z14" si="7">Q9</f>
        <v>用途</v>
      </c>
      <c r="AA9" s="713">
        <f t="shared" si="3"/>
        <v>1</v>
      </c>
      <c r="AB9" s="713">
        <f t="shared" si="4"/>
        <v>1</v>
      </c>
      <c r="AC9" s="713">
        <f t="shared" si="5"/>
        <v>1</v>
      </c>
    </row>
    <row r="10" spans="1:29" s="386" customFormat="1" ht="27" hidden="1">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558"/>
      <c r="Q10" s="1527" t="str">
        <f t="shared" si="6"/>
        <v>土地使用年限（年）</v>
      </c>
      <c r="R10" s="710" t="s">
        <v>17</v>
      </c>
      <c r="S10" s="711">
        <f t="shared" si="0"/>
        <v>100</v>
      </c>
      <c r="T10" s="710" t="s">
        <v>17</v>
      </c>
      <c r="U10" s="711">
        <f t="shared" si="1"/>
        <v>100</v>
      </c>
      <c r="V10" s="710" t="s">
        <v>17</v>
      </c>
      <c r="W10" s="711">
        <f t="shared" si="2"/>
        <v>100</v>
      </c>
      <c r="X10" s="712"/>
      <c r="Y10" s="3427"/>
      <c r="Z10" s="55" t="str">
        <f t="shared" si="7"/>
        <v>土地使用年限（年）</v>
      </c>
      <c r="AA10" s="713">
        <f t="shared" si="3"/>
        <v>1</v>
      </c>
      <c r="AB10" s="713">
        <f t="shared" si="4"/>
        <v>1</v>
      </c>
      <c r="AC10" s="713">
        <f t="shared" si="5"/>
        <v>1</v>
      </c>
    </row>
    <row r="11" spans="1:29" ht="15" hidden="1">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558"/>
      <c r="Q11" s="1527">
        <f t="shared" si="6"/>
        <v>111</v>
      </c>
      <c r="R11" s="710" t="s">
        <v>17</v>
      </c>
      <c r="S11" s="711">
        <f t="shared" si="0"/>
        <v>100</v>
      </c>
      <c r="T11" s="710" t="s">
        <v>17</v>
      </c>
      <c r="U11" s="711">
        <f t="shared" si="1"/>
        <v>100</v>
      </c>
      <c r="V11" s="710" t="s">
        <v>17</v>
      </c>
      <c r="W11" s="711">
        <f t="shared" si="2"/>
        <v>100</v>
      </c>
      <c r="X11" s="712"/>
      <c r="Y11" s="3427"/>
      <c r="Z11" s="55">
        <f t="shared" si="7"/>
        <v>111</v>
      </c>
      <c r="AA11" s="713">
        <f t="shared" si="3"/>
        <v>1</v>
      </c>
      <c r="AB11" s="713">
        <f t="shared" si="4"/>
        <v>1</v>
      </c>
      <c r="AC11" s="713">
        <f t="shared" si="5"/>
        <v>1</v>
      </c>
    </row>
    <row r="12" spans="1:29" s="113" customFormat="1" ht="15" hidden="1">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558"/>
      <c r="Q12" s="1527">
        <f t="shared" si="6"/>
        <v>111</v>
      </c>
      <c r="R12" s="710" t="s">
        <v>17</v>
      </c>
      <c r="S12" s="711">
        <f t="shared" si="0"/>
        <v>100</v>
      </c>
      <c r="T12" s="710" t="s">
        <v>17</v>
      </c>
      <c r="U12" s="711">
        <f t="shared" si="1"/>
        <v>100</v>
      </c>
      <c r="V12" s="710" t="s">
        <v>17</v>
      </c>
      <c r="W12" s="711">
        <f t="shared" si="2"/>
        <v>100</v>
      </c>
      <c r="X12" s="712"/>
      <c r="Y12" s="3427"/>
      <c r="Z12" s="55">
        <f t="shared" si="7"/>
        <v>111</v>
      </c>
      <c r="AA12" s="713">
        <f>D12/F12</f>
        <v>1</v>
      </c>
      <c r="AB12" s="713">
        <f>D12/H12</f>
        <v>1</v>
      </c>
      <c r="AC12" s="713">
        <f>D12/J12</f>
        <v>1</v>
      </c>
    </row>
    <row r="13" spans="1:29" ht="15.75" hidden="1"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9"/>
      <c r="M13" s="2933"/>
      <c r="N13" s="2933"/>
      <c r="O13" s="2991"/>
      <c r="P13" s="3558"/>
      <c r="Q13" s="1527">
        <f t="shared" si="6"/>
        <v>111</v>
      </c>
      <c r="R13" s="710" t="s">
        <v>17</v>
      </c>
      <c r="S13" s="711">
        <f t="shared" si="0"/>
        <v>100</v>
      </c>
      <c r="T13" s="710" t="s">
        <v>17</v>
      </c>
      <c r="U13" s="711">
        <f t="shared" si="1"/>
        <v>100</v>
      </c>
      <c r="V13" s="710" t="s">
        <v>17</v>
      </c>
      <c r="W13" s="711">
        <f t="shared" si="2"/>
        <v>100</v>
      </c>
      <c r="X13" s="712"/>
      <c r="Y13" s="3427"/>
      <c r="Z13" s="55">
        <f t="shared" si="7"/>
        <v>111</v>
      </c>
      <c r="AA13" s="713">
        <f t="shared" si="3"/>
        <v>1</v>
      </c>
      <c r="AB13" s="713">
        <f t="shared" si="4"/>
        <v>1</v>
      </c>
      <c r="AC13" s="713">
        <f t="shared" si="5"/>
        <v>1</v>
      </c>
    </row>
    <row r="14" spans="1:29" ht="33" customHeight="1">
      <c r="A14" s="399" t="s">
        <v>2379</v>
      </c>
      <c r="B14" s="6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102</v>
      </c>
      <c r="G14" s="403"/>
      <c r="H14" s="400">
        <f>SUMIF(61:61,G15,62:62)-SUMIF(61:61,C15,62:62)+100</f>
        <v>100</v>
      </c>
      <c r="I14" s="401"/>
      <c r="J14" s="400">
        <f>SUMIF(61:61,I15,62:62)-SUMIF(61:61,C15,62:62)+100</f>
        <v>100</v>
      </c>
      <c r="K14" s="571">
        <v>2</v>
      </c>
      <c r="L14" s="2939"/>
      <c r="M14" s="2933"/>
      <c r="N14" s="2933"/>
      <c r="O14" s="2991"/>
      <c r="P14" s="3551" t="s">
        <v>2380</v>
      </c>
      <c r="Q14" s="1536" t="str">
        <f t="shared" si="6"/>
        <v>交通便捷度</v>
      </c>
      <c r="R14" s="714" t="s">
        <v>17</v>
      </c>
      <c r="S14" s="715">
        <f t="shared" si="0"/>
        <v>102</v>
      </c>
      <c r="T14" s="714" t="s">
        <v>17</v>
      </c>
      <c r="U14" s="715">
        <f t="shared" si="1"/>
        <v>100</v>
      </c>
      <c r="V14" s="714" t="s">
        <v>17</v>
      </c>
      <c r="W14" s="715">
        <f t="shared" si="2"/>
        <v>100</v>
      </c>
      <c r="X14" s="1539"/>
      <c r="Y14" s="3551" t="s">
        <v>2380</v>
      </c>
      <c r="Z14" s="1540" t="str">
        <f t="shared" si="7"/>
        <v>交通便捷度</v>
      </c>
      <c r="AA14" s="1537">
        <f t="shared" si="3"/>
        <v>0.98039215686274506</v>
      </c>
      <c r="AB14" s="1537">
        <f t="shared" si="4"/>
        <v>1</v>
      </c>
      <c r="AC14" s="1537">
        <f t="shared" si="5"/>
        <v>1</v>
      </c>
    </row>
    <row r="15" spans="1:29" ht="15">
      <c r="A15" s="387"/>
      <c r="B15" s="405"/>
      <c r="C15" s="406" t="s">
        <v>3240</v>
      </c>
      <c r="D15" s="407"/>
      <c r="E15" s="406" t="s">
        <v>3243</v>
      </c>
      <c r="F15" s="408"/>
      <c r="G15" s="406" t="s">
        <v>3240</v>
      </c>
      <c r="H15" s="409"/>
      <c r="I15" s="406" t="s">
        <v>3240</v>
      </c>
      <c r="J15" s="407"/>
      <c r="K15" s="572"/>
      <c r="L15" s="2939"/>
      <c r="M15" s="2933"/>
      <c r="N15" s="2933"/>
      <c r="O15" s="2991"/>
      <c r="P15" s="3552"/>
      <c r="Q15" s="1536"/>
      <c r="R15" s="714"/>
      <c r="S15" s="715"/>
      <c r="T15" s="714"/>
      <c r="U15" s="715"/>
      <c r="V15" s="714"/>
      <c r="W15" s="715"/>
      <c r="X15" s="1539"/>
      <c r="Y15" s="3552"/>
      <c r="Z15" s="1540"/>
      <c r="AA15" s="1537">
        <v>1</v>
      </c>
      <c r="AB15" s="1537">
        <v>1</v>
      </c>
      <c r="AC15" s="1537">
        <v>1</v>
      </c>
    </row>
    <row r="16" spans="1:29" ht="17.25" customHeight="1">
      <c r="A16" s="387"/>
      <c r="B16" s="410"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552"/>
      <c r="Q16" s="1536" t="str">
        <f>B16</f>
        <v>公共配套设施</v>
      </c>
      <c r="R16" s="714" t="s">
        <v>17</v>
      </c>
      <c r="S16" s="715">
        <f>F16</f>
        <v>100</v>
      </c>
      <c r="T16" s="714" t="s">
        <v>17</v>
      </c>
      <c r="U16" s="715">
        <f>H16</f>
        <v>100</v>
      </c>
      <c r="V16" s="714" t="s">
        <v>17</v>
      </c>
      <c r="W16" s="715">
        <f>J16</f>
        <v>100</v>
      </c>
      <c r="X16" s="1539"/>
      <c r="Y16" s="3552"/>
      <c r="Z16" s="1540" t="str">
        <f>Q16</f>
        <v>公共配套设施</v>
      </c>
      <c r="AA16" s="1537">
        <f t="shared" si="3"/>
        <v>1</v>
      </c>
      <c r="AB16" s="1537">
        <f t="shared" si="4"/>
        <v>1</v>
      </c>
      <c r="AC16" s="1537">
        <f t="shared" si="5"/>
        <v>1</v>
      </c>
    </row>
    <row r="17" spans="1:29" ht="15">
      <c r="A17" s="387"/>
      <c r="B17" s="415"/>
      <c r="C17" s="406" t="s">
        <v>3240</v>
      </c>
      <c r="D17" s="407"/>
      <c r="E17" s="406" t="s">
        <v>3240</v>
      </c>
      <c r="F17" s="408"/>
      <c r="G17" s="406" t="s">
        <v>3240</v>
      </c>
      <c r="H17" s="407"/>
      <c r="I17" s="406" t="s">
        <v>3240</v>
      </c>
      <c r="J17" s="407"/>
      <c r="K17" s="572"/>
      <c r="L17" s="2939"/>
      <c r="M17" s="2933"/>
      <c r="N17" s="2933"/>
      <c r="O17" s="2991"/>
      <c r="P17" s="3552"/>
      <c r="Q17" s="1536"/>
      <c r="R17" s="714"/>
      <c r="S17" s="715"/>
      <c r="T17" s="714"/>
      <c r="U17" s="715"/>
      <c r="V17" s="714"/>
      <c r="W17" s="715"/>
      <c r="X17" s="1539"/>
      <c r="Y17" s="3552"/>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552"/>
      <c r="Q18" s="1536" t="str">
        <f>B18</f>
        <v>基础设施水平</v>
      </c>
      <c r="R18" s="714" t="s">
        <v>17</v>
      </c>
      <c r="S18" s="715">
        <f>F18</f>
        <v>100</v>
      </c>
      <c r="T18" s="714" t="s">
        <v>17</v>
      </c>
      <c r="U18" s="715">
        <f>H18</f>
        <v>100</v>
      </c>
      <c r="V18" s="714" t="s">
        <v>17</v>
      </c>
      <c r="W18" s="715">
        <f>J18</f>
        <v>100</v>
      </c>
      <c r="X18" s="1539"/>
      <c r="Y18" s="3552"/>
      <c r="Z18" s="1540" t="str">
        <f>Q18</f>
        <v>基础设施水平</v>
      </c>
      <c r="AA18" s="1537">
        <f t="shared" ref="AA18" si="8">D18/F18</f>
        <v>1</v>
      </c>
      <c r="AB18" s="1537">
        <f t="shared" ref="AB18" si="9">D18/H18</f>
        <v>1</v>
      </c>
      <c r="AC18" s="1537">
        <f t="shared" ref="AC18" si="10">D18/J18</f>
        <v>1</v>
      </c>
    </row>
    <row r="19" spans="1:29" ht="15">
      <c r="A19" s="387"/>
      <c r="B19" s="1293"/>
      <c r="C19" s="2086" t="s">
        <v>3222</v>
      </c>
      <c r="D19" s="409"/>
      <c r="E19" s="2086" t="s">
        <v>3222</v>
      </c>
      <c r="F19" s="412"/>
      <c r="G19" s="2086" t="s">
        <v>3222</v>
      </c>
      <c r="H19" s="407"/>
      <c r="I19" s="2086" t="s">
        <v>3222</v>
      </c>
      <c r="J19" s="407"/>
      <c r="K19" s="1292"/>
      <c r="L19" s="2939"/>
      <c r="M19" s="2933"/>
      <c r="N19" s="2933"/>
      <c r="O19" s="2991"/>
      <c r="P19" s="3552"/>
      <c r="Q19" s="1536"/>
      <c r="R19" s="714"/>
      <c r="S19" s="715"/>
      <c r="T19" s="714"/>
      <c r="U19" s="715"/>
      <c r="V19" s="714"/>
      <c r="W19" s="715"/>
      <c r="X19" s="1539"/>
      <c r="Y19" s="3552"/>
      <c r="Z19" s="1540"/>
      <c r="AA19" s="1537">
        <v>1</v>
      </c>
      <c r="AB19" s="1537">
        <v>1</v>
      </c>
      <c r="AC19" s="1537">
        <v>1</v>
      </c>
    </row>
    <row r="20" spans="1:29" ht="28.5" customHeight="1">
      <c r="A20" s="387"/>
      <c r="B20" s="410"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552"/>
      <c r="Q20" s="1536" t="str">
        <f>B20</f>
        <v>自然及人文环境</v>
      </c>
      <c r="R20" s="714" t="s">
        <v>17</v>
      </c>
      <c r="S20" s="715">
        <f>F20</f>
        <v>100</v>
      </c>
      <c r="T20" s="714" t="s">
        <v>17</v>
      </c>
      <c r="U20" s="715">
        <f>H20</f>
        <v>100</v>
      </c>
      <c r="V20" s="714" t="s">
        <v>17</v>
      </c>
      <c r="W20" s="715">
        <f>J20</f>
        <v>100</v>
      </c>
      <c r="X20" s="1539"/>
      <c r="Y20" s="3552"/>
      <c r="Z20" s="1540" t="str">
        <f>Q20</f>
        <v>自然及人文环境</v>
      </c>
      <c r="AA20" s="1537">
        <f t="shared" si="3"/>
        <v>1</v>
      </c>
      <c r="AB20" s="1537">
        <f t="shared" si="4"/>
        <v>1</v>
      </c>
      <c r="AC20" s="1537">
        <f t="shared" si="5"/>
        <v>1</v>
      </c>
    </row>
    <row r="21" spans="1:29" ht="15.75" thickBot="1">
      <c r="A21" s="387"/>
      <c r="B21" s="415"/>
      <c r="C21" s="406" t="s">
        <v>3239</v>
      </c>
      <c r="D21" s="407"/>
      <c r="E21" s="406" t="s">
        <v>3239</v>
      </c>
      <c r="F21" s="408"/>
      <c r="G21" s="406" t="s">
        <v>3239</v>
      </c>
      <c r="H21" s="407"/>
      <c r="I21" s="406" t="s">
        <v>3239</v>
      </c>
      <c r="J21" s="407"/>
      <c r="K21" s="572"/>
      <c r="L21" s="2939"/>
      <c r="M21" s="2933"/>
      <c r="N21" s="2933"/>
      <c r="O21" s="2991"/>
      <c r="P21" s="3552"/>
      <c r="Q21" s="1536"/>
      <c r="R21" s="714"/>
      <c r="S21" s="715"/>
      <c r="T21" s="714"/>
      <c r="U21" s="715"/>
      <c r="V21" s="714"/>
      <c r="W21" s="715"/>
      <c r="X21" s="1539"/>
      <c r="Y21" s="3552"/>
      <c r="Z21" s="1540"/>
      <c r="AA21" s="1537">
        <v>1</v>
      </c>
      <c r="AB21" s="1537">
        <v>1</v>
      </c>
      <c r="AC21" s="1537">
        <v>1</v>
      </c>
    </row>
    <row r="22" spans="1:29" ht="15" hidden="1">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552"/>
      <c r="Q22" s="1536" t="str">
        <f>B22</f>
        <v>楼层</v>
      </c>
      <c r="R22" s="714" t="s">
        <v>17</v>
      </c>
      <c r="S22" s="715">
        <f>F22</f>
        <v>100</v>
      </c>
      <c r="T22" s="714" t="s">
        <v>17</v>
      </c>
      <c r="U22" s="715">
        <f>H22</f>
        <v>100</v>
      </c>
      <c r="V22" s="714" t="s">
        <v>17</v>
      </c>
      <c r="W22" s="715">
        <f>J22</f>
        <v>100</v>
      </c>
      <c r="X22" s="1539"/>
      <c r="Y22" s="3552"/>
      <c r="Z22" s="1540" t="str">
        <f>Q22</f>
        <v>楼层</v>
      </c>
      <c r="AA22" s="1537">
        <f t="shared" si="3"/>
        <v>1</v>
      </c>
      <c r="AB22" s="1537">
        <f t="shared" si="4"/>
        <v>1</v>
      </c>
      <c r="AC22" s="1537">
        <f t="shared" si="5"/>
        <v>1</v>
      </c>
    </row>
    <row r="23" spans="1:29" ht="15" hidden="1">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552"/>
      <c r="Q23" s="1536">
        <f>B23</f>
        <v>111</v>
      </c>
      <c r="R23" s="714" t="s">
        <v>17</v>
      </c>
      <c r="S23" s="715">
        <f>F23</f>
        <v>100</v>
      </c>
      <c r="T23" s="714" t="s">
        <v>17</v>
      </c>
      <c r="U23" s="715">
        <f>H23</f>
        <v>100</v>
      </c>
      <c r="V23" s="714" t="s">
        <v>17</v>
      </c>
      <c r="W23" s="715">
        <f>J23</f>
        <v>100</v>
      </c>
      <c r="X23" s="1539"/>
      <c r="Y23" s="3552"/>
      <c r="Z23" s="1540">
        <f>Q23</f>
        <v>111</v>
      </c>
      <c r="AA23" s="1537">
        <f t="shared" si="3"/>
        <v>1</v>
      </c>
      <c r="AB23" s="1537">
        <f t="shared" si="4"/>
        <v>1</v>
      </c>
      <c r="AC23" s="1537">
        <f t="shared" si="5"/>
        <v>1</v>
      </c>
    </row>
    <row r="24" spans="1:29" ht="15" hidden="1">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552"/>
      <c r="Q24" s="1536">
        <f t="shared" ref="Q24:Q34" si="11">B24</f>
        <v>111</v>
      </c>
      <c r="R24" s="714" t="s">
        <v>17</v>
      </c>
      <c r="S24" s="715">
        <f>F24</f>
        <v>100</v>
      </c>
      <c r="T24" s="714" t="s">
        <v>17</v>
      </c>
      <c r="U24" s="715">
        <f>H24</f>
        <v>100</v>
      </c>
      <c r="V24" s="714" t="s">
        <v>17</v>
      </c>
      <c r="W24" s="715">
        <f>J24</f>
        <v>100</v>
      </c>
      <c r="X24" s="1539"/>
      <c r="Y24" s="3552"/>
      <c r="Z24" s="1540">
        <f>Q24</f>
        <v>111</v>
      </c>
      <c r="AA24" s="1537">
        <f t="shared" si="3"/>
        <v>1</v>
      </c>
      <c r="AB24" s="1537">
        <f t="shared" si="4"/>
        <v>1</v>
      </c>
      <c r="AC24" s="1537">
        <f t="shared" si="5"/>
        <v>1</v>
      </c>
    </row>
    <row r="25" spans="1:29" s="113" customFormat="1" ht="15.75" hidden="1"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4"/>
      <c r="M25" s="2935"/>
      <c r="N25" s="2935"/>
      <c r="O25" s="2989"/>
      <c r="P25" s="3552"/>
      <c r="Q25" s="1527">
        <f t="shared" si="11"/>
        <v>111</v>
      </c>
      <c r="R25" s="710" t="s">
        <v>17</v>
      </c>
      <c r="S25" s="711">
        <f>F25</f>
        <v>100</v>
      </c>
      <c r="T25" s="710" t="s">
        <v>17</v>
      </c>
      <c r="U25" s="711">
        <f>H25</f>
        <v>100</v>
      </c>
      <c r="V25" s="710" t="s">
        <v>17</v>
      </c>
      <c r="W25" s="711">
        <f>J25</f>
        <v>100</v>
      </c>
      <c r="X25" s="712"/>
      <c r="Y25" s="3552"/>
      <c r="Z25" s="55">
        <f>Q25</f>
        <v>111</v>
      </c>
      <c r="AA25" s="1537">
        <f>D25/F25</f>
        <v>1</v>
      </c>
      <c r="AB25" s="1537">
        <f>D25/H25</f>
        <v>1</v>
      </c>
      <c r="AC25" s="1537">
        <f>D25/J25</f>
        <v>1</v>
      </c>
    </row>
    <row r="26" spans="1:29" ht="28.5">
      <c r="A26" s="425" t="s">
        <v>2383</v>
      </c>
      <c r="B26" s="67" t="s">
        <v>2534</v>
      </c>
      <c r="C26" s="2152" t="s">
        <v>3241</v>
      </c>
      <c r="D26" s="426">
        <v>100</v>
      </c>
      <c r="E26" s="2152" t="s">
        <v>3241</v>
      </c>
      <c r="F26" s="623">
        <f>SUMIF(77:77,E26,78:78)-SUMIF(77:77,C26,78:78)+100</f>
        <v>100</v>
      </c>
      <c r="G26" s="2152" t="s">
        <v>3241</v>
      </c>
      <c r="H26" s="426">
        <f>SUMIF(77:77,G26,78:78)-SUMIF(77:77,C26,78:78)+100</f>
        <v>100</v>
      </c>
      <c r="I26" s="2152" t="s">
        <v>3241</v>
      </c>
      <c r="J26" s="426">
        <f>SUMIF(77:77,I26,78:78)-SUMIF(77:77,C26,78:78)+100</f>
        <v>100</v>
      </c>
      <c r="K26" s="569"/>
      <c r="L26" s="2939"/>
      <c r="M26" s="2933"/>
      <c r="N26" s="2933"/>
      <c r="O26" s="2991"/>
      <c r="P26" s="360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56"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3">
        <v>0.8</v>
      </c>
      <c r="F27" s="420">
        <f>LOOKUP(E27,80:80,81:81)-LOOKUP(C27,80:80,81:81)+100</f>
        <v>100</v>
      </c>
      <c r="G27" s="433">
        <v>0.8</v>
      </c>
      <c r="H27" s="394">
        <f>LOOKUP(G27,80:80,81:81)-LOOKUP(C27,80:80,81:81)+100</f>
        <v>100</v>
      </c>
      <c r="I27" s="433">
        <v>0.8</v>
      </c>
      <c r="J27" s="394">
        <f>LOOKUP(I27,80:80,81:81)-LOOKUP(C27,80:80,81:81)+100</f>
        <v>100</v>
      </c>
      <c r="K27" s="569"/>
      <c r="L27" s="2938"/>
      <c r="M27" s="2940"/>
      <c r="N27" s="2940"/>
      <c r="O27" s="2992"/>
      <c r="P27" s="3556"/>
      <c r="Q27" s="716" t="str">
        <f t="shared" si="11"/>
        <v>成新率</v>
      </c>
      <c r="R27" s="717" t="s">
        <v>17</v>
      </c>
      <c r="S27" s="718">
        <f t="shared" si="12"/>
        <v>100</v>
      </c>
      <c r="T27" s="717" t="s">
        <v>17</v>
      </c>
      <c r="U27" s="718">
        <f t="shared" si="13"/>
        <v>100</v>
      </c>
      <c r="V27" s="717" t="s">
        <v>17</v>
      </c>
      <c r="W27" s="718">
        <f t="shared" si="14"/>
        <v>100</v>
      </c>
      <c r="X27" s="719"/>
      <c r="Y27" s="3556"/>
      <c r="Z27" s="720" t="str">
        <f t="shared" si="15"/>
        <v>成新率</v>
      </c>
      <c r="AA27" s="1537">
        <f t="shared" si="3"/>
        <v>1</v>
      </c>
      <c r="AB27" s="1537">
        <f t="shared" si="4"/>
        <v>1</v>
      </c>
      <c r="AC27" s="1537">
        <f t="shared" si="5"/>
        <v>1</v>
      </c>
    </row>
    <row r="28" spans="1:29" ht="15">
      <c r="A28" s="431"/>
      <c r="B28" s="381" t="s">
        <v>2536</v>
      </c>
      <c r="C28" s="419" t="s">
        <v>3458</v>
      </c>
      <c r="D28" s="394">
        <v>100</v>
      </c>
      <c r="E28" s="419" t="s">
        <v>3458</v>
      </c>
      <c r="F28" s="420">
        <f>SUMIF(82:82,E28,83:83)-SUMIF(82:82,C28,83:83)+100</f>
        <v>100</v>
      </c>
      <c r="G28" s="419" t="s">
        <v>3458</v>
      </c>
      <c r="H28" s="394">
        <f>SUMIF(82:82,G28,83:83)-SUMIF(82:82,C28,83:83)+100</f>
        <v>100</v>
      </c>
      <c r="I28" s="419" t="s">
        <v>3458</v>
      </c>
      <c r="J28" s="394">
        <f>SUMIF(82:82,I28,83:83)-SUMIF(82:82,C28,83:83)+100</f>
        <v>100</v>
      </c>
      <c r="K28" s="569"/>
      <c r="L28" s="2939"/>
      <c r="M28" s="2933"/>
      <c r="N28" s="2933"/>
      <c r="O28" s="2991"/>
      <c r="P28" s="3556"/>
      <c r="Q28" s="1536" t="str">
        <f t="shared" si="11"/>
        <v>物业等级</v>
      </c>
      <c r="R28" s="714" t="s">
        <v>17</v>
      </c>
      <c r="S28" s="715">
        <f t="shared" si="12"/>
        <v>100</v>
      </c>
      <c r="T28" s="714" t="s">
        <v>17</v>
      </c>
      <c r="U28" s="715">
        <f t="shared" si="13"/>
        <v>100</v>
      </c>
      <c r="V28" s="714" t="s">
        <v>17</v>
      </c>
      <c r="W28" s="715">
        <f t="shared" si="14"/>
        <v>100</v>
      </c>
      <c r="X28" s="1539"/>
      <c r="Y28" s="3556"/>
      <c r="Z28" s="1540" t="str">
        <f t="shared" si="15"/>
        <v>物业等级</v>
      </c>
      <c r="AA28" s="1537">
        <f t="shared" si="3"/>
        <v>1</v>
      </c>
      <c r="AB28" s="1537">
        <f t="shared" si="4"/>
        <v>1</v>
      </c>
      <c r="AC28" s="1537">
        <f t="shared" si="5"/>
        <v>1</v>
      </c>
    </row>
    <row r="29" spans="1:29" ht="15">
      <c r="A29" s="431"/>
      <c r="B29" s="381" t="s">
        <v>2557</v>
      </c>
      <c r="C29" s="613" t="s">
        <v>3460</v>
      </c>
      <c r="D29" s="394">
        <v>100</v>
      </c>
      <c r="E29" s="613" t="s">
        <v>3460</v>
      </c>
      <c r="F29" s="420">
        <f>SUMIF(84:84,E29,85:85)-SUMIF(84:84,C29,85:85)+100</f>
        <v>100</v>
      </c>
      <c r="G29" s="613" t="s">
        <v>3460</v>
      </c>
      <c r="H29" s="394">
        <f>SUMIF(84:84,G29,85:85)-SUMIF(84:84,C29,85:85)+100</f>
        <v>100</v>
      </c>
      <c r="I29" s="613" t="s">
        <v>3460</v>
      </c>
      <c r="J29" s="394">
        <f>SUMIF(84:84,I29,85:85)-SUMIF(84:84,C29,85:85)+100</f>
        <v>100</v>
      </c>
      <c r="K29" s="569"/>
      <c r="L29" s="2939"/>
      <c r="M29" s="2933"/>
      <c r="N29" s="2933"/>
      <c r="O29" s="2991"/>
      <c r="P29" s="3556"/>
      <c r="Q29" s="1536" t="str">
        <f t="shared" si="11"/>
        <v>有无电梯</v>
      </c>
      <c r="R29" s="714" t="s">
        <v>17</v>
      </c>
      <c r="S29" s="715">
        <f t="shared" si="12"/>
        <v>100</v>
      </c>
      <c r="T29" s="714" t="s">
        <v>17</v>
      </c>
      <c r="U29" s="715">
        <f t="shared" si="13"/>
        <v>100</v>
      </c>
      <c r="V29" s="714" t="s">
        <v>17</v>
      </c>
      <c r="W29" s="715">
        <f t="shared" si="14"/>
        <v>100</v>
      </c>
      <c r="X29" s="1539"/>
      <c r="Y29" s="3556"/>
      <c r="Z29" s="1540" t="str">
        <f t="shared" si="15"/>
        <v>有无电梯</v>
      </c>
      <c r="AA29" s="1537">
        <f t="shared" si="3"/>
        <v>1</v>
      </c>
      <c r="AB29" s="1537">
        <f t="shared" si="4"/>
        <v>1</v>
      </c>
      <c r="AC29" s="1537">
        <f t="shared" si="5"/>
        <v>1</v>
      </c>
    </row>
    <row r="30" spans="1:29" ht="15.75" thickBot="1">
      <c r="A30" s="431"/>
      <c r="B30" s="381" t="s">
        <v>2558</v>
      </c>
      <c r="C30" s="428">
        <f>面积表!G39</f>
        <v>131.88</v>
      </c>
      <c r="D30" s="394">
        <v>100</v>
      </c>
      <c r="E30" s="428">
        <v>50</v>
      </c>
      <c r="F30" s="420">
        <f>LOOKUP(E30,87:87,88:88)-LOOKUP(C30,87:87,88:88)+100</f>
        <v>98</v>
      </c>
      <c r="G30" s="428">
        <v>80</v>
      </c>
      <c r="H30" s="394">
        <f>LOOKUP(G30,87:87,88:88)-LOOKUP(C30,87:87,88:88)+100</f>
        <v>98</v>
      </c>
      <c r="I30" s="428">
        <v>80</v>
      </c>
      <c r="J30" s="394">
        <f>LOOKUP(I30,87:87,88:88)-LOOKUP(C30,87:87,88:88)+100</f>
        <v>98</v>
      </c>
      <c r="K30" s="570"/>
      <c r="L30" s="2939"/>
      <c r="M30" s="2933"/>
      <c r="N30" s="2933"/>
      <c r="O30" s="2991"/>
      <c r="P30" s="3556"/>
      <c r="Q30" s="1536" t="str">
        <f t="shared" si="11"/>
        <v>建筑面积</v>
      </c>
      <c r="R30" s="714" t="s">
        <v>17</v>
      </c>
      <c r="S30" s="715">
        <f t="shared" si="12"/>
        <v>98</v>
      </c>
      <c r="T30" s="714" t="s">
        <v>17</v>
      </c>
      <c r="U30" s="715">
        <f t="shared" si="13"/>
        <v>98</v>
      </c>
      <c r="V30" s="714" t="s">
        <v>17</v>
      </c>
      <c r="W30" s="715">
        <f t="shared" si="14"/>
        <v>98</v>
      </c>
      <c r="X30" s="1539"/>
      <c r="Y30" s="3556"/>
      <c r="Z30" s="1540" t="str">
        <f t="shared" si="15"/>
        <v>建筑面积</v>
      </c>
      <c r="AA30" s="1537">
        <f t="shared" si="3"/>
        <v>1.0204081632653061</v>
      </c>
      <c r="AB30" s="1537">
        <f t="shared" si="4"/>
        <v>1.0204081632653061</v>
      </c>
      <c r="AC30" s="1537">
        <f t="shared" si="5"/>
        <v>1.0204081632653061</v>
      </c>
    </row>
    <row r="31" spans="1:29" s="113" customFormat="1" ht="15" hidden="1">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556"/>
      <c r="Q31" s="1527" t="str">
        <f t="shared" si="11"/>
        <v>是否封闭</v>
      </c>
      <c r="R31" s="710" t="s">
        <v>17</v>
      </c>
      <c r="S31" s="711">
        <f t="shared" si="12"/>
        <v>100</v>
      </c>
      <c r="T31" s="710" t="s">
        <v>17</v>
      </c>
      <c r="U31" s="711">
        <f t="shared" si="13"/>
        <v>100</v>
      </c>
      <c r="V31" s="710" t="s">
        <v>17</v>
      </c>
      <c r="W31" s="711">
        <f t="shared" si="14"/>
        <v>100</v>
      </c>
      <c r="X31" s="712"/>
      <c r="Y31" s="3556"/>
      <c r="Z31" s="55" t="str">
        <f t="shared" si="15"/>
        <v>是否封闭</v>
      </c>
      <c r="AA31" s="713">
        <f t="shared" si="3"/>
        <v>1</v>
      </c>
      <c r="AB31" s="713">
        <f t="shared" si="4"/>
        <v>1</v>
      </c>
      <c r="AC31" s="713">
        <f t="shared" si="5"/>
        <v>1</v>
      </c>
    </row>
    <row r="32" spans="1:29" ht="15" hidden="1">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556" t="s">
        <v>2385</v>
      </c>
      <c r="Q32" s="1536">
        <f t="shared" si="11"/>
        <v>111</v>
      </c>
      <c r="R32" s="714" t="s">
        <v>17</v>
      </c>
      <c r="S32" s="715">
        <f t="shared" si="12"/>
        <v>100</v>
      </c>
      <c r="T32" s="714" t="s">
        <v>17</v>
      </c>
      <c r="U32" s="715">
        <f t="shared" si="13"/>
        <v>100</v>
      </c>
      <c r="V32" s="714" t="s">
        <v>17</v>
      </c>
      <c r="W32" s="715">
        <f t="shared" si="14"/>
        <v>100</v>
      </c>
      <c r="X32" s="1539"/>
      <c r="Y32" s="3556" t="s">
        <v>2385</v>
      </c>
      <c r="Z32" s="1540">
        <f t="shared" si="15"/>
        <v>111</v>
      </c>
      <c r="AA32" s="1537">
        <f t="shared" si="3"/>
        <v>1</v>
      </c>
      <c r="AB32" s="1537">
        <f t="shared" si="4"/>
        <v>1</v>
      </c>
      <c r="AC32" s="1537">
        <f t="shared" si="5"/>
        <v>1</v>
      </c>
    </row>
    <row r="33" spans="1:30" ht="15" hidden="1">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556"/>
      <c r="Q33" s="1536">
        <f t="shared" si="11"/>
        <v>111</v>
      </c>
      <c r="R33" s="714" t="s">
        <v>17</v>
      </c>
      <c r="S33" s="715">
        <f t="shared" si="12"/>
        <v>100</v>
      </c>
      <c r="T33" s="714" t="s">
        <v>17</v>
      </c>
      <c r="U33" s="715">
        <f t="shared" si="13"/>
        <v>100</v>
      </c>
      <c r="V33" s="714" t="s">
        <v>17</v>
      </c>
      <c r="W33" s="715">
        <f t="shared" si="14"/>
        <v>100</v>
      </c>
      <c r="X33" s="1539"/>
      <c r="Y33" s="3556"/>
      <c r="Z33" s="1540">
        <f t="shared" si="15"/>
        <v>111</v>
      </c>
      <c r="AA33" s="1537">
        <f t="shared" si="3"/>
        <v>1</v>
      </c>
      <c r="AB33" s="1537">
        <f t="shared" si="4"/>
        <v>1</v>
      </c>
      <c r="AC33" s="1537">
        <f t="shared" si="5"/>
        <v>1</v>
      </c>
    </row>
    <row r="34" spans="1:30" ht="15.75" hidden="1"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9"/>
      <c r="M34" s="2933"/>
      <c r="N34" s="2933"/>
      <c r="O34" s="2991"/>
      <c r="P34" s="3556"/>
      <c r="Q34" s="1536">
        <f t="shared" si="11"/>
        <v>111</v>
      </c>
      <c r="R34" s="714" t="s">
        <v>17</v>
      </c>
      <c r="S34" s="715">
        <f t="shared" si="12"/>
        <v>100</v>
      </c>
      <c r="T34" s="714" t="s">
        <v>17</v>
      </c>
      <c r="U34" s="715">
        <f t="shared" si="13"/>
        <v>100</v>
      </c>
      <c r="V34" s="714" t="s">
        <v>17</v>
      </c>
      <c r="W34" s="715">
        <f t="shared" si="14"/>
        <v>100</v>
      </c>
      <c r="X34" s="1539"/>
      <c r="Y34" s="3556"/>
      <c r="Z34" s="1540">
        <f t="shared" si="15"/>
        <v>111</v>
      </c>
      <c r="AA34" s="1537">
        <f t="shared" si="3"/>
        <v>1</v>
      </c>
      <c r="AB34" s="1537">
        <f t="shared" si="4"/>
        <v>1</v>
      </c>
      <c r="AC34" s="1537">
        <f t="shared" si="5"/>
        <v>1</v>
      </c>
    </row>
    <row r="35" spans="1:30" ht="15">
      <c r="A35" s="438" t="s">
        <v>2397</v>
      </c>
      <c r="B35" s="439"/>
      <c r="C35" s="1316" t="s">
        <v>1</v>
      </c>
      <c r="D35" s="1317"/>
      <c r="E35" s="1318">
        <v>1</v>
      </c>
      <c r="F35" s="1319"/>
      <c r="G35" s="1320">
        <v>1</v>
      </c>
      <c r="H35" s="1321"/>
      <c r="I35" s="1318">
        <v>1</v>
      </c>
      <c r="J35" s="1321"/>
      <c r="K35" s="723"/>
      <c r="L35" s="2941"/>
      <c r="M35" s="2942"/>
      <c r="N35" s="2933"/>
      <c r="O35" s="2942"/>
      <c r="P35" s="3558" t="str">
        <f>A35</f>
        <v>成交单价（元/平方米）</v>
      </c>
      <c r="Q35" s="3558"/>
      <c r="R35" s="3559">
        <f>E35</f>
        <v>1</v>
      </c>
      <c r="S35" s="3559"/>
      <c r="T35" s="3559">
        <f>G35</f>
        <v>1</v>
      </c>
      <c r="U35" s="3559"/>
      <c r="V35" s="3559">
        <f>I35</f>
        <v>1</v>
      </c>
      <c r="W35" s="3559"/>
      <c r="X35" s="699"/>
      <c r="Y35" s="721"/>
      <c r="Z35" s="699"/>
      <c r="AA35" s="699"/>
      <c r="AB35" s="699"/>
      <c r="AC35" s="699"/>
    </row>
    <row r="36" spans="1:30" ht="15.75" thickBot="1">
      <c r="A36" s="445" t="s">
        <v>2489</v>
      </c>
      <c r="B36" s="446"/>
      <c r="C36" s="1322">
        <f>R37</f>
        <v>1</v>
      </c>
      <c r="D36" s="2528" t="s">
        <v>2878</v>
      </c>
      <c r="E36" s="1323">
        <f>R36</f>
        <v>1</v>
      </c>
      <c r="F36" s="2529"/>
      <c r="G36" s="1322">
        <f>T36</f>
        <v>1</v>
      </c>
      <c r="H36" s="2529"/>
      <c r="I36" s="1323">
        <f>V36</f>
        <v>1</v>
      </c>
      <c r="J36" s="2529"/>
      <c r="K36" s="2531">
        <f>F36+H36+J36</f>
        <v>0</v>
      </c>
      <c r="L36" s="2941"/>
      <c r="M36" s="2942"/>
      <c r="N36" s="2933"/>
      <c r="O36" s="2942"/>
      <c r="P36" s="3558" t="str">
        <f>A36</f>
        <v>比较价值（元/平方米）</v>
      </c>
      <c r="Q36" s="3558"/>
      <c r="R36" s="3559">
        <f>IF(F1="售价",ROUND(PRODUCT(R35,AA7:AA34),0),ROUND(PRODUCT(R35,AA7:AA34),1))</f>
        <v>1</v>
      </c>
      <c r="S36" s="3559"/>
      <c r="T36" s="3559">
        <f>IF(F1="售价",ROUND(PRODUCT(T35,AB7:AB34),0),ROUND(PRODUCT(T35,AB7:AB34),1))</f>
        <v>1</v>
      </c>
      <c r="U36" s="3559"/>
      <c r="V36" s="3559">
        <f>IF(F1="售价",ROUND(PRODUCT(V35,AC7:AC34),0),ROUND(PRODUCT(V35,AC7:AC34),1))</f>
        <v>1</v>
      </c>
      <c r="W36" s="3559"/>
      <c r="X36" s="699"/>
      <c r="Y36" s="699"/>
      <c r="Z36" s="699"/>
      <c r="AA36" s="699"/>
      <c r="AB36" s="699"/>
      <c r="AC36" s="699"/>
    </row>
    <row r="37" spans="1:30" ht="15.75" thickBot="1">
      <c r="A37" s="449" t="s">
        <v>2490</v>
      </c>
      <c r="B37" s="450"/>
      <c r="C37" s="1325">
        <f>R37</f>
        <v>1</v>
      </c>
      <c r="D37" s="1325"/>
      <c r="E37" s="1325"/>
      <c r="F37" s="1325"/>
      <c r="G37" s="1325"/>
      <c r="H37" s="1325"/>
      <c r="I37" s="1325"/>
      <c r="J37" s="1325"/>
      <c r="K37" s="724"/>
      <c r="L37" s="2941"/>
      <c r="M37" s="2942"/>
      <c r="N37" s="2942"/>
      <c r="O37" s="2942"/>
      <c r="P37" s="3560" t="str">
        <f>A37</f>
        <v>估价对象XX用房的比较价值（楼面单价，元/平方米）</v>
      </c>
      <c r="Q37" s="3561"/>
      <c r="R37" s="3609">
        <f>IF(F1="售价",ROUND(IF(D36="简单平均",AVERAGE(R36:W36),R36*F36+T36*H36+V36*J36),0),ROUND(IF(D36="简单平均",AVERAGE(R36:V36),R36*F36+T36*H36+V36*J36),1))</f>
        <v>1</v>
      </c>
      <c r="S37" s="3609"/>
      <c r="T37" s="3609"/>
      <c r="U37" s="3609"/>
      <c r="V37" s="3609"/>
      <c r="W37" s="3609"/>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f>IF(E35&lt;E36,E36/E35-1,E35/E36-1)</f>
        <v>0</v>
      </c>
      <c r="F40" s="457" t="str">
        <f>IF(OR(E40&gt;=0.3,E40&lt;=-0.3),"超过30%","")</f>
        <v/>
      </c>
      <c r="G40" s="456">
        <f>IF(G35&lt;G36,G36/G35-1,G35/G36-1)</f>
        <v>0</v>
      </c>
      <c r="H40" s="457" t="str">
        <f>IF(OR(G40&gt;=0.3,G40&lt;=-0.3),"超过30%","")</f>
        <v/>
      </c>
      <c r="I40" s="456">
        <f>IF(I35&lt;I36,I36/I35-1,I35/I36-1)</f>
        <v>0</v>
      </c>
      <c r="J40" s="457"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f>IF(E36&lt;G36,G36/E36-1,E36/G36-1)</f>
        <v>0</v>
      </c>
      <c r="F41" s="457" t="str">
        <f>IF(OR(E41&gt;=0.2,E41&lt;=-0.2),"超过20%","")</f>
        <v/>
      </c>
      <c r="G41" s="456">
        <f>IF(G36&lt;I36,I36/G36-1,G36/I36-1)</f>
        <v>0</v>
      </c>
      <c r="H41" s="457" t="str">
        <f>IF(OR(G41&gt;=0.2,G41&lt;=-0.2),"超过20%","")</f>
        <v/>
      </c>
      <c r="I41" s="456">
        <f>IF(I36&lt;E36,E36/I36-1,I36/E36-1)</f>
        <v>0</v>
      </c>
      <c r="J41" s="457"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f>IF(E35&lt;G35,G35/E35-1,E35/G35-1)</f>
        <v>0</v>
      </c>
      <c r="F42" s="457" t="str">
        <f>IF(OR(E42&gt;=0.3,E42&lt;=-0.3),"超过30%","")</f>
        <v/>
      </c>
      <c r="G42" s="456">
        <f>IF(G35&lt;I35,I35/G35-1,G35/I35-1)</f>
        <v>0</v>
      </c>
      <c r="H42" s="457" t="str">
        <f>IF(OR(G42&gt;=0.3,G42&lt;=-0.3),"超过30%","")</f>
        <v/>
      </c>
      <c r="I42" s="456">
        <f>IF(I35&lt;E35,E35/I35-1,I35/E35-1)</f>
        <v>0</v>
      </c>
      <c r="J42" s="457"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2022-8</v>
      </c>
      <c r="D46" s="1347">
        <f>EDATE(C46,-1)</f>
        <v>44743</v>
      </c>
      <c r="E46" s="1347">
        <f t="shared" ref="E46:O46" si="16">EDATE(D46,-1)</f>
        <v>44713</v>
      </c>
      <c r="F46" s="1347">
        <f t="shared" si="16"/>
        <v>44682</v>
      </c>
      <c r="G46" s="1347">
        <f t="shared" si="16"/>
        <v>44652</v>
      </c>
      <c r="H46" s="1347">
        <f t="shared" si="16"/>
        <v>44621</v>
      </c>
      <c r="I46" s="1347">
        <f t="shared" si="16"/>
        <v>44593</v>
      </c>
      <c r="J46" s="1347">
        <f t="shared" si="16"/>
        <v>44562</v>
      </c>
      <c r="K46" s="1347">
        <f t="shared" si="16"/>
        <v>44531</v>
      </c>
      <c r="L46" s="1347">
        <f t="shared" si="16"/>
        <v>44501</v>
      </c>
      <c r="M46" s="1347">
        <f t="shared" si="16"/>
        <v>44470</v>
      </c>
      <c r="N46" s="1347">
        <f t="shared" si="16"/>
        <v>44440</v>
      </c>
      <c r="O46" s="1347">
        <f t="shared" si="16"/>
        <v>44409</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3126" t="s">
        <v>3541</v>
      </c>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v>102</v>
      </c>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t="str">
        <f>C9</f>
        <v>库房</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98</v>
      </c>
      <c r="E62" s="501">
        <f>D62-$K14</f>
        <v>96</v>
      </c>
      <c r="F62" s="501">
        <f>E62-$K14</f>
        <v>94</v>
      </c>
      <c r="G62" s="501">
        <f>F62-$K14</f>
        <v>92</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3128" t="s">
        <v>3457</v>
      </c>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3128" t="s">
        <v>3459</v>
      </c>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3128" t="s">
        <v>3461</v>
      </c>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v>0</v>
      </c>
      <c r="D87" s="552">
        <v>30</v>
      </c>
      <c r="E87" s="552">
        <v>50</v>
      </c>
      <c r="F87" s="552">
        <v>100</v>
      </c>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v>100</v>
      </c>
      <c r="D88" s="493">
        <v>102</v>
      </c>
      <c r="E88" s="493">
        <v>104</v>
      </c>
      <c r="F88" s="493">
        <v>106</v>
      </c>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2C00-000000000000}">
      <formula1>交通便捷度</formula1>
    </dataValidation>
    <dataValidation type="list" allowBlank="1" showInputMessage="1" showErrorMessage="1" sqref="G17 C17 E17 I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10 E10 G10 I10" xr:uid="{00000000-0002-0000-2C00-000003000000}">
      <formula1>土地年限区间</formula1>
    </dataValidation>
    <dataValidation type="list" allowBlank="1" showInputMessage="1" showErrorMessage="1" sqref="C8 E8 G8 I8" xr:uid="{00000000-0002-0000-2C00-000004000000}">
      <formula1>仓储交易情况</formula1>
    </dataValidation>
    <dataValidation type="list" allowBlank="1" showInputMessage="1" showErrorMessage="1" sqref="E9 G9 I9" xr:uid="{00000000-0002-0000-2C00-000005000000}">
      <formula1>仓储用途</formula1>
    </dataValidation>
    <dataValidation type="list" allowBlank="1" showInputMessage="1" showErrorMessage="1" sqref="C21 E21 G21 I21" xr:uid="{00000000-0002-0000-2C00-000006000000}">
      <formula1>环境</formula1>
    </dataValidation>
    <dataValidation type="list" allowBlank="1" showInputMessage="1" showErrorMessage="1" sqref="C22 E22 G22 I22" xr:uid="{00000000-0002-0000-2C00-000007000000}">
      <formula1>仓储楼层</formula1>
    </dataValidation>
    <dataValidation type="list" allowBlank="1" showInputMessage="1" showErrorMessage="1" sqref="C26 E26 G26 I26" xr:uid="{00000000-0002-0000-2C00-000008000000}">
      <formula1>仓储公共部分装修</formula1>
    </dataValidation>
    <dataValidation type="list" allowBlank="1" showInputMessage="1" showErrorMessage="1" sqref="C29 E29 G29 I29" xr:uid="{00000000-0002-0000-2C00-000009000000}">
      <formula1>有无电梯</formula1>
    </dataValidation>
    <dataValidation type="list" allowBlank="1" showInputMessage="1" showErrorMessage="1" sqref="C31 E31 G31 I31" xr:uid="{00000000-0002-0000-2C00-00000A000000}">
      <formula1>是否封闭</formula1>
    </dataValidation>
    <dataValidation type="list" allowBlank="1" showInputMessage="1" showErrorMessage="1" sqref="B1" xr:uid="{00000000-0002-0000-2C00-00000B000000}">
      <formula1>地类判定</formula1>
    </dataValidation>
    <dataValidation type="list" allowBlank="1" showInputMessage="1" showErrorMessage="1" sqref="C28 E28 G28 I28" xr:uid="{00000000-0002-0000-2C00-00000C000000}">
      <formula1>仓储物业等级</formula1>
    </dataValidation>
    <dataValidation type="list" allowBlank="1" showInputMessage="1" showErrorMessage="1" sqref="C19 E19 G19 I19" xr:uid="{00000000-0002-0000-2C00-00000D000000}">
      <formula1>基础设施水平</formula1>
    </dataValidation>
    <dataValidation type="list" allowBlank="1" showInputMessage="1" showErrorMessage="1" sqref="F1" xr:uid="{00000000-0002-0000-2C00-00000E000000}">
      <formula1>"售价,租金"</formula1>
    </dataValidation>
    <dataValidation type="list" allowBlank="1" showInputMessage="1" showErrorMessage="1" sqref="C2" xr:uid="{00000000-0002-0000-2C00-00000F000000}">
      <formula1>"需扣减承租人权益,——"</formula1>
    </dataValidation>
    <dataValidation type="list" allowBlank="1" showInputMessage="1" showErrorMessage="1" sqref="F2" xr:uid="{00000000-0002-0000-2C00-000010000000}">
      <formula1>估价方法</formula1>
    </dataValidation>
    <dataValidation type="list" allowBlank="1" showInputMessage="1" showErrorMessage="1" sqref="D36"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92D050"/>
  </sheetPr>
  <dimension ref="A1:AH122"/>
  <sheetViews>
    <sheetView topLeftCell="K1" zoomScale="80" zoomScaleNormal="80" workbookViewId="0">
      <selection activeCell="AB7" sqref="AB7"/>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55" t="s">
        <v>1117</v>
      </c>
      <c r="C1" s="3655"/>
      <c r="D1" s="3655"/>
      <c r="E1" s="3655"/>
      <c r="F1" s="3655"/>
      <c r="G1" s="3651" t="s">
        <v>1118</v>
      </c>
      <c r="H1" s="3651"/>
      <c r="I1" s="3651"/>
      <c r="J1" s="3651"/>
      <c r="K1" s="3651"/>
      <c r="L1" s="3651"/>
      <c r="N1" s="3651" t="s">
        <v>1119</v>
      </c>
      <c r="O1" s="3651"/>
      <c r="P1" s="3651"/>
      <c r="Q1" s="3651"/>
      <c r="S1" s="3651" t="s">
        <v>1120</v>
      </c>
      <c r="T1" s="3651"/>
      <c r="U1" s="3651"/>
      <c r="V1" s="3651"/>
      <c r="X1" s="3650" t="s">
        <v>1121</v>
      </c>
      <c r="Y1" s="3651"/>
      <c r="Z1" s="3651"/>
      <c r="AA1" s="3651"/>
      <c r="AB1" s="3651"/>
      <c r="AD1" s="3650" t="s">
        <v>1122</v>
      </c>
      <c r="AE1" s="3651"/>
      <c r="AF1" s="3651"/>
      <c r="AG1" s="3651"/>
      <c r="AH1" s="3651"/>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ROUND(AVERAGE($I4:$I39),2)</f>
        <v>1.64</v>
      </c>
      <c r="J3" s="2398">
        <f>ROUND(AVERAGE($J4:$J39),2)</f>
        <v>0.99</v>
      </c>
      <c r="K3" s="2398">
        <f>ROUND(AVERAGE($K4:$K39),2)</f>
        <v>1.81</v>
      </c>
      <c r="L3" s="2398">
        <f>ROUND(AVERAGE($L4:$L39),2)</f>
        <v>1.18</v>
      </c>
      <c r="N3" s="2396"/>
      <c r="S3" s="2396"/>
      <c r="W3" s="2400"/>
      <c r="X3" s="2401">
        <f>ROUND(SUMPRODUCT(PRODUCT(1+N3:N$38)),4)</f>
        <v>1.7102999999999999</v>
      </c>
      <c r="Y3" s="2401">
        <f>ROUND(SUMPRODUCT(PRODUCT(1+O3:O$38)),4)</f>
        <v>1.3774999999999999</v>
      </c>
      <c r="Z3" s="2401">
        <f t="shared" ref="Z3:Z36" si="0">Y3</f>
        <v>1.3774999999999999</v>
      </c>
      <c r="AA3" s="2401">
        <f>ROUND(SUMPRODUCT(PRODUCT(1+P3:P$38)),4)</f>
        <v>1.8052999999999999</v>
      </c>
      <c r="AB3" s="2401">
        <f>ROUND(SUMPRODUCT(PRODUCT(1+Q3:Q$38)),4)</f>
        <v>1.4852000000000001</v>
      </c>
      <c r="AD3" s="2402">
        <f>ROUND(AVERAGE(I3:I$39)/100,4)</f>
        <v>1.6400000000000001E-2</v>
      </c>
      <c r="AE3" s="2402">
        <f>ROUND(AVERAGE(J3:J$39)/100,4)</f>
        <v>9.9000000000000008E-3</v>
      </c>
      <c r="AF3" s="2402">
        <f t="shared" ref="AF3:AF37" si="1">AE3</f>
        <v>9.9000000000000008E-3</v>
      </c>
      <c r="AG3" s="2402">
        <f>ROUND(AVERAGE(K3:K$39)/100,4)</f>
        <v>1.8100000000000002E-2</v>
      </c>
      <c r="AH3" s="2402">
        <f>ROUND(AVERAGE(L3:L$39)/100,4)</f>
        <v>1.18E-2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80" customFormat="1">
      <c r="A5" s="3176" t="s">
        <v>3408</v>
      </c>
      <c r="B5" s="3177">
        <f t="shared" ref="B5" si="2">B6*(1+N5)</f>
        <v>525.99498493284852</v>
      </c>
      <c r="C5" s="3177">
        <f t="shared" ref="C5" si="3">C6*(1+O5)</f>
        <v>355.10043160698285</v>
      </c>
      <c r="D5" s="3177">
        <f t="shared" ref="D5" si="4">C5</f>
        <v>355.10043160698285</v>
      </c>
      <c r="E5" s="3177">
        <f t="shared" ref="E5" si="5">E6*(1+P5)</f>
        <v>763.46240957245277</v>
      </c>
      <c r="F5" s="3177">
        <f t="shared" ref="F5" si="6">F6*(1+Q5)</f>
        <v>341.45580193293637</v>
      </c>
      <c r="G5" s="3178">
        <v>2022</v>
      </c>
      <c r="H5" s="3179">
        <v>3</v>
      </c>
      <c r="I5" s="3188">
        <v>1.03</v>
      </c>
      <c r="J5" s="3188">
        <v>0.24</v>
      </c>
      <c r="K5" s="3188">
        <v>1.17</v>
      </c>
      <c r="L5" s="3189">
        <v>0.55000000000000004</v>
      </c>
      <c r="N5" s="3181">
        <f t="shared" ref="N5" si="7">I5/100</f>
        <v>1.03E-2</v>
      </c>
      <c r="O5" s="3181">
        <f t="shared" ref="O5" si="8">J5/100</f>
        <v>2.3999999999999998E-3</v>
      </c>
      <c r="P5" s="3181">
        <f t="shared" ref="P5" si="9">K5/100</f>
        <v>1.1699999999999999E-2</v>
      </c>
      <c r="Q5" s="3181">
        <f t="shared" ref="Q5" si="10">L5/100</f>
        <v>5.5000000000000005E-3</v>
      </c>
      <c r="S5" s="3182"/>
      <c r="W5" s="3183" t="s">
        <v>2854</v>
      </c>
      <c r="X5" s="3184">
        <f>ROUND(IF(项目基本情况!B12="出让",SUMPRODUCT(PRODUCT(1+N5:N$39)),SUMPRODUCT(PRODUCT(1+N5:N$38))),4)</f>
        <v>1.7611000000000001</v>
      </c>
      <c r="Y5" s="3184">
        <f>ROUND(IF(项目基本情况!B12="出让",SUMPRODUCT(PRODUCT(1+O5:O$39)),SUMPRODUCT(PRODUCT(1+O5:O$38))),4)</f>
        <v>1.4097999999999999</v>
      </c>
      <c r="Z5" s="3184">
        <f t="shared" ref="Z5" si="11">Y5</f>
        <v>1.4097999999999999</v>
      </c>
      <c r="AA5" s="3184">
        <f>ROUND(IF(项目基本情况!B12="出让",SUMPRODUCT(PRODUCT(1+P5:P$39)),SUMPRODUCT(PRODUCT(1+P5:P$38))),4)</f>
        <v>1.8645</v>
      </c>
      <c r="AB5" s="3184">
        <f>ROUND(IF(项目基本情况!B12="出让",SUMPRODUCT(PRODUCT(1+Q5:Q$39)),SUMPRODUCT(PRODUCT(1+Q5:Q$38))),4)</f>
        <v>1.5054000000000001</v>
      </c>
      <c r="AD5" s="3185">
        <f>ROUND(AVERAGE(I5:I$39)/100,4)</f>
        <v>1.6400000000000001E-2</v>
      </c>
      <c r="AE5" s="3185">
        <f>ROUND(AVERAGE(J5:J$39)/100,4)</f>
        <v>9.9000000000000008E-3</v>
      </c>
      <c r="AF5" s="3185">
        <f t="shared" ref="AF5" si="12">AE5</f>
        <v>9.9000000000000008E-3</v>
      </c>
      <c r="AG5" s="3185">
        <f>ROUND(AVERAGE(K5:K$39)/100,4)</f>
        <v>1.8100000000000002E-2</v>
      </c>
      <c r="AH5" s="3185">
        <f>ROUND(AVERAGE(L5:L$39)/100,4)</f>
        <v>1.18E-2</v>
      </c>
    </row>
    <row r="6" spans="1:34" s="3180" customFormat="1">
      <c r="A6" s="3176" t="s">
        <v>3407</v>
      </c>
      <c r="B6" s="3177">
        <f t="shared" ref="B6" si="13">B7*(1+N6)</f>
        <v>520.63247048683411</v>
      </c>
      <c r="C6" s="3177">
        <f t="shared" ref="C6" si="14">C7*(1+O6)</f>
        <v>354.25023105245697</v>
      </c>
      <c r="D6" s="3177">
        <f t="shared" ref="D6" si="15">C6</f>
        <v>354.25023105245697</v>
      </c>
      <c r="E6" s="3177">
        <f t="shared" ref="E6" si="16">E7*(1+P6)</f>
        <v>754.63320111935627</v>
      </c>
      <c r="F6" s="3177">
        <f t="shared" ref="F6" si="17">F7*(1+Q6)</f>
        <v>339.58806756134891</v>
      </c>
      <c r="G6" s="3178">
        <v>2022</v>
      </c>
      <c r="H6" s="3179">
        <v>2</v>
      </c>
      <c r="I6" s="3188">
        <v>1.03</v>
      </c>
      <c r="J6" s="3188">
        <v>0.24</v>
      </c>
      <c r="K6" s="3188">
        <v>1.17</v>
      </c>
      <c r="L6" s="3189">
        <v>0.55000000000000004</v>
      </c>
      <c r="N6" s="3181">
        <f t="shared" ref="N6" si="18">I6/100</f>
        <v>1.03E-2</v>
      </c>
      <c r="O6" s="3181">
        <f t="shared" ref="O6" si="19">J6/100</f>
        <v>2.3999999999999998E-3</v>
      </c>
      <c r="P6" s="3181">
        <f t="shared" ref="P6" si="20">K6/100</f>
        <v>1.1699999999999999E-2</v>
      </c>
      <c r="Q6" s="3181">
        <f t="shared" ref="Q6" si="21">L6/100</f>
        <v>5.5000000000000005E-3</v>
      </c>
      <c r="S6" s="3182"/>
      <c r="W6" s="3183" t="s">
        <v>2854</v>
      </c>
      <c r="X6" s="3184">
        <f>ROUND(IF(项目基本情况!B12="出让",SUMPRODUCT(PRODUCT(1+N6:N$39)),SUMPRODUCT(PRODUCT(1+N6:N$38))),4)</f>
        <v>1.7431000000000001</v>
      </c>
      <c r="Y6" s="3184">
        <f>ROUND(IF(项目基本情况!B12="出让",SUMPRODUCT(PRODUCT(1+O6:O$39)),SUMPRODUCT(PRODUCT(1+O6:O$38))),4)</f>
        <v>1.4064000000000001</v>
      </c>
      <c r="Z6" s="3184">
        <f t="shared" ref="Z6" si="22">Y6</f>
        <v>1.4064000000000001</v>
      </c>
      <c r="AA6" s="3184">
        <f>ROUND(IF(项目基本情况!B12="出让",SUMPRODUCT(PRODUCT(1+P6:P$39)),SUMPRODUCT(PRODUCT(1+P6:P$38))),4)</f>
        <v>1.8429</v>
      </c>
      <c r="AB6" s="3184">
        <f>ROUND(IF(项目基本情况!B12="出让",SUMPRODUCT(PRODUCT(1+Q6:Q$39)),SUMPRODUCT(PRODUCT(1+Q6:Q$38))),4)</f>
        <v>1.4971000000000001</v>
      </c>
      <c r="AD6" s="3185">
        <f>ROUND(AVERAGE(I6:I$39)/100,4)</f>
        <v>1.66E-2</v>
      </c>
      <c r="AE6" s="3185">
        <f>ROUND(AVERAGE(J6:J$39)/100,4)</f>
        <v>1.01E-2</v>
      </c>
      <c r="AF6" s="3185">
        <f t="shared" ref="AF6" si="23">AE6</f>
        <v>1.01E-2</v>
      </c>
      <c r="AG6" s="3185">
        <f>ROUND(AVERAGE(K6:K$39)/100,4)</f>
        <v>1.8200000000000001E-2</v>
      </c>
      <c r="AH6" s="3185">
        <f>ROUND(AVERAGE(L6:L$39)/100,4)</f>
        <v>1.2E-2</v>
      </c>
    </row>
    <row r="7" spans="1:34" s="3180" customFormat="1">
      <c r="A7" s="3176" t="s">
        <v>3293</v>
      </c>
      <c r="B7" s="3177">
        <f t="shared" ref="B7:C11" si="24">B8*(1+N7)</f>
        <v>515.32462683048016</v>
      </c>
      <c r="C7" s="3177">
        <f t="shared" si="24"/>
        <v>353.40206609383176</v>
      </c>
      <c r="D7" s="3177">
        <f t="shared" ref="D7:D11" si="25">C7</f>
        <v>353.40206609383176</v>
      </c>
      <c r="E7" s="3177">
        <f t="shared" ref="E7:F11" si="26">E8*(1+P7)</f>
        <v>745.90609975225482</v>
      </c>
      <c r="F7" s="3177">
        <f t="shared" si="26"/>
        <v>337.73054953888504</v>
      </c>
      <c r="G7" s="3178">
        <v>2022</v>
      </c>
      <c r="H7" s="3179">
        <v>1</v>
      </c>
      <c r="I7" s="3188">
        <v>1.03</v>
      </c>
      <c r="J7" s="3188">
        <v>0.24</v>
      </c>
      <c r="K7" s="3188">
        <v>1.17</v>
      </c>
      <c r="L7" s="3189">
        <v>0.55000000000000004</v>
      </c>
      <c r="N7" s="3181">
        <f t="shared" ref="N7:Q11" si="27">I7/100</f>
        <v>1.03E-2</v>
      </c>
      <c r="O7" s="3181">
        <f t="shared" si="27"/>
        <v>2.3999999999999998E-3</v>
      </c>
      <c r="P7" s="3181">
        <f t="shared" si="27"/>
        <v>1.1699999999999999E-2</v>
      </c>
      <c r="Q7" s="3181">
        <f t="shared" si="27"/>
        <v>5.5000000000000005E-3</v>
      </c>
      <c r="S7" s="3182"/>
      <c r="W7" s="3183" t="s">
        <v>2854</v>
      </c>
      <c r="X7" s="3184">
        <f>ROUND(IF([2]项目基本情况!B1="出让",SUMPRODUCT(PRODUCT(1+N7:N$39)),SUMPRODUCT(PRODUCT(1+N7:N$38))),4)</f>
        <v>1.6756</v>
      </c>
      <c r="Y7" s="3184">
        <f>ROUND(IF([2]项目基本情况!B1="出让",SUMPRODUCT(PRODUCT(1+O7:O$39)),SUMPRODUCT(PRODUCT(1+O7:O$38))),4)</f>
        <v>1.3709</v>
      </c>
      <c r="Z7" s="3184">
        <f t="shared" ref="Z7:Z11" si="28">Y7</f>
        <v>1.3709</v>
      </c>
      <c r="AA7" s="3184">
        <f>ROUND(IF([2]项目基本情况!B1="出让",SUMPRODUCT(PRODUCT(1+P7:P$39)),SUMPRODUCT(PRODUCT(1+P7:P$38))),4)</f>
        <v>1.7638</v>
      </c>
      <c r="AB7" s="3184">
        <f>ROUND(IF([2]项目基本情况!B1="出让",SUMPRODUCT(PRODUCT(1+Q7:Q$39)),SUMPRODUCT(PRODUCT(1+Q7:Q$38))),4)</f>
        <v>1.4690000000000001</v>
      </c>
      <c r="AD7" s="3185">
        <f>ROUND(AVERAGE(I7:I$39)/100,4)</f>
        <v>1.67E-2</v>
      </c>
      <c r="AE7" s="3185">
        <f>ROUND(AVERAGE(J7:J$39)/100,4)</f>
        <v>1.04E-2</v>
      </c>
      <c r="AF7" s="3185">
        <f t="shared" ref="AF7:AF11" si="29">AE7</f>
        <v>1.04E-2</v>
      </c>
      <c r="AG7" s="3185">
        <f>ROUND(AVERAGE(K7:K$39)/100,4)</f>
        <v>1.84E-2</v>
      </c>
      <c r="AH7" s="3185">
        <f>ROUND(AVERAGE(L7:L$39)/100,4)</f>
        <v>1.2200000000000001E-2</v>
      </c>
    </row>
    <row r="8" spans="1:34" s="3194" customFormat="1">
      <c r="A8" s="3186" t="s">
        <v>3294</v>
      </c>
      <c r="B8" s="3187">
        <f t="shared" si="24"/>
        <v>510.07089659554606</v>
      </c>
      <c r="C8" s="3187">
        <f t="shared" si="24"/>
        <v>352.55593185737411</v>
      </c>
      <c r="D8" s="3187">
        <f t="shared" si="25"/>
        <v>352.55593185737411</v>
      </c>
      <c r="E8" s="3187">
        <f t="shared" si="26"/>
        <v>737.27992463403655</v>
      </c>
      <c r="F8" s="3187">
        <f t="shared" si="26"/>
        <v>335.88319198297864</v>
      </c>
      <c r="G8" s="3178">
        <v>2021</v>
      </c>
      <c r="H8" s="3188">
        <v>4</v>
      </c>
      <c r="I8" s="3188">
        <v>1.03</v>
      </c>
      <c r="J8" s="3188">
        <v>0.24</v>
      </c>
      <c r="K8" s="3188">
        <v>1.17</v>
      </c>
      <c r="L8" s="3189">
        <v>0.55000000000000004</v>
      </c>
      <c r="M8" s="3190"/>
      <c r="N8" s="3191">
        <f t="shared" si="27"/>
        <v>1.03E-2</v>
      </c>
      <c r="O8" s="3192">
        <f t="shared" si="27"/>
        <v>2.3999999999999998E-3</v>
      </c>
      <c r="P8" s="3192">
        <f t="shared" si="27"/>
        <v>1.1699999999999999E-2</v>
      </c>
      <c r="Q8" s="3192">
        <f t="shared" si="27"/>
        <v>5.5000000000000005E-3</v>
      </c>
      <c r="R8" s="3193"/>
      <c r="S8" s="3191"/>
      <c r="T8" s="3192"/>
      <c r="U8" s="3192"/>
      <c r="V8" s="3192"/>
      <c r="W8" s="3190"/>
      <c r="X8" s="3190">
        <f>ROUND(IF([2]项目基本情况!B2="出让",SUMPRODUCT(PRODUCT(1+N8:N$39)),SUMPRODUCT(PRODUCT(1+N8:N$38))),4)</f>
        <v>1.6585000000000001</v>
      </c>
      <c r="Y8" s="3190">
        <f>ROUND(IF([2]项目基本情况!B2="出让",SUMPRODUCT(PRODUCT(1+O8:O$39)),SUMPRODUCT(PRODUCT(1+O8:O$38))),4)</f>
        <v>1.3676999999999999</v>
      </c>
      <c r="Z8" s="3190">
        <f t="shared" si="28"/>
        <v>1.3676999999999999</v>
      </c>
      <c r="AA8" s="3190">
        <f>ROUND(IF([2]项目基本情况!B2="出让",SUMPRODUCT(PRODUCT(1+P8:P$39)),SUMPRODUCT(PRODUCT(1+P8:P$38))),4)</f>
        <v>1.7434000000000001</v>
      </c>
      <c r="AB8" s="3190">
        <f>ROUND(IF([2]项目基本情况!B2="出让",SUMPRODUCT(PRODUCT(1+Q8:Q$39)),SUMPRODUCT(PRODUCT(1+Q8:Q$38))),4)</f>
        <v>1.4609000000000001</v>
      </c>
      <c r="AC8" s="3190"/>
      <c r="AD8" s="3192">
        <f>ROUND(AVERAGE(I8:I$39)/100,4)</f>
        <v>1.6899999999999998E-2</v>
      </c>
      <c r="AE8" s="3192">
        <f>ROUND(AVERAGE(J8:J$39)/100,4)</f>
        <v>1.06E-2</v>
      </c>
      <c r="AF8" s="3192">
        <f t="shared" si="29"/>
        <v>1.06E-2</v>
      </c>
      <c r="AG8" s="3192">
        <f>ROUND(AVERAGE(K8:K$39)/100,4)</f>
        <v>1.8700000000000001E-2</v>
      </c>
      <c r="AH8" s="3192">
        <f>ROUND(AVERAGE(L8:L$39)/100,4)</f>
        <v>1.24E-2</v>
      </c>
    </row>
    <row r="9" spans="1:34" s="3194" customFormat="1">
      <c r="A9" s="3186" t="s">
        <v>3295</v>
      </c>
      <c r="B9" s="3187">
        <f t="shared" si="24"/>
        <v>504.87072809615569</v>
      </c>
      <c r="C9" s="3187">
        <f t="shared" si="24"/>
        <v>351.71182348101968</v>
      </c>
      <c r="D9" s="3187">
        <f t="shared" si="25"/>
        <v>351.71182348101968</v>
      </c>
      <c r="E9" s="3187">
        <f t="shared" si="26"/>
        <v>728.75350858360832</v>
      </c>
      <c r="F9" s="3187">
        <f t="shared" si="26"/>
        <v>334.04593931673656</v>
      </c>
      <c r="G9" s="3178">
        <v>2021</v>
      </c>
      <c r="H9" s="3188">
        <v>3</v>
      </c>
      <c r="I9" s="3188">
        <v>0.47</v>
      </c>
      <c r="J9" s="3188">
        <v>0.41</v>
      </c>
      <c r="K9" s="3188">
        <v>0.48</v>
      </c>
      <c r="L9" s="3189">
        <v>0.48</v>
      </c>
      <c r="M9" s="3190"/>
      <c r="N9" s="3191">
        <f t="shared" si="27"/>
        <v>4.6999999999999993E-3</v>
      </c>
      <c r="O9" s="3192">
        <f t="shared" si="27"/>
        <v>4.0999999999999995E-3</v>
      </c>
      <c r="P9" s="3192">
        <f t="shared" si="27"/>
        <v>4.7999999999999996E-3</v>
      </c>
      <c r="Q9" s="3192">
        <f t="shared" si="27"/>
        <v>4.7999999999999996E-3</v>
      </c>
      <c r="R9" s="3193"/>
      <c r="S9" s="3191"/>
      <c r="T9" s="3192"/>
      <c r="U9" s="3192"/>
      <c r="V9" s="3192"/>
      <c r="W9" s="3190"/>
      <c r="X9" s="3190">
        <f>ROUND(IF([2]项目基本情况!B3="出让",SUMPRODUCT(PRODUCT(1+N9:N$39)),SUMPRODUCT(PRODUCT(1+N9:N$38))),4)</f>
        <v>1.6415999999999999</v>
      </c>
      <c r="Y9" s="3190">
        <f>ROUND(IF([2]项目基本情况!B3="出让",SUMPRODUCT(PRODUCT(1+O9:O$39)),SUMPRODUCT(PRODUCT(1+O9:O$38))),4)</f>
        <v>1.3644000000000001</v>
      </c>
      <c r="Z9" s="3190">
        <f t="shared" si="28"/>
        <v>1.3644000000000001</v>
      </c>
      <c r="AA9" s="3190">
        <f>ROUND(IF([2]项目基本情况!B3="出让",SUMPRODUCT(PRODUCT(1+P9:P$39)),SUMPRODUCT(PRODUCT(1+P9:P$38))),4)</f>
        <v>1.7232000000000001</v>
      </c>
      <c r="AB9" s="3190">
        <f>ROUND(IF([2]项目基本情况!B3="出让",SUMPRODUCT(PRODUCT(1+Q9:Q$39)),SUMPRODUCT(PRODUCT(1+Q9:Q$38))),4)</f>
        <v>1.4529000000000001</v>
      </c>
      <c r="AC9" s="3190"/>
      <c r="AD9" s="3192">
        <f>ROUND(AVERAGE(I9:I$39)/100,4)</f>
        <v>1.72E-2</v>
      </c>
      <c r="AE9" s="3192">
        <f>ROUND(AVERAGE(J9:J$39)/100,4)</f>
        <v>1.09E-2</v>
      </c>
      <c r="AF9" s="3192">
        <f t="shared" si="29"/>
        <v>1.09E-2</v>
      </c>
      <c r="AG9" s="3192">
        <f>ROUND(AVERAGE(K9:K$39)/100,4)</f>
        <v>1.89E-2</v>
      </c>
      <c r="AH9" s="3192">
        <f>ROUND(AVERAGE(L9:L$39)/100,4)</f>
        <v>1.26E-2</v>
      </c>
    </row>
    <row r="10" spans="1:34" s="3194" customFormat="1">
      <c r="A10" s="3186" t="s">
        <v>3296</v>
      </c>
      <c r="B10" s="3187">
        <f t="shared" si="24"/>
        <v>502.50893609650217</v>
      </c>
      <c r="C10" s="3187">
        <f t="shared" si="24"/>
        <v>350.27569313914915</v>
      </c>
      <c r="D10" s="3187">
        <f t="shared" si="25"/>
        <v>350.27569313914915</v>
      </c>
      <c r="E10" s="3187">
        <f t="shared" si="26"/>
        <v>725.27220201394141</v>
      </c>
      <c r="F10" s="3187">
        <f t="shared" si="26"/>
        <v>332.45017846012797</v>
      </c>
      <c r="G10" s="3178">
        <v>2021</v>
      </c>
      <c r="H10" s="3188">
        <v>2</v>
      </c>
      <c r="I10" s="3188">
        <v>0.92</v>
      </c>
      <c r="J10" s="3188">
        <v>0.72</v>
      </c>
      <c r="K10" s="3188">
        <v>0.95</v>
      </c>
      <c r="L10" s="3189">
        <v>1.01</v>
      </c>
      <c r="M10" s="3190"/>
      <c r="N10" s="3191">
        <f t="shared" si="27"/>
        <v>9.1999999999999998E-3</v>
      </c>
      <c r="O10" s="3192">
        <f t="shared" si="27"/>
        <v>7.1999999999999998E-3</v>
      </c>
      <c r="P10" s="3192">
        <f t="shared" si="27"/>
        <v>9.4999999999999998E-3</v>
      </c>
      <c r="Q10" s="3192">
        <f t="shared" si="27"/>
        <v>1.01E-2</v>
      </c>
      <c r="R10" s="3193"/>
      <c r="S10" s="3191"/>
      <c r="T10" s="3192"/>
      <c r="U10" s="3192"/>
      <c r="V10" s="3192"/>
      <c r="W10" s="3190"/>
      <c r="X10" s="3190">
        <f>ROUND(IF([2]项目基本情况!B4="出让",SUMPRODUCT(PRODUCT(1+N10:N$39)),SUMPRODUCT(PRODUCT(1+N10:N$38))),4)</f>
        <v>1.6338999999999999</v>
      </c>
      <c r="Y10" s="3190">
        <f>ROUND(IF([2]项目基本情况!B4="出让",SUMPRODUCT(PRODUCT(1+O10:O$39)),SUMPRODUCT(PRODUCT(1+O10:O$38))),4)</f>
        <v>1.3588</v>
      </c>
      <c r="Z10" s="3190">
        <f t="shared" si="28"/>
        <v>1.3588</v>
      </c>
      <c r="AA10" s="3190">
        <f>ROUND(IF([2]项目基本情况!B4="出让",SUMPRODUCT(PRODUCT(1+P10:P$39)),SUMPRODUCT(PRODUCT(1+P10:P$38))),4)</f>
        <v>1.7150000000000001</v>
      </c>
      <c r="AB10" s="3190">
        <f>ROUND(IF([2]项目基本情况!B4="出让",SUMPRODUCT(PRODUCT(1+Q10:Q$39)),SUMPRODUCT(PRODUCT(1+Q10:Q$38))),4)</f>
        <v>1.446</v>
      </c>
      <c r="AC10" s="3190"/>
      <c r="AD10" s="3192">
        <f>ROUND(AVERAGE(I10:I$39)/100,4)</f>
        <v>1.7600000000000001E-2</v>
      </c>
      <c r="AE10" s="3192">
        <f>ROUND(AVERAGE(J10:J$39)/100,4)</f>
        <v>1.11E-2</v>
      </c>
      <c r="AF10" s="3192">
        <f t="shared" si="29"/>
        <v>1.11E-2</v>
      </c>
      <c r="AG10" s="3192">
        <f>ROUND(AVERAGE(K10:K$39)/100,4)</f>
        <v>1.9400000000000001E-2</v>
      </c>
      <c r="AH10" s="3192">
        <f>ROUND(AVERAGE(L10:L$39)/100,4)</f>
        <v>1.2800000000000001E-2</v>
      </c>
    </row>
    <row r="11" spans="1:34" s="3194" customFormat="1">
      <c r="A11" s="3186" t="s">
        <v>3056</v>
      </c>
      <c r="B11" s="3187">
        <f t="shared" si="24"/>
        <v>497.92799851020823</v>
      </c>
      <c r="C11" s="3187">
        <f t="shared" si="24"/>
        <v>347.77173663537445</v>
      </c>
      <c r="D11" s="3187">
        <f t="shared" si="25"/>
        <v>347.77173663537445</v>
      </c>
      <c r="E11" s="3187">
        <f t="shared" si="26"/>
        <v>718.44695593258189</v>
      </c>
      <c r="F11" s="3187">
        <f t="shared" si="26"/>
        <v>329.12600580153247</v>
      </c>
      <c r="G11" s="3178">
        <v>2021</v>
      </c>
      <c r="H11" s="3188">
        <v>1</v>
      </c>
      <c r="I11" s="3188">
        <v>0.97</v>
      </c>
      <c r="J11" s="3188">
        <v>0.16</v>
      </c>
      <c r="K11" s="3188">
        <v>1.1100000000000001</v>
      </c>
      <c r="L11" s="3189">
        <v>0.36</v>
      </c>
      <c r="M11" s="3190"/>
      <c r="N11" s="3191">
        <f t="shared" si="27"/>
        <v>9.7000000000000003E-3</v>
      </c>
      <c r="O11" s="3192">
        <f t="shared" si="27"/>
        <v>1.6000000000000001E-3</v>
      </c>
      <c r="P11" s="3192">
        <f t="shared" si="27"/>
        <v>1.11E-2</v>
      </c>
      <c r="Q11" s="3192">
        <f t="shared" si="27"/>
        <v>3.5999999999999999E-3</v>
      </c>
      <c r="R11" s="3193"/>
      <c r="S11" s="3191">
        <f>B11/B12-1</f>
        <v>9.7000000000000419E-3</v>
      </c>
      <c r="T11" s="3192">
        <f t="shared" ref="T11:V11" si="30">C11/C12-1</f>
        <v>1.6000000000000458E-3</v>
      </c>
      <c r="U11" s="3192">
        <f t="shared" si="30"/>
        <v>1.6000000000000458E-3</v>
      </c>
      <c r="V11" s="3192">
        <f t="shared" si="30"/>
        <v>1.110000000000011E-2</v>
      </c>
      <c r="W11" s="3190"/>
      <c r="X11" s="3190">
        <f>ROUND(IF([2]项目基本情况!B5="出让",SUMPRODUCT(PRODUCT(1+N11:N$39)),SUMPRODUCT(PRODUCT(1+N11:N$38))),4)</f>
        <v>1.619</v>
      </c>
      <c r="Y11" s="3190">
        <f>ROUND(IF([2]项目基本情况!B5="出让",SUMPRODUCT(PRODUCT(1+O11:O$39)),SUMPRODUCT(PRODUCT(1+O11:O$38))),4)</f>
        <v>1.3491</v>
      </c>
      <c r="Z11" s="3190">
        <f t="shared" si="28"/>
        <v>1.3491</v>
      </c>
      <c r="AA11" s="3190">
        <f>ROUND(IF([2]项目基本情况!B5="出让",SUMPRODUCT(PRODUCT(1+P11:P$39)),SUMPRODUCT(PRODUCT(1+P11:P$38))),4)</f>
        <v>1.6988000000000001</v>
      </c>
      <c r="AB11" s="3190">
        <f>ROUND(IF([2]项目基本情况!B5="出让",SUMPRODUCT(PRODUCT(1+Q11:Q$39)),SUMPRODUCT(PRODUCT(1+Q11:Q$38))),4)</f>
        <v>1.4315</v>
      </c>
      <c r="AC11" s="3190"/>
      <c r="AD11" s="3192">
        <f>ROUND(AVERAGE(I11:I$39)/100,4)</f>
        <v>1.7899999999999999E-2</v>
      </c>
      <c r="AE11" s="3192">
        <f>ROUND(AVERAGE(J11:J$39)/100,4)</f>
        <v>1.12E-2</v>
      </c>
      <c r="AF11" s="3192">
        <f t="shared" si="29"/>
        <v>1.12E-2</v>
      </c>
      <c r="AG11" s="3192">
        <f>ROUND(AVERAGE(K11:K$39)/100,4)</f>
        <v>1.9699999999999999E-2</v>
      </c>
      <c r="AH11" s="3192">
        <f>ROUND(AVERAGE(L11:L$39)/100,4)</f>
        <v>1.29E-2</v>
      </c>
    </row>
    <row r="12" spans="1:34" s="2420" customFormat="1">
      <c r="A12" s="2413" t="s">
        <v>3054</v>
      </c>
      <c r="B12" s="2414">
        <f t="shared" ref="B12" si="31">B13*(1+N12)</f>
        <v>493.14449689037161</v>
      </c>
      <c r="C12" s="2414">
        <f t="shared" ref="C12" si="32">C13*(1+O12)</f>
        <v>347.21619073020611</v>
      </c>
      <c r="D12" s="2414">
        <f t="shared" ref="D12" si="33">C12</f>
        <v>347.21619073020611</v>
      </c>
      <c r="E12" s="2414">
        <f t="shared" ref="E12" si="34">E13*(1+P12)</f>
        <v>710.55974278763904</v>
      </c>
      <c r="F12" s="2414">
        <f t="shared" ref="F12" si="35">F13*(1+Q12)</f>
        <v>327.94540235306141</v>
      </c>
      <c r="G12" s="3031">
        <v>2020</v>
      </c>
      <c r="H12" s="2415">
        <v>4</v>
      </c>
      <c r="I12" s="2386">
        <v>2.0699999999999998</v>
      </c>
      <c r="J12" s="2386">
        <v>0.37</v>
      </c>
      <c r="K12" s="2386">
        <v>2.35</v>
      </c>
      <c r="L12" s="2387">
        <v>2.69</v>
      </c>
      <c r="M12" s="2409"/>
      <c r="N12" s="2416">
        <f t="shared" ref="N12" si="36">I12/100</f>
        <v>2.07E-2</v>
      </c>
      <c r="O12" s="2410">
        <f t="shared" ref="O12" si="37">J12/100</f>
        <v>3.7000000000000002E-3</v>
      </c>
      <c r="P12" s="2410">
        <f t="shared" ref="P12" si="38">K12/100</f>
        <v>2.35E-2</v>
      </c>
      <c r="Q12" s="2410">
        <f t="shared" ref="Q12" si="39">L12/100</f>
        <v>2.69E-2</v>
      </c>
      <c r="R12" s="2417"/>
      <c r="S12" s="2416"/>
      <c r="T12" s="2410"/>
      <c r="U12" s="2410"/>
      <c r="V12" s="2410"/>
      <c r="W12" s="2418"/>
      <c r="X12" s="2418">
        <f>ROUND(IF(项目基本情况!B6="出让",SUMPRODUCT(PRODUCT(1+N12:N$39)),SUMPRODUCT(PRODUCT(1+N12:N$38))),4)</f>
        <v>1.6034999999999999</v>
      </c>
      <c r="Y12" s="2418">
        <f>ROUND(IF(项目基本情况!B6="出让",SUMPRODUCT(PRODUCT(1+O12:O$39)),SUMPRODUCT(PRODUCT(1+O12:O$38))),4)</f>
        <v>1.3469</v>
      </c>
      <c r="Z12" s="2418">
        <f t="shared" ref="Z12" si="40">Y12</f>
        <v>1.3469</v>
      </c>
      <c r="AA12" s="2418">
        <f>ROUND(IF(项目基本情况!B6="出让",SUMPRODUCT(PRODUCT(1+P12:P$39)),SUMPRODUCT(PRODUCT(1+P12:P$38))),4)</f>
        <v>1.6801999999999999</v>
      </c>
      <c r="AB12" s="2418">
        <f>ROUND(IF(项目基本情况!B6="出让",SUMPRODUCT(PRODUCT(1+Q12:Q$39)),SUMPRODUCT(PRODUCT(1+Q12:Q$38))),4)</f>
        <v>1.4263999999999999</v>
      </c>
      <c r="AC12" s="2418"/>
      <c r="AD12" s="2419">
        <f>ROUND(AVERAGE(I12:I$39)/100,4)</f>
        <v>1.8200000000000001E-2</v>
      </c>
      <c r="AE12" s="2419">
        <f>ROUND(AVERAGE(J12:J$39)/100,4)</f>
        <v>1.1599999999999999E-2</v>
      </c>
      <c r="AF12" s="2419">
        <f t="shared" ref="AF12" si="41">AE12</f>
        <v>1.1599999999999999E-2</v>
      </c>
      <c r="AG12" s="2419">
        <f>ROUND(AVERAGE(K12:K$39)/100,4)</f>
        <v>0.02</v>
      </c>
      <c r="AH12" s="2419">
        <f>ROUND(AVERAGE(L12:L$39)/100,4)</f>
        <v>1.3299999999999999E-2</v>
      </c>
    </row>
    <row r="13" spans="1:34" s="2420" customFormat="1">
      <c r="A13" s="2413" t="s">
        <v>3053</v>
      </c>
      <c r="B13" s="2414">
        <f t="shared" ref="B13" si="42">B14*(1+N13)</f>
        <v>483.1434279321756</v>
      </c>
      <c r="C13" s="2414">
        <f t="shared" ref="C13" si="43">C14*(1+O13)</f>
        <v>345.93622669144776</v>
      </c>
      <c r="D13" s="2414">
        <f t="shared" ref="D13" si="44">C13</f>
        <v>345.93622669144776</v>
      </c>
      <c r="E13" s="2414">
        <f t="shared" ref="E13" si="45">E14*(1+P13)</f>
        <v>694.24498562544113</v>
      </c>
      <c r="F13" s="2414">
        <f t="shared" ref="F13" si="46">F14*(1+Q13)</f>
        <v>319.35475932716082</v>
      </c>
      <c r="G13" s="3028">
        <v>2020</v>
      </c>
      <c r="H13" s="2415">
        <v>3</v>
      </c>
      <c r="I13" s="2386">
        <v>0.36</v>
      </c>
      <c r="J13" s="2386">
        <v>-0.39</v>
      </c>
      <c r="K13" s="2386">
        <v>0.49</v>
      </c>
      <c r="L13" s="2387">
        <v>7.0000000000000007E-2</v>
      </c>
      <c r="M13" s="2409"/>
      <c r="N13" s="2416">
        <f t="shared" ref="N13" si="47">I13/100</f>
        <v>3.5999999999999999E-3</v>
      </c>
      <c r="O13" s="2410">
        <f t="shared" ref="O13" si="48">J13/100</f>
        <v>-3.9000000000000003E-3</v>
      </c>
      <c r="P13" s="2410">
        <f t="shared" ref="P13" si="49">K13/100</f>
        <v>4.8999999999999998E-3</v>
      </c>
      <c r="Q13" s="2410">
        <f t="shared" ref="Q13" si="50">L13/100</f>
        <v>7.000000000000001E-4</v>
      </c>
      <c r="R13" s="2417"/>
      <c r="S13" s="2416"/>
      <c r="T13" s="2410"/>
      <c r="U13" s="2410"/>
      <c r="V13" s="2410"/>
      <c r="W13" s="2418"/>
      <c r="X13" s="2418">
        <f>ROUND(IF(项目基本情况!B7="出让",SUMPRODUCT(PRODUCT(1+N13:N$39)),SUMPRODUCT(PRODUCT(1+N13:N$38))),4)</f>
        <v>1.571</v>
      </c>
      <c r="Y13" s="2418">
        <f>ROUND(IF(项目基本情况!B7="出让",SUMPRODUCT(PRODUCT(1+O13:O$39)),SUMPRODUCT(PRODUCT(1+O13:O$38))),4)</f>
        <v>1.3420000000000001</v>
      </c>
      <c r="Z13" s="2418">
        <f t="shared" ref="Z13" si="51">Y13</f>
        <v>1.3420000000000001</v>
      </c>
      <c r="AA13" s="2418">
        <f>ROUND(IF(项目基本情况!B7="出让",SUMPRODUCT(PRODUCT(1+P13:P$39)),SUMPRODUCT(PRODUCT(1+P13:P$38))),4)</f>
        <v>1.6415999999999999</v>
      </c>
      <c r="AB13" s="2418">
        <f>ROUND(IF(项目基本情况!B7="出让",SUMPRODUCT(PRODUCT(1+Q13:Q$39)),SUMPRODUCT(PRODUCT(1+Q13:Q$38))),4)</f>
        <v>1.389</v>
      </c>
      <c r="AC13" s="2418"/>
      <c r="AD13" s="2419">
        <f>ROUND(AVERAGE(I13:I$39)/100,4)</f>
        <v>1.8100000000000002E-2</v>
      </c>
      <c r="AE13" s="2419">
        <f>ROUND(AVERAGE(J13:J$39)/100,4)</f>
        <v>1.1900000000000001E-2</v>
      </c>
      <c r="AF13" s="2419">
        <f t="shared" ref="AF13" si="52">AE13</f>
        <v>1.1900000000000001E-2</v>
      </c>
      <c r="AG13" s="2419">
        <f>ROUND(AVERAGE(K13:K$39)/100,4)</f>
        <v>1.9900000000000001E-2</v>
      </c>
      <c r="AH13" s="2419">
        <f>ROUND(AVERAGE(L13:L$39)/100,4)</f>
        <v>1.2800000000000001E-2</v>
      </c>
    </row>
    <row r="14" spans="1:34" s="2420" customFormat="1">
      <c r="A14" s="2413" t="s">
        <v>2870</v>
      </c>
      <c r="B14" s="2414">
        <f t="shared" ref="B14" si="53">B15*(1+N14)</f>
        <v>481.4103506697644</v>
      </c>
      <c r="C14" s="2414">
        <f t="shared" ref="C14" si="54">C15*(1+O14)</f>
        <v>347.29066026648707</v>
      </c>
      <c r="D14" s="2414">
        <f t="shared" ref="D14" si="55">C14</f>
        <v>347.29066026648707</v>
      </c>
      <c r="E14" s="2414">
        <f t="shared" ref="E14" si="56">E15*(1+P14)</f>
        <v>690.85977273901995</v>
      </c>
      <c r="F14" s="2414">
        <f t="shared" ref="F14" si="57">F15*(1+Q14)</f>
        <v>319.13136737000184</v>
      </c>
      <c r="G14" s="2411">
        <v>2020</v>
      </c>
      <c r="H14" s="2415">
        <v>2</v>
      </c>
      <c r="I14" s="2386">
        <v>0.31</v>
      </c>
      <c r="J14" s="2386">
        <v>-0.78</v>
      </c>
      <c r="K14" s="2386">
        <v>0.5</v>
      </c>
      <c r="L14" s="2387">
        <v>0.47</v>
      </c>
      <c r="M14" s="2409"/>
      <c r="N14" s="2416">
        <f t="shared" ref="N14" si="58">I14/100</f>
        <v>3.0999999999999999E-3</v>
      </c>
      <c r="O14" s="2410">
        <f t="shared" ref="O14" si="59">J14/100</f>
        <v>-7.8000000000000005E-3</v>
      </c>
      <c r="P14" s="2410">
        <f t="shared" ref="P14" si="60">K14/100</f>
        <v>5.0000000000000001E-3</v>
      </c>
      <c r="Q14" s="2410">
        <f t="shared" ref="Q14" si="61">L14/100</f>
        <v>4.6999999999999993E-3</v>
      </c>
      <c r="R14" s="2417"/>
      <c r="S14" s="2416"/>
      <c r="T14" s="2410"/>
      <c r="U14" s="2410"/>
      <c r="V14" s="2410"/>
      <c r="W14" s="2418"/>
      <c r="X14" s="2418">
        <f>ROUND(IF(项目基本情况!B8="出让",SUMPRODUCT(PRODUCT(1+N14:N$39)),SUMPRODUCT(PRODUCT(1+N14:N$38))),4)</f>
        <v>1.5652999999999999</v>
      </c>
      <c r="Y14" s="2418">
        <f>ROUND(IF(项目基本情况!B8="出让",SUMPRODUCT(PRODUCT(1+O14:O$39)),SUMPRODUCT(PRODUCT(1+O14:O$38))),4)</f>
        <v>1.3472</v>
      </c>
      <c r="Z14" s="2418">
        <f t="shared" ref="Z14" si="62">Y14</f>
        <v>1.3472</v>
      </c>
      <c r="AA14" s="2418">
        <f>ROUND(IF(项目基本情况!B8="出让",SUMPRODUCT(PRODUCT(1+P14:P$39)),SUMPRODUCT(PRODUCT(1+P14:P$38))),4)</f>
        <v>1.6335999999999999</v>
      </c>
      <c r="AB14" s="2418">
        <f>ROUND(IF(项目基本情况!B8="出让",SUMPRODUCT(PRODUCT(1+Q14:Q$39)),SUMPRODUCT(PRODUCT(1+Q14:Q$38))),4)</f>
        <v>1.3880999999999999</v>
      </c>
      <c r="AC14" s="2418"/>
      <c r="AD14" s="2419">
        <f>ROUND(AVERAGE(I14:I$39)/100,4)</f>
        <v>1.8599999999999998E-2</v>
      </c>
      <c r="AE14" s="2419">
        <f>ROUND(AVERAGE(J14:J$39)/100,4)</f>
        <v>1.2500000000000001E-2</v>
      </c>
      <c r="AF14" s="2419">
        <f t="shared" ref="AF14" si="63">AE14</f>
        <v>1.2500000000000001E-2</v>
      </c>
      <c r="AG14" s="2419">
        <f>ROUND(AVERAGE(K14:K$39)/100,4)</f>
        <v>2.0400000000000001E-2</v>
      </c>
      <c r="AH14" s="2419">
        <f>ROUND(AVERAGE(L14:L$39)/100,4)</f>
        <v>1.32E-2</v>
      </c>
    </row>
    <row r="15" spans="1:34" s="2420" customFormat="1">
      <c r="A15" s="2413" t="s">
        <v>2868</v>
      </c>
      <c r="B15" s="2414">
        <f t="shared" ref="B15" si="64">B16*(1+N15)</f>
        <v>479.92259063878413</v>
      </c>
      <c r="C15" s="2414">
        <f t="shared" ref="C15" si="65">C16*(1+O15)</f>
        <v>350.02082268341775</v>
      </c>
      <c r="D15" s="2414">
        <f t="shared" ref="D15" si="66">C15</f>
        <v>350.02082268341775</v>
      </c>
      <c r="E15" s="2414">
        <f t="shared" ref="E15" si="67">E16*(1+P15)</f>
        <v>687.42265944181099</v>
      </c>
      <c r="F15" s="2414">
        <f t="shared" ref="F15" si="68">F16*(1+Q15)</f>
        <v>317.63846657708956</v>
      </c>
      <c r="G15" s="2411">
        <v>2020</v>
      </c>
      <c r="H15" s="2415">
        <v>1</v>
      </c>
      <c r="I15" s="2386">
        <v>0.12</v>
      </c>
      <c r="J15" s="2386">
        <v>-0.4</v>
      </c>
      <c r="K15" s="2386">
        <v>0.21</v>
      </c>
      <c r="L15" s="2387">
        <v>0.27</v>
      </c>
      <c r="M15" s="2409"/>
      <c r="N15" s="2416">
        <f t="shared" ref="N15" si="69">I15/100</f>
        <v>1.1999999999999999E-3</v>
      </c>
      <c r="O15" s="2410">
        <f t="shared" ref="O15" si="70">J15/100</f>
        <v>-4.0000000000000001E-3</v>
      </c>
      <c r="P15" s="2410">
        <f t="shared" ref="P15" si="71">K15/100</f>
        <v>2.0999999999999999E-3</v>
      </c>
      <c r="Q15" s="2410">
        <f t="shared" ref="Q15" si="72">L15/100</f>
        <v>2.7000000000000001E-3</v>
      </c>
      <c r="R15" s="2417"/>
      <c r="S15" s="2416">
        <f>B15/B16-1</f>
        <v>1.2000000000000899E-3</v>
      </c>
      <c r="T15" s="2410">
        <f t="shared" ref="T15" si="73">C15/C16-1</f>
        <v>-4.0000000000000036E-3</v>
      </c>
      <c r="U15" s="2410">
        <f t="shared" ref="U15" si="74">D15/D16-1</f>
        <v>-4.0000000000000036E-3</v>
      </c>
      <c r="V15" s="2410">
        <f t="shared" ref="V15" si="75">E15/E16-1</f>
        <v>2.0999999999999908E-3</v>
      </c>
      <c r="W15" s="2418"/>
      <c r="X15" s="2418">
        <f>ROUND(IF(项目基本情况!B8="出让",SUMPRODUCT(PRODUCT(1+N15:N$39)),SUMPRODUCT(PRODUCT(1+N15:N$38))),4)</f>
        <v>1.5605</v>
      </c>
      <c r="Y15" s="2418">
        <f>ROUND(IF(项目基本情况!B8="出让",SUMPRODUCT(PRODUCT(1+O15:O$39)),SUMPRODUCT(PRODUCT(1+O15:O$38))),4)</f>
        <v>1.3577999999999999</v>
      </c>
      <c r="Z15" s="2418">
        <f t="shared" ref="Z15" si="76">Y15</f>
        <v>1.3577999999999999</v>
      </c>
      <c r="AA15" s="2418">
        <f>ROUND(IF(项目基本情况!B8="出让",SUMPRODUCT(PRODUCT(1+P15:P$39)),SUMPRODUCT(PRODUCT(1+P15:P$38))),4)</f>
        <v>1.6254999999999999</v>
      </c>
      <c r="AB15" s="2418">
        <f>ROUND(IF(项目基本情况!B8="出让",SUMPRODUCT(PRODUCT(1+Q15:Q$39)),SUMPRODUCT(PRODUCT(1+Q15:Q$38))),4)</f>
        <v>1.3815999999999999</v>
      </c>
      <c r="AC15" s="2418"/>
      <c r="AD15" s="2419">
        <f>ROUND(AVERAGE(I15:I$39)/100,4)</f>
        <v>1.9199999999999998E-2</v>
      </c>
      <c r="AE15" s="2419">
        <f>ROUND(AVERAGE(J15:J$39)/100,4)</f>
        <v>1.3299999999999999E-2</v>
      </c>
      <c r="AF15" s="2419">
        <f t="shared" ref="AF15" si="77">AE15</f>
        <v>1.3299999999999999E-2</v>
      </c>
      <c r="AG15" s="2419">
        <f>ROUND(AVERAGE(K15:K$39)/100,4)</f>
        <v>2.1100000000000001E-2</v>
      </c>
      <c r="AH15" s="2419">
        <f>ROUND(AVERAGE(L15:L$39)/100,4)</f>
        <v>1.3599999999999999E-2</v>
      </c>
    </row>
    <row r="16" spans="1:34" s="2420" customFormat="1">
      <c r="A16" s="2413" t="s">
        <v>2867</v>
      </c>
      <c r="B16" s="2414">
        <f t="shared" ref="B16" si="78">B17*(1+N16)</f>
        <v>479.34737379023579</v>
      </c>
      <c r="C16" s="2414">
        <f t="shared" ref="C16" si="79">C17*(1+O16)</f>
        <v>351.4265287986122</v>
      </c>
      <c r="D16" s="2414">
        <f t="shared" ref="D16" si="80">C16</f>
        <v>351.4265287986122</v>
      </c>
      <c r="E16" s="2414">
        <f t="shared" ref="E16" si="81">E17*(1+P16)</f>
        <v>685.98209703803116</v>
      </c>
      <c r="F16" s="2414">
        <f t="shared" ref="F16" si="82">F17*(1+Q16)</f>
        <v>316.78315206651001</v>
      </c>
      <c r="G16" s="2411">
        <v>2019</v>
      </c>
      <c r="H16" s="2415">
        <v>4</v>
      </c>
      <c r="I16" s="2415">
        <v>0.45</v>
      </c>
      <c r="J16" s="2415">
        <v>-0.12</v>
      </c>
      <c r="K16" s="2415">
        <v>0.54</v>
      </c>
      <c r="L16" s="2421">
        <v>0.48</v>
      </c>
      <c r="M16" s="2409"/>
      <c r="N16" s="2416">
        <f t="shared" ref="N16:N21" si="83">I16/100</f>
        <v>4.5000000000000005E-3</v>
      </c>
      <c r="O16" s="2410">
        <f t="shared" ref="O16" si="84">J16/100</f>
        <v>-1.1999999999999999E-3</v>
      </c>
      <c r="P16" s="2410">
        <f t="shared" ref="P16" si="85">K16/100</f>
        <v>5.4000000000000003E-3</v>
      </c>
      <c r="Q16" s="2410">
        <f t="shared" ref="Q16" si="86">L16/100</f>
        <v>4.7999999999999996E-3</v>
      </c>
      <c r="R16" s="2417"/>
      <c r="S16" s="2416"/>
      <c r="T16" s="2410"/>
      <c r="U16" s="2410"/>
      <c r="V16" s="2410"/>
      <c r="W16" s="2418"/>
      <c r="X16" s="2418">
        <f>ROUND(IF(项目基本情况!B8="出让",SUMPRODUCT(PRODUCT(1+N16:N$39)),SUMPRODUCT(PRODUCT(1+N16:N$38))),4)</f>
        <v>1.5586</v>
      </c>
      <c r="Y16" s="2418">
        <f>ROUND(IF(项目基本情况!B8="出让",SUMPRODUCT(PRODUCT(1+O16:O$39)),SUMPRODUCT(PRODUCT(1+O16:O$38))),4)</f>
        <v>1.3633</v>
      </c>
      <c r="Z16" s="2418">
        <f t="shared" ref="Z16" si="87">Y16</f>
        <v>1.3633</v>
      </c>
      <c r="AA16" s="2418">
        <f>ROUND(IF(项目基本情况!B8="出让",SUMPRODUCT(PRODUCT(1+P16:P$39)),SUMPRODUCT(PRODUCT(1+P16:P$38))),4)</f>
        <v>1.6221000000000001</v>
      </c>
      <c r="AB16" s="2418">
        <f>ROUND(IF(项目基本情况!B8="出让",SUMPRODUCT(PRODUCT(1+Q16:Q$39)),SUMPRODUCT(PRODUCT(1+Q16:Q$38))),4)</f>
        <v>1.3777999999999999</v>
      </c>
      <c r="AC16" s="2418"/>
      <c r="AD16" s="2419">
        <f>ROUND(AVERAGE(I16:I$39)/100,4)</f>
        <v>0.02</v>
      </c>
      <c r="AE16" s="2419">
        <f>ROUND(AVERAGE(J16:J$39)/100,4)</f>
        <v>1.4E-2</v>
      </c>
      <c r="AF16" s="2419">
        <f t="shared" ref="AF16" si="88">AE16</f>
        <v>1.4E-2</v>
      </c>
      <c r="AG16" s="2419">
        <f>ROUND(AVERAGE(K16:K$39)/100,4)</f>
        <v>2.1899999999999999E-2</v>
      </c>
      <c r="AH16" s="2419">
        <f>ROUND(AVERAGE(L16:L$39)/100,4)</f>
        <v>1.4E-2</v>
      </c>
    </row>
    <row r="17" spans="1:34" s="2420" customFormat="1" ht="13.5" thickBot="1">
      <c r="A17" s="2413" t="s">
        <v>2866</v>
      </c>
      <c r="B17" s="2414">
        <f t="shared" ref="B17" si="89">B18*(1+N17)</f>
        <v>477.19997390765138</v>
      </c>
      <c r="C17" s="2414">
        <f t="shared" ref="C17" si="90">C18*(1+O17)</f>
        <v>351.84874729536665</v>
      </c>
      <c r="D17" s="2414">
        <f t="shared" ref="D17" si="91">C17</f>
        <v>351.84874729536665</v>
      </c>
      <c r="E17" s="2414">
        <f t="shared" ref="E17" si="92">E18*(1+P17)</f>
        <v>682.29768951465201</v>
      </c>
      <c r="F17" s="2414">
        <f t="shared" ref="F17" si="93">F18*(1+Q17)</f>
        <v>315.26985675409043</v>
      </c>
      <c r="G17" s="2411">
        <v>2019</v>
      </c>
      <c r="H17" s="2415">
        <v>3</v>
      </c>
      <c r="I17" s="2415">
        <v>0.61</v>
      </c>
      <c r="J17" s="2415">
        <v>0.67</v>
      </c>
      <c r="K17" s="2415">
        <v>0.6</v>
      </c>
      <c r="L17" s="2421">
        <v>1.03</v>
      </c>
      <c r="M17" s="2409"/>
      <c r="N17" s="2416">
        <f t="shared" si="83"/>
        <v>6.0999999999999995E-3</v>
      </c>
      <c r="O17" s="2410">
        <f t="shared" ref="O17" si="94">J17/100</f>
        <v>6.7000000000000002E-3</v>
      </c>
      <c r="P17" s="2410">
        <f t="shared" ref="P17" si="95">K17/100</f>
        <v>6.0000000000000001E-3</v>
      </c>
      <c r="Q17" s="2410">
        <f t="shared" ref="Q17" si="96">L17/100</f>
        <v>1.03E-2</v>
      </c>
      <c r="R17" s="2417"/>
      <c r="S17" s="2416"/>
      <c r="T17" s="2410"/>
      <c r="U17" s="2410"/>
      <c r="V17" s="2410"/>
      <c r="W17" s="2418"/>
      <c r="X17" s="2418">
        <f>ROUND(IF(项目基本情况!B8="出让",SUMPRODUCT(PRODUCT(1+N17:N$39)),SUMPRODUCT(PRODUCT(1+N17:N$38))),4)</f>
        <v>1.5516000000000001</v>
      </c>
      <c r="Y17" s="2418">
        <f>ROUND(IF(项目基本情况!B8="出让",SUMPRODUCT(PRODUCT(1+O17:O$39)),SUMPRODUCT(PRODUCT(1+O17:O$38))),4)</f>
        <v>1.3649</v>
      </c>
      <c r="Z17" s="2418">
        <f t="shared" ref="Z17" si="97">Y17</f>
        <v>1.3649</v>
      </c>
      <c r="AA17" s="2418">
        <f>ROUND(IF(项目基本情况!B8="出让",SUMPRODUCT(PRODUCT(1+P17:P$39)),SUMPRODUCT(PRODUCT(1+P17:P$38))),4)</f>
        <v>1.6133999999999999</v>
      </c>
      <c r="AB17" s="2418">
        <f>ROUND(IF(项目基本情况!B8="出让",SUMPRODUCT(PRODUCT(1+Q17:Q$39)),SUMPRODUCT(PRODUCT(1+Q17:Q$38))),4)</f>
        <v>1.3713</v>
      </c>
      <c r="AC17" s="2418"/>
      <c r="AD17" s="2419">
        <f>ROUND(AVERAGE(I17:I$39)/100,4)</f>
        <v>2.07E-2</v>
      </c>
      <c r="AE17" s="2419">
        <f>ROUND(AVERAGE(J17:J$39)/100,4)</f>
        <v>1.47E-2</v>
      </c>
      <c r="AF17" s="2419">
        <f t="shared" ref="AF17" si="98">AE17</f>
        <v>1.47E-2</v>
      </c>
      <c r="AG17" s="2419">
        <f>ROUND(AVERAGE(K17:K$39)/100,4)</f>
        <v>2.2599999999999999E-2</v>
      </c>
      <c r="AH17" s="2419">
        <f>ROUND(AVERAGE(L17:L$39)/100,4)</f>
        <v>1.44E-2</v>
      </c>
    </row>
    <row r="18" spans="1:34" s="2420" customFormat="1">
      <c r="A18" s="2413" t="s">
        <v>2864</v>
      </c>
      <c r="B18" s="2414">
        <f t="shared" ref="B18" si="99">B19*(1+N18)</f>
        <v>474.30670301923408</v>
      </c>
      <c r="C18" s="2414">
        <f t="shared" ref="C18" si="100">C19*(1+O18)</f>
        <v>349.50705005996491</v>
      </c>
      <c r="D18" s="2414">
        <f t="shared" ref="D18" si="101">C18</f>
        <v>349.50705005996491</v>
      </c>
      <c r="E18" s="2414">
        <f t="shared" ref="E18" si="102">E19*(1+P18)</f>
        <v>678.22831959706957</v>
      </c>
      <c r="F18" s="2414">
        <f t="shared" ref="F18" si="103">F19*(1+Q18)</f>
        <v>312.0556832169558</v>
      </c>
      <c r="G18" s="2411">
        <v>2019</v>
      </c>
      <c r="H18" s="2422">
        <v>2</v>
      </c>
      <c r="I18" s="2422">
        <v>1.53</v>
      </c>
      <c r="J18" s="2422">
        <v>1.01</v>
      </c>
      <c r="K18" s="2422">
        <v>1.62</v>
      </c>
      <c r="L18" s="2423">
        <v>1.25</v>
      </c>
      <c r="M18" s="2409"/>
      <c r="N18" s="2416">
        <f t="shared" si="83"/>
        <v>1.5300000000000001E-2</v>
      </c>
      <c r="O18" s="2410">
        <f t="shared" ref="O18" si="104">J18/100</f>
        <v>1.01E-2</v>
      </c>
      <c r="P18" s="2410">
        <f t="shared" ref="P18" si="105">K18/100</f>
        <v>1.6200000000000003E-2</v>
      </c>
      <c r="Q18" s="2410">
        <f t="shared" ref="Q18" si="106">L18/100</f>
        <v>1.2500000000000001E-2</v>
      </c>
      <c r="R18" s="2417"/>
      <c r="S18" s="2416"/>
      <c r="T18" s="2410"/>
      <c r="U18" s="2410"/>
      <c r="V18" s="2410"/>
      <c r="W18" s="2418"/>
      <c r="X18" s="2418">
        <f>ROUND(IF(项目基本情况!B8="出让",SUMPRODUCT(PRODUCT(1+N18:N$39)),SUMPRODUCT(PRODUCT(1+N18:N$38))),4)</f>
        <v>1.5422</v>
      </c>
      <c r="Y18" s="2418">
        <f>ROUND(IF(项目基本情况!B8="出让",SUMPRODUCT(PRODUCT(1+O18:O$39)),SUMPRODUCT(PRODUCT(1+O18:O$38))),4)</f>
        <v>1.3557999999999999</v>
      </c>
      <c r="Z18" s="2418">
        <f t="shared" ref="Z18" si="107">Y18</f>
        <v>1.3557999999999999</v>
      </c>
      <c r="AA18" s="2418">
        <f>ROUND(IF(项目基本情况!B8="出让",SUMPRODUCT(PRODUCT(1+P18:P$39)),SUMPRODUCT(PRODUCT(1+P18:P$38))),4)</f>
        <v>1.6036999999999999</v>
      </c>
      <c r="AB18" s="2418">
        <f>ROUND(IF(项目基本情况!B8="出让",SUMPRODUCT(PRODUCT(1+Q18:Q$39)),SUMPRODUCT(PRODUCT(1+Q18:Q$38))),4)</f>
        <v>1.3573</v>
      </c>
      <c r="AC18" s="2418"/>
      <c r="AD18" s="2419">
        <f>ROUND(AVERAGE(I18:I$39)/100,4)</f>
        <v>2.1299999999999999E-2</v>
      </c>
      <c r="AE18" s="2419">
        <f>ROUND(AVERAGE(J18:J$39)/100,4)</f>
        <v>1.4999999999999999E-2</v>
      </c>
      <c r="AF18" s="2419">
        <f t="shared" ref="AF18" si="108">AE18</f>
        <v>1.4999999999999999E-2</v>
      </c>
      <c r="AG18" s="2419">
        <f>ROUND(AVERAGE(K18:K$39)/100,4)</f>
        <v>2.3300000000000001E-2</v>
      </c>
      <c r="AH18" s="2419">
        <f>ROUND(AVERAGE(L18:L$39)/100,4)</f>
        <v>1.46E-2</v>
      </c>
    </row>
    <row r="19" spans="1:34" s="2420" customFormat="1" ht="13.5" thickBot="1">
      <c r="A19" s="2413" t="s">
        <v>2862</v>
      </c>
      <c r="B19" s="2414">
        <f t="shared" ref="B19" si="109">B20*(1+N19)</f>
        <v>467.15916775261894</v>
      </c>
      <c r="C19" s="2414">
        <f t="shared" ref="C19" si="110">C20*(1+O19)</f>
        <v>346.01232557169084</v>
      </c>
      <c r="D19" s="2414">
        <f t="shared" ref="D19" si="111">C19</f>
        <v>346.01232557169084</v>
      </c>
      <c r="E19" s="2414">
        <f t="shared" ref="E19" si="112">E20*(1+P19)</f>
        <v>667.41617752122568</v>
      </c>
      <c r="F19" s="2414">
        <f t="shared" ref="F19" si="113">F20*(1+Q19)</f>
        <v>308.20314391798104</v>
      </c>
      <c r="G19" s="2411">
        <v>2019</v>
      </c>
      <c r="H19" s="2415">
        <v>1</v>
      </c>
      <c r="I19" s="2415">
        <v>0.6</v>
      </c>
      <c r="J19" s="2415">
        <v>0.37</v>
      </c>
      <c r="K19" s="2415">
        <v>0.63</v>
      </c>
      <c r="L19" s="2421">
        <v>1.1299999999999999</v>
      </c>
      <c r="M19" s="2409"/>
      <c r="N19" s="2416">
        <f t="shared" si="83"/>
        <v>6.0000000000000001E-3</v>
      </c>
      <c r="O19" s="2410">
        <f t="shared" ref="O19" si="114">J19/100</f>
        <v>3.7000000000000002E-3</v>
      </c>
      <c r="P19" s="2410">
        <f t="shared" ref="P19" si="115">K19/100</f>
        <v>6.3E-3</v>
      </c>
      <c r="Q19" s="2410">
        <f t="shared" ref="Q19" si="116">L19/100</f>
        <v>1.1299999999999999E-2</v>
      </c>
      <c r="R19" s="2417"/>
      <c r="S19" s="2416">
        <f>B19/B20-1</f>
        <v>6.0000000000000053E-3</v>
      </c>
      <c r="T19" s="2410">
        <f t="shared" ref="T19" si="117">C19/C20-1</f>
        <v>3.7000000000000366E-3</v>
      </c>
      <c r="U19" s="2410">
        <f t="shared" ref="U19" si="118">D19/D20-1</f>
        <v>3.7000000000000366E-3</v>
      </c>
      <c r="V19" s="2410">
        <f t="shared" ref="V19" si="119">E19/E20-1</f>
        <v>6.2999999999999723E-3</v>
      </c>
      <c r="W19" s="2418"/>
      <c r="X19" s="2418">
        <f>ROUND(IF(项目基本情况!B8="出让",SUMPRODUCT(PRODUCT(1+N19:N$39)),SUMPRODUCT(PRODUCT(1+N19:N$38))),4)</f>
        <v>1.5189999999999999</v>
      </c>
      <c r="Y19" s="2418">
        <f>ROUND(IF(项目基本情况!B8="出让",SUMPRODUCT(PRODUCT(1+O19:O$39)),SUMPRODUCT(PRODUCT(1+O19:O$38))),4)</f>
        <v>1.3423</v>
      </c>
      <c r="Z19" s="2418">
        <f t="shared" ref="Z19" si="120">Y19</f>
        <v>1.3423</v>
      </c>
      <c r="AA19" s="2418">
        <f>ROUND(IF(项目基本情况!B8="出让",SUMPRODUCT(PRODUCT(1+P19:P$39)),SUMPRODUCT(PRODUCT(1+P19:P$38))),4)</f>
        <v>1.5782</v>
      </c>
      <c r="AB19" s="2418">
        <f>ROUND(IF(项目基本情况!B8="出让",SUMPRODUCT(PRODUCT(1+Q19:Q$39)),SUMPRODUCT(PRODUCT(1+Q19:Q$38))),4)</f>
        <v>1.3405</v>
      </c>
      <c r="AC19" s="2418"/>
      <c r="AD19" s="2419">
        <f>ROUND(AVERAGE(I19:I$39)/100,4)</f>
        <v>2.1600000000000001E-2</v>
      </c>
      <c r="AE19" s="2419">
        <f>ROUND(AVERAGE(J19:J$39)/100,4)</f>
        <v>1.5299999999999999E-2</v>
      </c>
      <c r="AF19" s="2419">
        <f t="shared" ref="AF19" si="121">AE19</f>
        <v>1.5299999999999999E-2</v>
      </c>
      <c r="AG19" s="2419">
        <f>ROUND(AVERAGE(K19:K$39)/100,4)</f>
        <v>2.3699999999999999E-2</v>
      </c>
      <c r="AH19" s="2419">
        <f>ROUND(AVERAGE(L19:L$39)/100,4)</f>
        <v>1.47E-2</v>
      </c>
    </row>
    <row r="20" spans="1:34" s="2420" customFormat="1">
      <c r="A20" s="2413" t="s">
        <v>2865</v>
      </c>
      <c r="B20" s="2424">
        <f t="shared" ref="B20" si="122">B21*(1+N20)</f>
        <v>464.37293017158942</v>
      </c>
      <c r="C20" s="2424">
        <f t="shared" ref="C20" si="123">C21*(1+O20)</f>
        <v>344.73679941385956</v>
      </c>
      <c r="D20" s="2424">
        <f t="shared" ref="D20" si="124">C20</f>
        <v>344.73679941385956</v>
      </c>
      <c r="E20" s="2424">
        <f t="shared" ref="E20" si="125">E21*(1+P20)</f>
        <v>663.2377795103107</v>
      </c>
      <c r="F20" s="2425">
        <f t="shared" ref="F20" si="126">F21*(1+Q20)</f>
        <v>304.75936311478398</v>
      </c>
      <c r="G20" s="3653">
        <v>2018</v>
      </c>
      <c r="H20" s="2422">
        <v>4</v>
      </c>
      <c r="I20" s="2422">
        <v>0.96</v>
      </c>
      <c r="J20" s="2422">
        <v>1.03</v>
      </c>
      <c r="K20" s="2422">
        <v>0.92</v>
      </c>
      <c r="L20" s="2423">
        <v>1.29</v>
      </c>
      <c r="M20" s="2409"/>
      <c r="N20" s="2416">
        <f t="shared" si="83"/>
        <v>9.5999999999999992E-3</v>
      </c>
      <c r="O20" s="2410">
        <f t="shared" ref="O20" si="127">J20/100</f>
        <v>1.03E-2</v>
      </c>
      <c r="P20" s="2410">
        <f t="shared" ref="P20" si="128">K20/100</f>
        <v>9.1999999999999998E-3</v>
      </c>
      <c r="Q20" s="2410">
        <f t="shared" ref="Q20" si="129">L20/100</f>
        <v>1.29E-2</v>
      </c>
      <c r="R20" s="2417"/>
      <c r="S20" s="2416"/>
      <c r="T20" s="2410"/>
      <c r="U20" s="2410"/>
      <c r="V20" s="2410"/>
      <c r="W20" s="2418"/>
      <c r="X20" s="2418">
        <f>ROUND(SUMPRODUCT(PRODUCT(1+N20:N$38)),4)</f>
        <v>1.5099</v>
      </c>
      <c r="Y20" s="2418">
        <f>ROUND(SUMPRODUCT(PRODUCT(1+O20:O$38)),4)</f>
        <v>1.3372999999999999</v>
      </c>
      <c r="Z20" s="2418">
        <f t="shared" ref="Z20" si="130">Y20</f>
        <v>1.3372999999999999</v>
      </c>
      <c r="AA20" s="2418">
        <f>ROUND(SUMPRODUCT(PRODUCT(1+P20:P$38)),4)</f>
        <v>1.5683</v>
      </c>
      <c r="AB20" s="2418">
        <f>ROUND(SUMPRODUCT(PRODUCT(1+Q20:Q$38)),4)</f>
        <v>1.3255999999999999</v>
      </c>
      <c r="AC20" s="2418"/>
      <c r="AD20" s="2419">
        <f>ROUND(AVERAGE(I20:I$39)/100,4)</f>
        <v>2.24E-2</v>
      </c>
      <c r="AE20" s="2419">
        <f>ROUND(AVERAGE(J20:J$39)/100,4)</f>
        <v>1.5800000000000002E-2</v>
      </c>
      <c r="AF20" s="2419">
        <f t="shared" ref="AF20" si="131">AE20</f>
        <v>1.5800000000000002E-2</v>
      </c>
      <c r="AG20" s="2419">
        <f>ROUND(AVERAGE(K20:K$39)/100,4)</f>
        <v>2.4500000000000001E-2</v>
      </c>
      <c r="AH20" s="2419">
        <f>ROUND(AVERAGE(L20:L$39)/100,4)</f>
        <v>1.49E-2</v>
      </c>
    </row>
    <row r="21" spans="1:34" s="2420" customFormat="1" ht="14.45" customHeight="1">
      <c r="A21" s="2413" t="s">
        <v>2860</v>
      </c>
      <c r="B21" s="2414">
        <f t="shared" ref="B21" si="132">B22*(1+N21)</f>
        <v>459.95733971036987</v>
      </c>
      <c r="C21" s="2414">
        <f t="shared" ref="C21" si="133">C22*(1+O21)</f>
        <v>341.22221064422405</v>
      </c>
      <c r="D21" s="2414">
        <f t="shared" ref="D21" si="134">C21</f>
        <v>341.22221064422405</v>
      </c>
      <c r="E21" s="2414">
        <f t="shared" ref="E21" si="135">E22*(1+P21)</f>
        <v>657.19161663724799</v>
      </c>
      <c r="F21" s="2414">
        <f t="shared" ref="F21" si="136">F22*(1+Q21)</f>
        <v>300.87803644464805</v>
      </c>
      <c r="G21" s="3653"/>
      <c r="H21" s="2415">
        <v>3</v>
      </c>
      <c r="I21" s="2415">
        <v>1.51</v>
      </c>
      <c r="J21" s="2415">
        <v>1.41</v>
      </c>
      <c r="K21" s="2415">
        <v>1.52</v>
      </c>
      <c r="L21" s="2421">
        <v>1.74</v>
      </c>
      <c r="M21" s="2409"/>
      <c r="N21" s="2416">
        <f t="shared" si="83"/>
        <v>1.5100000000000001E-2</v>
      </c>
      <c r="O21" s="2410">
        <f t="shared" ref="O21" si="137">J21/100</f>
        <v>1.41E-2</v>
      </c>
      <c r="P21" s="2410">
        <f t="shared" ref="P21" si="138">K21/100</f>
        <v>1.52E-2</v>
      </c>
      <c r="Q21" s="2410">
        <f t="shared" ref="Q21" si="139">L21/100</f>
        <v>1.7399999999999999E-2</v>
      </c>
      <c r="R21" s="2417"/>
      <c r="S21" s="2416"/>
      <c r="T21" s="2410"/>
      <c r="U21" s="2410"/>
      <c r="V21" s="2410"/>
      <c r="W21" s="2418"/>
      <c r="X21" s="2418">
        <f>ROUND(SUMPRODUCT(PRODUCT(1+N21:N$38)),4)</f>
        <v>1.4956</v>
      </c>
      <c r="Y21" s="2418">
        <f>ROUND(SUMPRODUCT(PRODUCT(1+O21:O$38)),4)</f>
        <v>1.3237000000000001</v>
      </c>
      <c r="Z21" s="2418">
        <f t="shared" ref="Z21" si="140">Y21</f>
        <v>1.3237000000000001</v>
      </c>
      <c r="AA21" s="2418">
        <f>ROUND(SUMPRODUCT(PRODUCT(1+P21:P$38)),4)</f>
        <v>1.554</v>
      </c>
      <c r="AB21" s="2418">
        <f>ROUND(SUMPRODUCT(PRODUCT(1+Q21:Q$38)),4)</f>
        <v>1.3087</v>
      </c>
      <c r="AC21" s="2418"/>
      <c r="AD21" s="2419">
        <f>ROUND(AVERAGE(I21:I$39)/100,4)</f>
        <v>2.3099999999999999E-2</v>
      </c>
      <c r="AE21" s="2419">
        <f>ROUND(AVERAGE(J21:J$39)/100,4)</f>
        <v>1.61E-2</v>
      </c>
      <c r="AF21" s="2419">
        <f t="shared" ref="AF21" si="141">AE21</f>
        <v>1.61E-2</v>
      </c>
      <c r="AG21" s="2419">
        <f>ROUND(AVERAGE(K21:K$39)/100,4)</f>
        <v>2.53E-2</v>
      </c>
      <c r="AH21" s="2419">
        <f>ROUND(AVERAGE(L21:L$39)/100,4)</f>
        <v>1.4999999999999999E-2</v>
      </c>
    </row>
    <row r="22" spans="1:34" s="2420" customFormat="1" ht="14.45" customHeight="1">
      <c r="A22" s="2413" t="s">
        <v>2859</v>
      </c>
      <c r="B22" s="2414">
        <f t="shared" ref="B22" si="142">B23*(1+N22)</f>
        <v>453.11529869999993</v>
      </c>
      <c r="C22" s="2414">
        <f t="shared" ref="C22" si="143">C23*(1+O22)</f>
        <v>336.47787264000004</v>
      </c>
      <c r="D22" s="2414">
        <f t="shared" ref="D22" si="144">C22</f>
        <v>336.47787264000004</v>
      </c>
      <c r="E22" s="2414">
        <f t="shared" ref="E22" si="145">E23*(1+P22)</f>
        <v>647.35186823999993</v>
      </c>
      <c r="F22" s="2414">
        <f t="shared" ref="F22" si="146">F23*(1+Q22)</f>
        <v>295.73229452000004</v>
      </c>
      <c r="G22" s="3653"/>
      <c r="H22" s="2426">
        <v>2</v>
      </c>
      <c r="I22" s="2426">
        <v>1.49</v>
      </c>
      <c r="J22" s="2426">
        <v>0.96</v>
      </c>
      <c r="K22" s="2426">
        <v>1.58</v>
      </c>
      <c r="L22" s="2427">
        <v>2.44</v>
      </c>
      <c r="M22" s="2409"/>
      <c r="N22" s="2416">
        <f t="shared" ref="N22" si="147">I22/100</f>
        <v>1.49E-2</v>
      </c>
      <c r="O22" s="2410">
        <f t="shared" ref="O22" si="148">J22/100</f>
        <v>9.5999999999999992E-3</v>
      </c>
      <c r="P22" s="2410">
        <f t="shared" ref="P22" si="149">K22/100</f>
        <v>1.5800000000000002E-2</v>
      </c>
      <c r="Q22" s="2410">
        <f t="shared" ref="Q22" si="150">L22/100</f>
        <v>2.4399999999999998E-2</v>
      </c>
      <c r="R22" s="2417"/>
      <c r="S22" s="2416"/>
      <c r="T22" s="2410"/>
      <c r="U22" s="2410"/>
      <c r="V22" s="2410"/>
      <c r="W22" s="2418"/>
      <c r="X22" s="2418">
        <f>ROUND(SUMPRODUCT(PRODUCT(1+N22:N$38)),4)</f>
        <v>1.4733000000000001</v>
      </c>
      <c r="Y22" s="2418">
        <f>ROUND(SUMPRODUCT(PRODUCT(1+O22:O$38)),4)</f>
        <v>1.3052999999999999</v>
      </c>
      <c r="Z22" s="2418">
        <f t="shared" ref="Z22" si="151">Y22</f>
        <v>1.3052999999999999</v>
      </c>
      <c r="AA22" s="2418">
        <f>ROUND(SUMPRODUCT(PRODUCT(1+P22:P$38)),4)</f>
        <v>1.5306999999999999</v>
      </c>
      <c r="AB22" s="2418">
        <f>ROUND(SUMPRODUCT(PRODUCT(1+Q22:Q$38)),4)</f>
        <v>1.2863</v>
      </c>
      <c r="AC22" s="2418"/>
      <c r="AD22" s="2419">
        <f>ROUND(AVERAGE(I22:I$39)/100,4)</f>
        <v>2.35E-2</v>
      </c>
      <c r="AE22" s="2419">
        <f>ROUND(AVERAGE(J22:J$39)/100,4)</f>
        <v>1.6199999999999999E-2</v>
      </c>
      <c r="AF22" s="2419">
        <f t="shared" ref="AF22" si="152">AE22</f>
        <v>1.6199999999999999E-2</v>
      </c>
      <c r="AG22" s="2419">
        <f>ROUND(AVERAGE(K22:K$39)/100,4)</f>
        <v>2.5899999999999999E-2</v>
      </c>
      <c r="AH22" s="2419">
        <f>ROUND(AVERAGE(L22:L$39)/100,4)</f>
        <v>1.49E-2</v>
      </c>
    </row>
    <row r="23" spans="1:34" s="2420" customFormat="1" ht="15" customHeight="1" thickBot="1">
      <c r="A23" s="2413" t="s">
        <v>2852</v>
      </c>
      <c r="B23" s="2414">
        <f t="shared" ref="B23" si="153">B24*(1+N23)</f>
        <v>446.46299999999997</v>
      </c>
      <c r="C23" s="2414">
        <f t="shared" ref="C23" si="154">C24*(1+O23)</f>
        <v>333.27840000000003</v>
      </c>
      <c r="D23" s="2414">
        <f t="shared" ref="D23" si="155">C23</f>
        <v>333.27840000000003</v>
      </c>
      <c r="E23" s="2414">
        <f t="shared" ref="E23" si="156">E24*(1+P23)</f>
        <v>637.28279999999995</v>
      </c>
      <c r="F23" s="2414">
        <f t="shared" ref="F23" si="157">F24*(1+Q23)</f>
        <v>288.68830000000003</v>
      </c>
      <c r="G23" s="3660"/>
      <c r="H23" s="2415">
        <v>1</v>
      </c>
      <c r="I23" s="2415">
        <v>1.7</v>
      </c>
      <c r="J23" s="2415">
        <v>1.92</v>
      </c>
      <c r="K23" s="2415">
        <v>1.64</v>
      </c>
      <c r="L23" s="2421">
        <v>2.0099999999999998</v>
      </c>
      <c r="M23" s="2409"/>
      <c r="N23" s="2416">
        <f t="shared" ref="N23:N28" si="158">I23/100</f>
        <v>1.7000000000000001E-2</v>
      </c>
      <c r="O23" s="2410">
        <f t="shared" ref="O23" si="159">J23/100</f>
        <v>1.9199999999999998E-2</v>
      </c>
      <c r="P23" s="2410">
        <f t="shared" ref="P23" si="160">K23/100</f>
        <v>1.6399999999999998E-2</v>
      </c>
      <c r="Q23" s="2410">
        <f t="shared" ref="Q23" si="161">L23/100</f>
        <v>2.0099999999999996E-2</v>
      </c>
      <c r="R23" s="2417"/>
      <c r="S23" s="2416">
        <f>B23/B24-1</f>
        <v>1.6999999999999904E-2</v>
      </c>
      <c r="T23" s="2410">
        <f t="shared" ref="T23" si="162">C23/C24-1</f>
        <v>1.9200000000000106E-2</v>
      </c>
      <c r="U23" s="2410">
        <f t="shared" ref="U23" si="163">D23/D24-1</f>
        <v>1.9200000000000106E-2</v>
      </c>
      <c r="V23" s="2410">
        <f t="shared" ref="V23" si="164">E23/E24-1</f>
        <v>1.639999999999997E-2</v>
      </c>
      <c r="W23" s="2418"/>
      <c r="X23" s="2418">
        <f>ROUND(SUMPRODUCT(PRODUCT(1+N23:N$38)),4)</f>
        <v>1.4517</v>
      </c>
      <c r="Y23" s="2418">
        <f>ROUND(SUMPRODUCT(PRODUCT(1+O23:O$38)),4)</f>
        <v>1.2928999999999999</v>
      </c>
      <c r="Z23" s="2418">
        <f t="shared" ref="Z23" si="165">Y23</f>
        <v>1.2928999999999999</v>
      </c>
      <c r="AA23" s="2418">
        <f>ROUND(SUMPRODUCT(PRODUCT(1+P23:P$38)),4)</f>
        <v>1.5068999999999999</v>
      </c>
      <c r="AB23" s="2418">
        <f>ROUND(SUMPRODUCT(PRODUCT(1+Q23:Q$38)),4)</f>
        <v>1.2557</v>
      </c>
      <c r="AC23" s="2418"/>
      <c r="AD23" s="2419">
        <f>ROUND(AVERAGE(I23:I$39)/100,4)</f>
        <v>2.4E-2</v>
      </c>
      <c r="AE23" s="2419">
        <f>ROUND(AVERAGE(J23:J$39)/100,4)</f>
        <v>1.66E-2</v>
      </c>
      <c r="AF23" s="2419">
        <f t="shared" ref="AF23" si="166">AE23</f>
        <v>1.66E-2</v>
      </c>
      <c r="AG23" s="2419">
        <f>ROUND(AVERAGE(K23:K$39)/100,4)</f>
        <v>2.6499999999999999E-2</v>
      </c>
      <c r="AH23" s="2419">
        <f>ROUND(AVERAGE(L23:L$39)/100,4)</f>
        <v>1.43E-2</v>
      </c>
    </row>
    <row r="24" spans="1:34">
      <c r="A24" s="2413" t="s">
        <v>2850</v>
      </c>
      <c r="B24" s="2428">
        <v>439</v>
      </c>
      <c r="C24" s="2428">
        <v>327</v>
      </c>
      <c r="D24" s="2428">
        <f>C24</f>
        <v>327</v>
      </c>
      <c r="E24" s="2428">
        <v>627</v>
      </c>
      <c r="F24" s="2429">
        <v>283</v>
      </c>
      <c r="G24" s="3656">
        <v>2017</v>
      </c>
      <c r="H24" s="2422">
        <v>4</v>
      </c>
      <c r="I24" s="2422">
        <v>1.71</v>
      </c>
      <c r="J24" s="2422">
        <v>1.78</v>
      </c>
      <c r="K24" s="2422">
        <v>1.71</v>
      </c>
      <c r="L24" s="2423">
        <v>1.43</v>
      </c>
      <c r="N24" s="2416">
        <f t="shared" si="158"/>
        <v>1.7100000000000001E-2</v>
      </c>
      <c r="O24" s="2410">
        <f t="shared" ref="O24" si="167">J24/100</f>
        <v>1.78E-2</v>
      </c>
      <c r="P24" s="2410">
        <f t="shared" ref="P24" si="168">K24/100</f>
        <v>1.7100000000000001E-2</v>
      </c>
      <c r="Q24" s="2410">
        <f t="shared" ref="Q24" si="169">L24/100</f>
        <v>1.43E-2</v>
      </c>
      <c r="R24" s="2417"/>
      <c r="S24" s="2430"/>
      <c r="T24" s="2431"/>
      <c r="U24" s="2431"/>
      <c r="V24" s="2431"/>
      <c r="X24" s="2409">
        <f>ROUND(SUMPRODUCT(PRODUCT(1+N24:N$38)),4)</f>
        <v>1.4274</v>
      </c>
      <c r="Y24" s="2409">
        <f>ROUND(SUMPRODUCT(PRODUCT(1+O24:O$38)),4)</f>
        <v>1.2685</v>
      </c>
      <c r="Z24" s="2409">
        <f t="shared" si="0"/>
        <v>1.2685</v>
      </c>
      <c r="AA24" s="2409">
        <f>ROUND(SUMPRODUCT(PRODUCT(1+P24:P$38)),4)</f>
        <v>1.4825999999999999</v>
      </c>
      <c r="AB24" s="2409">
        <f>ROUND(SUMPRODUCT(PRODUCT(1+Q24:Q$38)),4)</f>
        <v>1.2309000000000001</v>
      </c>
      <c r="AD24" s="2410">
        <f>ROUND(AVERAGE(I24:I$39)/100,4)</f>
        <v>2.4500000000000001E-2</v>
      </c>
      <c r="AE24" s="2410">
        <f>ROUND(AVERAGE(J24:J$39)/100,4)</f>
        <v>1.6500000000000001E-2</v>
      </c>
      <c r="AF24" s="2410">
        <f t="shared" si="1"/>
        <v>1.6500000000000001E-2</v>
      </c>
      <c r="AG24" s="2410">
        <f>ROUND(AVERAGE(K24:K$39)/100,4)</f>
        <v>2.7099999999999999E-2</v>
      </c>
      <c r="AH24" s="2410">
        <f>ROUND(AVERAGE(L24:L$39)/100,4)</f>
        <v>1.3899999999999999E-2</v>
      </c>
    </row>
    <row r="25" spans="1:34" s="2420" customFormat="1" ht="14.45" customHeight="1">
      <c r="A25" s="2413" t="s">
        <v>2851</v>
      </c>
      <c r="B25" s="2414">
        <f t="shared" ref="B25:B26" si="170">B26*(1+N25)</f>
        <v>431.80730811680002</v>
      </c>
      <c r="C25" s="2414">
        <f t="shared" ref="C25:C26" si="171">C26*(1+O25)</f>
        <v>320.57880516480003</v>
      </c>
      <c r="D25" s="2414">
        <f t="shared" ref="D25:D26" si="172">C25</f>
        <v>320.57880516480003</v>
      </c>
      <c r="E25" s="2414">
        <f t="shared" ref="E25:E26" si="173">E26*(1+P25)</f>
        <v>615.96110553196797</v>
      </c>
      <c r="F25" s="2414">
        <f t="shared" ref="F25:F26" si="174">F26*(1+Q25)</f>
        <v>279.46777300108801</v>
      </c>
      <c r="G25" s="3653"/>
      <c r="H25" s="2415">
        <v>3</v>
      </c>
      <c r="I25" s="2415">
        <v>2.98</v>
      </c>
      <c r="J25" s="2415">
        <v>2.11</v>
      </c>
      <c r="K25" s="2415">
        <v>3.24</v>
      </c>
      <c r="L25" s="2421">
        <v>1.72</v>
      </c>
      <c r="M25" s="2409"/>
      <c r="N25" s="2416">
        <f t="shared" si="158"/>
        <v>2.98E-2</v>
      </c>
      <c r="O25" s="2410">
        <f t="shared" ref="O25" si="175">J25/100</f>
        <v>2.1099999999999997E-2</v>
      </c>
      <c r="P25" s="2410">
        <f t="shared" ref="P25" si="176">K25/100</f>
        <v>3.2400000000000005E-2</v>
      </c>
      <c r="Q25" s="2410">
        <f t="shared" ref="Q25" si="177">L25/100</f>
        <v>1.72E-2</v>
      </c>
      <c r="R25" s="2417"/>
      <c r="S25" s="2416"/>
      <c r="T25" s="2410"/>
      <c r="U25" s="2410"/>
      <c r="V25" s="2410"/>
      <c r="W25" s="2418"/>
      <c r="X25" s="2418">
        <f>ROUND(SUMPRODUCT(PRODUCT(1+N25:N$38)),4)</f>
        <v>1.4034</v>
      </c>
      <c r="Y25" s="2418">
        <f>ROUND(SUMPRODUCT(PRODUCT(1+O25:O$38)),4)</f>
        <v>1.2463</v>
      </c>
      <c r="Z25" s="2418">
        <f t="shared" si="0"/>
        <v>1.2463</v>
      </c>
      <c r="AA25" s="2418">
        <f>ROUND(SUMPRODUCT(PRODUCT(1+P25:P$38)),4)</f>
        <v>1.4577</v>
      </c>
      <c r="AB25" s="2418">
        <f>ROUND(SUMPRODUCT(PRODUCT(1+Q25:Q$38)),4)</f>
        <v>1.2136</v>
      </c>
      <c r="AC25" s="2418"/>
      <c r="AD25" s="2419">
        <f>ROUND(AVERAGE(I25:I$39)/100,4)</f>
        <v>2.4899999999999999E-2</v>
      </c>
      <c r="AE25" s="2419">
        <f>ROUND(AVERAGE(J25:J$39)/100,4)</f>
        <v>1.6400000000000001E-2</v>
      </c>
      <c r="AF25" s="2419">
        <f t="shared" si="1"/>
        <v>1.6400000000000001E-2</v>
      </c>
      <c r="AG25" s="2419">
        <f>ROUND(AVERAGE(K25:K$39)/100,4)</f>
        <v>2.7799999999999998E-2</v>
      </c>
      <c r="AH25" s="2419">
        <f>ROUND(AVERAGE(L25:L$39)/100,4)</f>
        <v>1.3899999999999999E-2</v>
      </c>
    </row>
    <row r="26" spans="1:34" s="2412" customFormat="1" ht="14.45" customHeight="1">
      <c r="A26" s="2413" t="s">
        <v>1350</v>
      </c>
      <c r="B26" s="2414">
        <f t="shared" si="170"/>
        <v>419.31181600000002</v>
      </c>
      <c r="C26" s="2414">
        <f t="shared" si="171"/>
        <v>313.95436800000004</v>
      </c>
      <c r="D26" s="2414">
        <f t="shared" si="172"/>
        <v>313.95436800000004</v>
      </c>
      <c r="E26" s="2414">
        <f t="shared" si="173"/>
        <v>596.63028431999999</v>
      </c>
      <c r="F26" s="2414">
        <f t="shared" si="174"/>
        <v>274.74220703999998</v>
      </c>
      <c r="G26" s="3653"/>
      <c r="H26" s="2426">
        <v>2</v>
      </c>
      <c r="I26" s="2426">
        <v>3.4</v>
      </c>
      <c r="J26" s="2426">
        <v>2</v>
      </c>
      <c r="K26" s="2426">
        <v>3.82</v>
      </c>
      <c r="L26" s="2427">
        <v>1.68</v>
      </c>
      <c r="M26" s="2409"/>
      <c r="N26" s="2416">
        <f t="shared" si="158"/>
        <v>3.4000000000000002E-2</v>
      </c>
      <c r="O26" s="2410">
        <f t="shared" ref="O26" si="178">J26/100</f>
        <v>0.02</v>
      </c>
      <c r="P26" s="2410">
        <f t="shared" ref="P26" si="179">K26/100</f>
        <v>3.8199999999999998E-2</v>
      </c>
      <c r="Q26" s="2410">
        <f t="shared" ref="Q26" si="180">L26/100</f>
        <v>1.6799999999999999E-2</v>
      </c>
      <c r="R26" s="2417"/>
      <c r="S26" s="2430"/>
      <c r="T26" s="2431"/>
      <c r="U26" s="2431"/>
      <c r="V26" s="2431"/>
      <c r="W26" s="2403"/>
      <c r="X26" s="2418">
        <f>ROUND(SUMPRODUCT(PRODUCT(1+N26:N$38)),4)</f>
        <v>1.3628</v>
      </c>
      <c r="Y26" s="2418">
        <f>ROUND(SUMPRODUCT(PRODUCT(1+O26:O$38)),4)</f>
        <v>1.2205999999999999</v>
      </c>
      <c r="Z26" s="2418">
        <f t="shared" si="0"/>
        <v>1.2205999999999999</v>
      </c>
      <c r="AA26" s="2418">
        <f>ROUND(SUMPRODUCT(PRODUCT(1+P26:P$38)),4)</f>
        <v>1.4118999999999999</v>
      </c>
      <c r="AB26" s="2418">
        <f>ROUND(SUMPRODUCT(PRODUCT(1+Q26:Q$38)),4)</f>
        <v>1.1930000000000001</v>
      </c>
      <c r="AC26" s="2403"/>
      <c r="AD26" s="2419">
        <f>ROUND(AVERAGE(I26:I$39)/100,4)</f>
        <v>2.46E-2</v>
      </c>
      <c r="AE26" s="2419">
        <f>ROUND(AVERAGE(J26:J$39)/100,4)</f>
        <v>1.6E-2</v>
      </c>
      <c r="AF26" s="2419">
        <f t="shared" si="1"/>
        <v>1.6E-2</v>
      </c>
      <c r="AG26" s="2419">
        <f>ROUND(AVERAGE(K26:K$39)/100,4)</f>
        <v>2.75E-2</v>
      </c>
      <c r="AH26" s="2419">
        <f>ROUND(AVERAGE(L26:L$39)/100,4)</f>
        <v>1.37E-2</v>
      </c>
    </row>
    <row r="27" spans="1:34" s="2420" customFormat="1" ht="15" customHeight="1" thickBot="1">
      <c r="A27" s="2413" t="s">
        <v>1128</v>
      </c>
      <c r="B27" s="2414">
        <f>B28*(1+N27)</f>
        <v>405.524</v>
      </c>
      <c r="C27" s="2414">
        <f>C28*(1+O27)</f>
        <v>307.79840000000002</v>
      </c>
      <c r="D27" s="2414">
        <f>C27</f>
        <v>307.79840000000002</v>
      </c>
      <c r="E27" s="2414">
        <f>E28*(1+P27)</f>
        <v>574.67759999999998</v>
      </c>
      <c r="F27" s="2414">
        <f>F28*(1+Q27)</f>
        <v>270.20280000000002</v>
      </c>
      <c r="G27" s="3660"/>
      <c r="H27" s="2415">
        <v>1</v>
      </c>
      <c r="I27" s="2415">
        <v>3.45</v>
      </c>
      <c r="J27" s="2415">
        <v>1.92</v>
      </c>
      <c r="K27" s="2415">
        <v>3.92</v>
      </c>
      <c r="L27" s="2421">
        <v>1.58</v>
      </c>
      <c r="M27" s="2409"/>
      <c r="N27" s="2416">
        <f t="shared" si="158"/>
        <v>3.4500000000000003E-2</v>
      </c>
      <c r="O27" s="2410">
        <f t="shared" ref="O27:Q42" si="181">J27/100</f>
        <v>1.9199999999999998E-2</v>
      </c>
      <c r="P27" s="2410">
        <f t="shared" si="181"/>
        <v>3.9199999999999999E-2</v>
      </c>
      <c r="Q27" s="2410">
        <f t="shared" si="181"/>
        <v>1.5800000000000002E-2</v>
      </c>
      <c r="R27" s="2417"/>
      <c r="S27" s="2416">
        <f>B27/B28-1</f>
        <v>3.4499999999999975E-2</v>
      </c>
      <c r="T27" s="2410">
        <f t="shared" ref="T27:V27" si="182">C27/C28-1</f>
        <v>1.9200000000000106E-2</v>
      </c>
      <c r="U27" s="2410">
        <f t="shared" si="182"/>
        <v>1.9200000000000106E-2</v>
      </c>
      <c r="V27" s="2410">
        <f t="shared" si="182"/>
        <v>3.9199999999999902E-2</v>
      </c>
      <c r="W27" s="2418"/>
      <c r="X27" s="2418">
        <f>ROUND(SUMPRODUCT(PRODUCT(1+N27:N$38)),4)</f>
        <v>1.3180000000000001</v>
      </c>
      <c r="Y27" s="2418">
        <f>ROUND(SUMPRODUCT(PRODUCT(1+O27:O$38)),4)</f>
        <v>1.1966000000000001</v>
      </c>
      <c r="Z27" s="2418">
        <f t="shared" si="0"/>
        <v>1.1966000000000001</v>
      </c>
      <c r="AA27" s="2418">
        <f>ROUND(SUMPRODUCT(PRODUCT(1+P27:P$38)),4)</f>
        <v>1.36</v>
      </c>
      <c r="AB27" s="2418">
        <f>ROUND(SUMPRODUCT(PRODUCT(1+Q27:Q$38)),4)</f>
        <v>1.1733</v>
      </c>
      <c r="AC27" s="2418"/>
      <c r="AD27" s="2419">
        <f>ROUND(AVERAGE(I27:I$39)/100,4)</f>
        <v>2.3900000000000001E-2</v>
      </c>
      <c r="AE27" s="2419">
        <f>ROUND(AVERAGE(J27:J$39)/100,4)</f>
        <v>1.5699999999999999E-2</v>
      </c>
      <c r="AF27" s="2419">
        <f t="shared" si="1"/>
        <v>1.5699999999999999E-2</v>
      </c>
      <c r="AG27" s="2419">
        <f>ROUND(AVERAGE(K27:K$39)/100,4)</f>
        <v>2.6599999999999999E-2</v>
      </c>
      <c r="AH27" s="2419">
        <f>ROUND(AVERAGE(L27:L$39)/100,4)</f>
        <v>1.34E-2</v>
      </c>
    </row>
    <row r="28" spans="1:34">
      <c r="A28" s="2413" t="s">
        <v>154</v>
      </c>
      <c r="B28" s="2428">
        <v>392</v>
      </c>
      <c r="C28" s="2428">
        <v>302</v>
      </c>
      <c r="D28" s="2428">
        <f>C28</f>
        <v>302</v>
      </c>
      <c r="E28" s="2428">
        <v>553</v>
      </c>
      <c r="F28" s="2429">
        <v>266</v>
      </c>
      <c r="G28" s="3656">
        <v>2016</v>
      </c>
      <c r="H28" s="2422">
        <v>4</v>
      </c>
      <c r="I28" s="2422">
        <v>4.5599999999999996</v>
      </c>
      <c r="J28" s="2422">
        <v>2.15</v>
      </c>
      <c r="K28" s="2422">
        <v>5.32</v>
      </c>
      <c r="L28" s="2423">
        <v>1.57</v>
      </c>
      <c r="N28" s="2416">
        <f t="shared" si="158"/>
        <v>4.5599999999999995E-2</v>
      </c>
      <c r="O28" s="2410">
        <f t="shared" si="181"/>
        <v>2.1499999999999998E-2</v>
      </c>
      <c r="P28" s="2410">
        <f t="shared" si="181"/>
        <v>5.3200000000000004E-2</v>
      </c>
      <c r="Q28" s="2410">
        <f t="shared" si="181"/>
        <v>1.5700000000000002E-2</v>
      </c>
      <c r="R28" s="2417"/>
      <c r="S28" s="2430"/>
      <c r="T28" s="2431"/>
      <c r="U28" s="2431"/>
      <c r="V28" s="2431"/>
      <c r="X28" s="2409">
        <f>ROUND(SUMPRODUCT(PRODUCT(1+N28:N$38)),4)</f>
        <v>1.274</v>
      </c>
      <c r="Y28" s="2409">
        <f>ROUND(SUMPRODUCT(PRODUCT(1+O28:O$38)),4)</f>
        <v>1.1740999999999999</v>
      </c>
      <c r="Z28" s="2409">
        <f t="shared" si="0"/>
        <v>1.1740999999999999</v>
      </c>
      <c r="AA28" s="2409">
        <f>ROUND(SUMPRODUCT(PRODUCT(1+P28:P$38)),4)</f>
        <v>1.3087</v>
      </c>
      <c r="AB28" s="2409">
        <f>ROUND(SUMPRODUCT(PRODUCT(1+Q28:Q$38)),4)</f>
        <v>1.1551</v>
      </c>
      <c r="AD28" s="2410">
        <f>ROUND(AVERAGE(I28:I$39)/100,4)</f>
        <v>2.3E-2</v>
      </c>
      <c r="AE28" s="2410">
        <f>ROUND(AVERAGE(J28:J$39)/100,4)</f>
        <v>1.55E-2</v>
      </c>
      <c r="AF28" s="2410">
        <f t="shared" si="1"/>
        <v>1.55E-2</v>
      </c>
      <c r="AG28" s="2410">
        <f>ROUND(AVERAGE(K28:K$39)/100,4)</f>
        <v>2.5600000000000001E-2</v>
      </c>
      <c r="AH28" s="2410">
        <f>ROUND(AVERAGE(L28:L$39)/100,4)</f>
        <v>1.32E-2</v>
      </c>
    </row>
    <row r="29" spans="1:34">
      <c r="A29" s="2413" t="s">
        <v>153</v>
      </c>
      <c r="B29" s="2414">
        <f t="shared" ref="B29:C31" si="183">B28/(1+N28)</f>
        <v>374.90436113236416</v>
      </c>
      <c r="C29" s="2414">
        <f t="shared" si="183"/>
        <v>295.64366128242779</v>
      </c>
      <c r="D29" s="2414">
        <f t="shared" ref="D29:D88" si="184">C29</f>
        <v>295.64366128242779</v>
      </c>
      <c r="E29" s="2414">
        <f t="shared" ref="E29:F31" si="185">E28/(1+P28)</f>
        <v>525.06646410938095</v>
      </c>
      <c r="F29" s="2414">
        <f t="shared" si="185"/>
        <v>261.88835286009646</v>
      </c>
      <c r="G29" s="3653"/>
      <c r="H29" s="2415">
        <v>3</v>
      </c>
      <c r="I29" s="2415">
        <v>4.12</v>
      </c>
      <c r="J29" s="2415">
        <v>2</v>
      </c>
      <c r="K29" s="2415">
        <v>4.79</v>
      </c>
      <c r="L29" s="2421">
        <v>1.97</v>
      </c>
      <c r="N29" s="2416">
        <f t="shared" ref="N29:Q63" si="186">I29/100</f>
        <v>4.1200000000000001E-2</v>
      </c>
      <c r="O29" s="2410">
        <f t="shared" si="181"/>
        <v>0.02</v>
      </c>
      <c r="P29" s="2410">
        <f t="shared" si="181"/>
        <v>4.7899999999999998E-2</v>
      </c>
      <c r="Q29" s="2410">
        <f t="shared" si="181"/>
        <v>1.9699999999999999E-2</v>
      </c>
      <c r="R29" s="2417"/>
      <c r="S29" s="2416"/>
      <c r="T29" s="2410"/>
      <c r="U29" s="2410"/>
      <c r="V29" s="2410"/>
      <c r="X29" s="2409">
        <f>ROUND(SUMPRODUCT(PRODUCT(1+N29:N$38)),4)</f>
        <v>1.2184999999999999</v>
      </c>
      <c r="Y29" s="2409">
        <f>ROUND(SUMPRODUCT(PRODUCT(1+O29:O$38)),4)</f>
        <v>1.1494</v>
      </c>
      <c r="Z29" s="2409">
        <f t="shared" si="0"/>
        <v>1.1494</v>
      </c>
      <c r="AA29" s="2409">
        <f>ROUND(SUMPRODUCT(PRODUCT(1+P29:P$38)),4)</f>
        <v>1.2425999999999999</v>
      </c>
      <c r="AB29" s="2409">
        <f>ROUND(SUMPRODUCT(PRODUCT(1+Q29:Q$38)),4)</f>
        <v>1.1372</v>
      </c>
      <c r="AD29" s="2410">
        <f>ROUND(AVERAGE(I29:I$39)/100,4)</f>
        <v>2.0899999999999998E-2</v>
      </c>
      <c r="AE29" s="2410">
        <f>ROUND(AVERAGE(J29:J$39)/100,4)</f>
        <v>1.49E-2</v>
      </c>
      <c r="AF29" s="2410">
        <f t="shared" si="1"/>
        <v>1.49E-2</v>
      </c>
      <c r="AG29" s="2410">
        <f>ROUND(AVERAGE(K29:K$39)/100,4)</f>
        <v>2.3099999999999999E-2</v>
      </c>
      <c r="AH29" s="2410">
        <f>ROUND(AVERAGE(L29:L$39)/100,4)</f>
        <v>1.2999999999999999E-2</v>
      </c>
    </row>
    <row r="30" spans="1:34">
      <c r="A30" s="2413" t="s">
        <v>143</v>
      </c>
      <c r="B30" s="2414">
        <f t="shared" si="183"/>
        <v>360.06949782209392</v>
      </c>
      <c r="C30" s="2414">
        <f t="shared" si="183"/>
        <v>289.84672674747821</v>
      </c>
      <c r="D30" s="2414">
        <f t="shared" si="184"/>
        <v>289.84672674747821</v>
      </c>
      <c r="E30" s="2414">
        <f t="shared" si="185"/>
        <v>501.06543001181495</v>
      </c>
      <c r="F30" s="2414">
        <f t="shared" si="185"/>
        <v>256.82882500744967</v>
      </c>
      <c r="G30" s="3653"/>
      <c r="H30" s="2426">
        <v>2</v>
      </c>
      <c r="I30" s="2426">
        <v>3.85</v>
      </c>
      <c r="J30" s="2426">
        <v>1.95</v>
      </c>
      <c r="K30" s="2426">
        <v>4.4800000000000004</v>
      </c>
      <c r="L30" s="2427">
        <v>1.41</v>
      </c>
      <c r="N30" s="2416">
        <f t="shared" si="186"/>
        <v>3.85E-2</v>
      </c>
      <c r="O30" s="2410">
        <f t="shared" si="181"/>
        <v>1.95E-2</v>
      </c>
      <c r="P30" s="2410">
        <f t="shared" si="181"/>
        <v>4.4800000000000006E-2</v>
      </c>
      <c r="Q30" s="2410">
        <f t="shared" si="181"/>
        <v>1.41E-2</v>
      </c>
      <c r="R30" s="2417"/>
      <c r="S30" s="2416"/>
      <c r="T30" s="2410"/>
      <c r="U30" s="2410"/>
      <c r="V30" s="2410"/>
      <c r="X30" s="2409">
        <f>ROUND(SUMPRODUCT(PRODUCT(1+N30:N$38)),4)</f>
        <v>1.1702999999999999</v>
      </c>
      <c r="Y30" s="2409">
        <f>ROUND(SUMPRODUCT(PRODUCT(1+O30:O$38)),4)</f>
        <v>1.1269</v>
      </c>
      <c r="Z30" s="2409">
        <f t="shared" si="0"/>
        <v>1.1269</v>
      </c>
      <c r="AA30" s="2409">
        <f>ROUND(SUMPRODUCT(PRODUCT(1+P30:P$38)),4)</f>
        <v>1.1858</v>
      </c>
      <c r="AB30" s="2409">
        <f>ROUND(SUMPRODUCT(PRODUCT(1+Q30:Q$38)),4)</f>
        <v>1.1152</v>
      </c>
      <c r="AD30" s="2410">
        <f>ROUND(AVERAGE(I30:I$39)/100,4)</f>
        <v>1.89E-2</v>
      </c>
      <c r="AE30" s="2410">
        <f>ROUND(AVERAGE(J30:J$39)/100,4)</f>
        <v>1.44E-2</v>
      </c>
      <c r="AF30" s="2410">
        <f t="shared" si="1"/>
        <v>1.44E-2</v>
      </c>
      <c r="AG30" s="2410">
        <f>ROUND(AVERAGE(K30:K$39)/100,4)</f>
        <v>2.06E-2</v>
      </c>
      <c r="AH30" s="2410">
        <f>ROUND(AVERAGE(L30:L$39)/100,4)</f>
        <v>1.23E-2</v>
      </c>
    </row>
    <row r="31" spans="1:34" ht="13.5" thickBot="1">
      <c r="A31" s="2413" t="s">
        <v>152</v>
      </c>
      <c r="B31" s="2414">
        <f t="shared" si="183"/>
        <v>346.720748986128</v>
      </c>
      <c r="C31" s="2414">
        <f t="shared" si="183"/>
        <v>284.30282172386285</v>
      </c>
      <c r="D31" s="2414">
        <f t="shared" si="184"/>
        <v>284.30282172386285</v>
      </c>
      <c r="E31" s="2414">
        <f t="shared" si="185"/>
        <v>479.58023546306947</v>
      </c>
      <c r="F31" s="2414">
        <f t="shared" si="185"/>
        <v>253.25788877571213</v>
      </c>
      <c r="G31" s="3654"/>
      <c r="H31" s="2415">
        <v>1</v>
      </c>
      <c r="I31" s="2415">
        <v>4.09</v>
      </c>
      <c r="J31" s="2415">
        <v>2.93</v>
      </c>
      <c r="K31" s="2415">
        <v>4.54</v>
      </c>
      <c r="L31" s="2421">
        <v>1.48</v>
      </c>
      <c r="N31" s="2416">
        <f t="shared" si="186"/>
        <v>4.0899999999999999E-2</v>
      </c>
      <c r="O31" s="2410">
        <f t="shared" si="181"/>
        <v>2.9300000000000003E-2</v>
      </c>
      <c r="P31" s="2410">
        <f t="shared" si="181"/>
        <v>4.5400000000000003E-2</v>
      </c>
      <c r="Q31" s="2410">
        <f t="shared" si="181"/>
        <v>1.4800000000000001E-2</v>
      </c>
      <c r="R31" s="2417"/>
      <c r="S31" s="2432">
        <f>B31/B32-1</f>
        <v>4.1203450408792808E-2</v>
      </c>
      <c r="T31" s="2433">
        <f>C31/C32-1</f>
        <v>2.6363977342465095E-2</v>
      </c>
      <c r="U31" s="2433">
        <f>E31/E32-1</f>
        <v>4.4837114298626357E-2</v>
      </c>
      <c r="V31" s="2433">
        <f>F31/F32-1</f>
        <v>1.7099954922538574E-2</v>
      </c>
      <c r="X31" s="2409">
        <f>ROUND(SUMPRODUCT(PRODUCT(1+N31:N$38)),4)</f>
        <v>1.1269</v>
      </c>
      <c r="Y31" s="2409">
        <f>ROUND(SUMPRODUCT(PRODUCT(1+O31:O$38)),4)</f>
        <v>1.1052999999999999</v>
      </c>
      <c r="Z31" s="2409">
        <f t="shared" si="0"/>
        <v>1.1052999999999999</v>
      </c>
      <c r="AA31" s="2409">
        <f>ROUND(SUMPRODUCT(PRODUCT(1+P31:P$38)),4)</f>
        <v>1.1349</v>
      </c>
      <c r="AB31" s="2409">
        <f>ROUND(SUMPRODUCT(PRODUCT(1+Q31:Q$38)),4)</f>
        <v>1.0996999999999999</v>
      </c>
      <c r="AD31" s="2410">
        <f>ROUND(AVERAGE(I31:I$39)/100,4)</f>
        <v>1.67E-2</v>
      </c>
      <c r="AE31" s="2410">
        <f>ROUND(AVERAGE(J31:J$39)/100,4)</f>
        <v>1.38E-2</v>
      </c>
      <c r="AF31" s="2410">
        <f t="shared" si="1"/>
        <v>1.38E-2</v>
      </c>
      <c r="AG31" s="2410">
        <f>ROUND(AVERAGE(K31:K$39)/100,4)</f>
        <v>1.7899999999999999E-2</v>
      </c>
      <c r="AH31" s="2410">
        <f>ROUND(AVERAGE(L31:L$39)/100,4)</f>
        <v>1.21E-2</v>
      </c>
    </row>
    <row r="32" spans="1:34" ht="13.5" thickBot="1">
      <c r="A32" s="2413" t="s">
        <v>151</v>
      </c>
      <c r="B32" s="2428">
        <v>333</v>
      </c>
      <c r="C32" s="2428">
        <v>277</v>
      </c>
      <c r="D32" s="2428">
        <f t="shared" si="184"/>
        <v>277</v>
      </c>
      <c r="E32" s="2428">
        <v>459</v>
      </c>
      <c r="F32" s="2429">
        <v>249</v>
      </c>
      <c r="G32" s="3652">
        <v>2015</v>
      </c>
      <c r="H32" s="2434">
        <v>4</v>
      </c>
      <c r="I32" s="2434">
        <v>1.63</v>
      </c>
      <c r="J32" s="2434">
        <v>1.1100000000000001</v>
      </c>
      <c r="K32" s="2434">
        <v>1.77</v>
      </c>
      <c r="L32" s="2435">
        <v>1.89</v>
      </c>
      <c r="N32" s="2436">
        <f t="shared" si="186"/>
        <v>1.6299999999999999E-2</v>
      </c>
      <c r="O32" s="2437">
        <f t="shared" si="181"/>
        <v>1.11E-2</v>
      </c>
      <c r="P32" s="2437">
        <f t="shared" si="181"/>
        <v>1.77E-2</v>
      </c>
      <c r="Q32" s="2437">
        <f t="shared" si="181"/>
        <v>1.89E-2</v>
      </c>
      <c r="R32" s="2417"/>
      <c r="X32" s="2409">
        <f>ROUND(SUMPRODUCT(PRODUCT(1+N32:N$38)),4)</f>
        <v>1.0826</v>
      </c>
      <c r="Y32" s="2409">
        <f>ROUND(SUMPRODUCT(PRODUCT(1+O32:O$38)),4)</f>
        <v>1.0738000000000001</v>
      </c>
      <c r="Z32" s="2409">
        <f t="shared" si="0"/>
        <v>1.0738000000000001</v>
      </c>
      <c r="AA32" s="2409">
        <f>ROUND(SUMPRODUCT(PRODUCT(1+P32:P$38)),4)</f>
        <v>1.0855999999999999</v>
      </c>
      <c r="AB32" s="2409">
        <f>ROUND(SUMPRODUCT(PRODUCT(1+Q32:Q$38)),4)</f>
        <v>1.0837000000000001</v>
      </c>
      <c r="AD32" s="2410">
        <f>ROUND(AVERAGE(I32:I$39)/100,4)</f>
        <v>1.37E-2</v>
      </c>
      <c r="AE32" s="2410">
        <f>ROUND(AVERAGE(J32:J$39)/100,4)</f>
        <v>1.1900000000000001E-2</v>
      </c>
      <c r="AF32" s="2410">
        <f t="shared" si="1"/>
        <v>1.1900000000000001E-2</v>
      </c>
      <c r="AG32" s="2410">
        <f>ROUND(AVERAGE(K32:K$39)/100,4)</f>
        <v>1.4500000000000001E-2</v>
      </c>
      <c r="AH32" s="2410">
        <f>ROUND(AVERAGE(L32:L$39)/100,4)</f>
        <v>1.18E-2</v>
      </c>
    </row>
    <row r="33" spans="1:34">
      <c r="A33" s="2413" t="s">
        <v>150</v>
      </c>
      <c r="B33" s="2414">
        <f t="shared" ref="B33:C35" si="187">B32/(1+N32)</f>
        <v>327.65915576109415</v>
      </c>
      <c r="C33" s="2414">
        <f t="shared" si="187"/>
        <v>273.95905449510434</v>
      </c>
      <c r="D33" s="2414">
        <f t="shared" si="184"/>
        <v>273.95905449510434</v>
      </c>
      <c r="E33" s="2414">
        <f t="shared" ref="E33:F35" si="188">E32/(1+P32)</f>
        <v>451.01699911565294</v>
      </c>
      <c r="F33" s="2414">
        <f t="shared" si="188"/>
        <v>244.38119540681129</v>
      </c>
      <c r="G33" s="3653"/>
      <c r="H33" s="2439">
        <v>3</v>
      </c>
      <c r="I33" s="2439">
        <v>1.65</v>
      </c>
      <c r="J33" s="2439">
        <v>0.92</v>
      </c>
      <c r="K33" s="2439">
        <v>1.88</v>
      </c>
      <c r="L33" s="2440">
        <v>1.26</v>
      </c>
      <c r="N33" s="2416">
        <f t="shared" si="186"/>
        <v>1.6500000000000001E-2</v>
      </c>
      <c r="O33" s="2441">
        <f t="shared" si="181"/>
        <v>9.1999999999999998E-3</v>
      </c>
      <c r="P33" s="2441">
        <f t="shared" si="181"/>
        <v>1.8799999999999997E-2</v>
      </c>
      <c r="Q33" s="2441">
        <f t="shared" si="181"/>
        <v>1.26E-2</v>
      </c>
      <c r="R33" s="2417"/>
      <c r="S33" s="2416"/>
      <c r="T33" s="2410"/>
      <c r="U33" s="2410"/>
      <c r="V33" s="2410"/>
      <c r="X33" s="2409">
        <f>ROUND(SUMPRODUCT(PRODUCT(1+N33:N$38)),4)</f>
        <v>1.0651999999999999</v>
      </c>
      <c r="Y33" s="2409">
        <f>ROUND(SUMPRODUCT(PRODUCT(1+O33:O$38)),4)</f>
        <v>1.0621</v>
      </c>
      <c r="Z33" s="2409">
        <f t="shared" si="0"/>
        <v>1.0621</v>
      </c>
      <c r="AA33" s="2409">
        <f>ROUND(SUMPRODUCT(PRODUCT(1+P33:P$38)),4)</f>
        <v>1.0668</v>
      </c>
      <c r="AB33" s="2409">
        <f>ROUND(SUMPRODUCT(PRODUCT(1+Q33:Q$38)),4)</f>
        <v>1.0636000000000001</v>
      </c>
      <c r="AD33" s="2410">
        <f>ROUND(AVERAGE(I33:I$39)/100,4)</f>
        <v>1.3299999999999999E-2</v>
      </c>
      <c r="AE33" s="2410">
        <f>ROUND(AVERAGE(J33:J$39)/100,4)</f>
        <v>1.2E-2</v>
      </c>
      <c r="AF33" s="2410">
        <f t="shared" si="1"/>
        <v>1.2E-2</v>
      </c>
      <c r="AG33" s="2410">
        <f>ROUND(AVERAGE(K33:K$39)/100,4)</f>
        <v>1.4E-2</v>
      </c>
      <c r="AH33" s="2410">
        <f>ROUND(AVERAGE(L33:L$39)/100,4)</f>
        <v>1.0800000000000001E-2</v>
      </c>
    </row>
    <row r="34" spans="1:34">
      <c r="A34" s="2413" t="s">
        <v>149</v>
      </c>
      <c r="B34" s="2414">
        <f t="shared" si="187"/>
        <v>322.34053690220776</v>
      </c>
      <c r="C34" s="2414">
        <f t="shared" si="187"/>
        <v>271.46160770422546</v>
      </c>
      <c r="D34" s="2414">
        <f t="shared" si="184"/>
        <v>271.46160770422546</v>
      </c>
      <c r="E34" s="2414">
        <f t="shared" si="188"/>
        <v>442.69434542172456</v>
      </c>
      <c r="F34" s="2414">
        <f t="shared" si="188"/>
        <v>241.34030753190925</v>
      </c>
      <c r="G34" s="3653"/>
      <c r="H34" s="2426">
        <v>2</v>
      </c>
      <c r="I34" s="2426">
        <v>0.77</v>
      </c>
      <c r="J34" s="2426">
        <v>0.69</v>
      </c>
      <c r="K34" s="2426">
        <v>0.8</v>
      </c>
      <c r="L34" s="2427">
        <v>0.88</v>
      </c>
      <c r="N34" s="2416">
        <f t="shared" si="186"/>
        <v>7.7000000000000002E-3</v>
      </c>
      <c r="O34" s="2441">
        <f t="shared" si="181"/>
        <v>6.8999999999999999E-3</v>
      </c>
      <c r="P34" s="2441">
        <f t="shared" si="181"/>
        <v>8.0000000000000002E-3</v>
      </c>
      <c r="Q34" s="2441">
        <f t="shared" si="181"/>
        <v>8.8000000000000005E-3</v>
      </c>
      <c r="R34" s="2417"/>
      <c r="S34" s="2416"/>
      <c r="T34" s="2410"/>
      <c r="U34" s="2410"/>
      <c r="V34" s="2410"/>
      <c r="X34" s="2409">
        <f>ROUND(SUMPRODUCT(PRODUCT(1+N34:N$38)),4)</f>
        <v>1.048</v>
      </c>
      <c r="Y34" s="2409">
        <f>ROUND(SUMPRODUCT(PRODUCT(1+O34:O$38)),4)</f>
        <v>1.0524</v>
      </c>
      <c r="Z34" s="2409">
        <f t="shared" si="0"/>
        <v>1.0524</v>
      </c>
      <c r="AA34" s="2409">
        <f>ROUND(SUMPRODUCT(PRODUCT(1+P34:P$38)),4)</f>
        <v>1.0470999999999999</v>
      </c>
      <c r="AB34" s="2409">
        <f>ROUND(SUMPRODUCT(PRODUCT(1+Q34:Q$38)),4)</f>
        <v>1.0504</v>
      </c>
      <c r="AD34" s="2410">
        <f>ROUND(AVERAGE(I34:I$39)/100,4)</f>
        <v>1.2800000000000001E-2</v>
      </c>
      <c r="AE34" s="2410">
        <f>ROUND(AVERAGE(J34:J$39)/100,4)</f>
        <v>1.2500000000000001E-2</v>
      </c>
      <c r="AF34" s="2410">
        <f t="shared" si="1"/>
        <v>1.2500000000000001E-2</v>
      </c>
      <c r="AG34" s="2410">
        <f>ROUND(AVERAGE(K34:K$39)/100,4)</f>
        <v>1.32E-2</v>
      </c>
      <c r="AH34" s="2410">
        <f>ROUND(AVERAGE(L34:L$39)/100,4)</f>
        <v>1.0500000000000001E-2</v>
      </c>
    </row>
    <row r="35" spans="1:34">
      <c r="A35" s="2413" t="s">
        <v>148</v>
      </c>
      <c r="B35" s="2414">
        <f t="shared" si="187"/>
        <v>319.87748030386797</v>
      </c>
      <c r="C35" s="2414">
        <f t="shared" si="187"/>
        <v>269.60135833173649</v>
      </c>
      <c r="D35" s="2414">
        <f t="shared" si="184"/>
        <v>269.60135833173649</v>
      </c>
      <c r="E35" s="2414">
        <f t="shared" si="188"/>
        <v>439.18089823583784</v>
      </c>
      <c r="F35" s="2414">
        <f t="shared" si="188"/>
        <v>239.23503918706311</v>
      </c>
      <c r="G35" s="3654"/>
      <c r="H35" s="2415">
        <v>1</v>
      </c>
      <c r="I35" s="2415">
        <v>0.51</v>
      </c>
      <c r="J35" s="2415">
        <v>0.54</v>
      </c>
      <c r="K35" s="2415">
        <v>0.48</v>
      </c>
      <c r="L35" s="2421">
        <v>0.93</v>
      </c>
      <c r="N35" s="2432">
        <f t="shared" si="186"/>
        <v>5.1000000000000004E-3</v>
      </c>
      <c r="O35" s="2433">
        <f t="shared" si="181"/>
        <v>5.4000000000000003E-3</v>
      </c>
      <c r="P35" s="2433">
        <f t="shared" si="181"/>
        <v>4.7999999999999996E-3</v>
      </c>
      <c r="Q35" s="2433">
        <f t="shared" si="181"/>
        <v>9.300000000000001E-3</v>
      </c>
      <c r="R35" s="2417"/>
      <c r="S35" s="2432">
        <f>B35/B36-1</f>
        <v>5.9040261127922822E-3</v>
      </c>
      <c r="T35" s="2433">
        <f>C35/C36-1</f>
        <v>5.9752176557332781E-3</v>
      </c>
      <c r="U35" s="2433">
        <f>E35/E36-1</f>
        <v>4.9906138119859556E-3</v>
      </c>
      <c r="V35" s="2433">
        <f>F35/F36-1</f>
        <v>9.4305450930933787E-3</v>
      </c>
      <c r="X35" s="2409">
        <f>ROUND(SUMPRODUCT(PRODUCT(1+N35:N$38)),4)</f>
        <v>1.0399</v>
      </c>
      <c r="Y35" s="2409">
        <f>ROUND(SUMPRODUCT(PRODUCT(1+O35:O$38)),4)</f>
        <v>1.0451999999999999</v>
      </c>
      <c r="Z35" s="2409">
        <f t="shared" si="0"/>
        <v>1.0451999999999999</v>
      </c>
      <c r="AA35" s="2409">
        <f>ROUND(SUMPRODUCT(PRODUCT(1+P35:P$38)),4)</f>
        <v>1.0387999999999999</v>
      </c>
      <c r="AB35" s="2409">
        <f>ROUND(SUMPRODUCT(PRODUCT(1+Q35:Q$38)),4)</f>
        <v>1.0411999999999999</v>
      </c>
      <c r="AD35" s="2410">
        <f>ROUND(AVERAGE(I35:I$39)/100,4)</f>
        <v>1.38E-2</v>
      </c>
      <c r="AE35" s="2410">
        <f>ROUND(AVERAGE(J35:J$39)/100,4)</f>
        <v>1.3599999999999999E-2</v>
      </c>
      <c r="AF35" s="2410">
        <f t="shared" si="1"/>
        <v>1.3599999999999999E-2</v>
      </c>
      <c r="AG35" s="2410">
        <f>ROUND(AVERAGE(K35:K$39)/100,4)</f>
        <v>1.4200000000000001E-2</v>
      </c>
      <c r="AH35" s="2410">
        <f>ROUND(AVERAGE(L35:L$39)/100,4)</f>
        <v>1.0800000000000001E-2</v>
      </c>
    </row>
    <row r="36" spans="1:34" ht="13.5" thickBot="1">
      <c r="A36" s="2413" t="s">
        <v>147</v>
      </c>
      <c r="B36" s="2442">
        <v>318</v>
      </c>
      <c r="C36" s="2442">
        <v>268</v>
      </c>
      <c r="D36" s="2442">
        <f t="shared" si="184"/>
        <v>268</v>
      </c>
      <c r="E36" s="2442">
        <v>437</v>
      </c>
      <c r="F36" s="2443">
        <v>237</v>
      </c>
      <c r="G36" s="3652">
        <v>2014</v>
      </c>
      <c r="H36" s="2434">
        <v>4</v>
      </c>
      <c r="I36" s="2434">
        <v>0.21</v>
      </c>
      <c r="J36" s="2434">
        <v>0.41</v>
      </c>
      <c r="K36" s="2434">
        <v>0.12</v>
      </c>
      <c r="L36" s="2435">
        <v>0.89</v>
      </c>
      <c r="N36" s="2416">
        <f t="shared" si="186"/>
        <v>2.0999999999999999E-3</v>
      </c>
      <c r="O36" s="2410">
        <f t="shared" si="181"/>
        <v>4.0999999999999995E-3</v>
      </c>
      <c r="P36" s="2410">
        <f t="shared" si="181"/>
        <v>1.1999999999999999E-3</v>
      </c>
      <c r="Q36" s="2410">
        <f t="shared" si="181"/>
        <v>8.8999999999999999E-3</v>
      </c>
      <c r="R36" s="2417"/>
      <c r="S36" s="2430"/>
      <c r="T36" s="2431"/>
      <c r="U36" s="2431"/>
      <c r="V36" s="2431"/>
      <c r="X36" s="2409">
        <f>ROUND(SUMPRODUCT(PRODUCT(1+N36:N$38)),4)</f>
        <v>1.0347</v>
      </c>
      <c r="Y36" s="2409">
        <f>ROUND(SUMPRODUCT(PRODUCT(1+O36:O$38)),4)</f>
        <v>1.0395000000000001</v>
      </c>
      <c r="Z36" s="2409">
        <f t="shared" si="0"/>
        <v>1.0395000000000001</v>
      </c>
      <c r="AA36" s="2409">
        <f>ROUND(SUMPRODUCT(PRODUCT(1+P36:P$38)),4)</f>
        <v>1.0338000000000001</v>
      </c>
      <c r="AB36" s="2409">
        <f>ROUND(SUMPRODUCT(PRODUCT(1+Q36:Q$38)),4)</f>
        <v>1.0316000000000001</v>
      </c>
      <c r="AD36" s="2410">
        <f>ROUND(AVERAGE(I36:I$39)/100,4)</f>
        <v>1.6E-2</v>
      </c>
      <c r="AE36" s="2410">
        <f>ROUND(AVERAGE(J36:J$39)/100,4)</f>
        <v>1.5599999999999999E-2</v>
      </c>
      <c r="AF36" s="2410">
        <f t="shared" si="1"/>
        <v>1.5599999999999999E-2</v>
      </c>
      <c r="AG36" s="2410">
        <f>ROUND(AVERAGE(K36:K$39)/100,4)</f>
        <v>1.66E-2</v>
      </c>
      <c r="AH36" s="2410">
        <f>ROUND(AVERAGE(L36:L$39)/100,4)</f>
        <v>1.12E-2</v>
      </c>
    </row>
    <row r="37" spans="1:34">
      <c r="A37" s="2413" t="s">
        <v>146</v>
      </c>
      <c r="B37" s="2414">
        <f t="shared" ref="B37:C39" si="189">B36/(1+N36)</f>
        <v>317.33359944117353</v>
      </c>
      <c r="C37" s="2414">
        <f t="shared" si="189"/>
        <v>266.90568668459315</v>
      </c>
      <c r="D37" s="2414">
        <f t="shared" si="184"/>
        <v>266.90568668459315</v>
      </c>
      <c r="E37" s="2414">
        <f t="shared" ref="E37:F39" si="190">E36/(1+P36)</f>
        <v>436.47622852576905</v>
      </c>
      <c r="F37" s="2414">
        <f t="shared" si="190"/>
        <v>234.90930716622066</v>
      </c>
      <c r="G37" s="3653"/>
      <c r="H37" s="2444">
        <v>3</v>
      </c>
      <c r="I37" s="2444">
        <v>0.83</v>
      </c>
      <c r="J37" s="2444">
        <v>1.47</v>
      </c>
      <c r="K37" s="2444">
        <v>0.65</v>
      </c>
      <c r="L37" s="2445">
        <v>0.72</v>
      </c>
      <c r="N37" s="2416">
        <f t="shared" si="186"/>
        <v>8.3000000000000001E-3</v>
      </c>
      <c r="O37" s="2410">
        <f t="shared" si="181"/>
        <v>1.47E-2</v>
      </c>
      <c r="P37" s="2410">
        <f t="shared" si="181"/>
        <v>6.5000000000000006E-3</v>
      </c>
      <c r="Q37" s="2410">
        <f t="shared" si="181"/>
        <v>7.1999999999999998E-3</v>
      </c>
      <c r="R37" s="2417"/>
      <c r="S37" s="2416"/>
      <c r="T37" s="2410"/>
      <c r="U37" s="2410"/>
      <c r="V37" s="2410"/>
      <c r="X37" s="2409">
        <f>ROUND(SUMPRODUCT(PRODUCT(1+N37:N$38)),4)</f>
        <v>1.0325</v>
      </c>
      <c r="Y37" s="2409">
        <f>ROUND(SUMPRODUCT(PRODUCT(1+O37:O$38)),4)</f>
        <v>1.0353000000000001</v>
      </c>
      <c r="Z37" s="2409">
        <f t="shared" ref="Z37:Z38" si="191">Y37</f>
        <v>1.0353000000000001</v>
      </c>
      <c r="AA37" s="2409">
        <f>ROUND(SUMPRODUCT(PRODUCT(1+P37:P$38)),4)</f>
        <v>1.0326</v>
      </c>
      <c r="AB37" s="2409">
        <f>ROUND(SUMPRODUCT(PRODUCT(1+Q37:Q$38)),4)</f>
        <v>1.0225</v>
      </c>
      <c r="AD37" s="2410">
        <f>ROUND(AVERAGE(I37:I$39)/100,4)</f>
        <v>2.07E-2</v>
      </c>
      <c r="AE37" s="2410">
        <f>ROUND(AVERAGE(J37:J$39)/100,4)</f>
        <v>1.95E-2</v>
      </c>
      <c r="AF37" s="2410">
        <f t="shared" si="1"/>
        <v>1.95E-2</v>
      </c>
      <c r="AG37" s="2410">
        <f>ROUND(AVERAGE(K37:K$39)/100,4)</f>
        <v>2.1700000000000001E-2</v>
      </c>
      <c r="AH37" s="2410">
        <f>ROUND(AVERAGE(L37:L$39)/100,4)</f>
        <v>1.2E-2</v>
      </c>
    </row>
    <row r="38" spans="1:34" ht="13.5" thickBot="1">
      <c r="A38" s="2413" t="s">
        <v>145</v>
      </c>
      <c r="B38" s="2414">
        <f t="shared" si="189"/>
        <v>314.72141172386546</v>
      </c>
      <c r="C38" s="2414">
        <f t="shared" si="189"/>
        <v>263.03901319069001</v>
      </c>
      <c r="D38" s="2414">
        <f t="shared" si="184"/>
        <v>263.03901319069001</v>
      </c>
      <c r="E38" s="2414">
        <f t="shared" si="190"/>
        <v>433.65745506782821</v>
      </c>
      <c r="F38" s="2414">
        <f t="shared" si="190"/>
        <v>233.23005080045735</v>
      </c>
      <c r="G38" s="3653"/>
      <c r="H38" s="2434">
        <v>2</v>
      </c>
      <c r="I38" s="2434">
        <v>2.4</v>
      </c>
      <c r="J38" s="2434">
        <v>2.0299999999999998</v>
      </c>
      <c r="K38" s="2434">
        <v>2.59</v>
      </c>
      <c r="L38" s="2435">
        <v>1.52</v>
      </c>
      <c r="N38" s="2416">
        <f t="shared" si="186"/>
        <v>2.4E-2</v>
      </c>
      <c r="O38" s="2410">
        <f t="shared" si="181"/>
        <v>2.0299999999999999E-2</v>
      </c>
      <c r="P38" s="2410">
        <f t="shared" si="181"/>
        <v>2.5899999999999999E-2</v>
      </c>
      <c r="Q38" s="2410">
        <f t="shared" si="181"/>
        <v>1.52E-2</v>
      </c>
      <c r="R38" s="2417"/>
      <c r="S38" s="2416"/>
      <c r="T38" s="2410"/>
      <c r="U38" s="2410"/>
      <c r="V38" s="2410"/>
      <c r="X38" s="2409">
        <f>1+N38</f>
        <v>1.024</v>
      </c>
      <c r="Y38" s="2409">
        <f>1+O38</f>
        <v>1.0203</v>
      </c>
      <c r="Z38" s="2409">
        <f t="shared" si="191"/>
        <v>1.0203</v>
      </c>
      <c r="AA38" s="2409">
        <f>1+P38</f>
        <v>1.0259</v>
      </c>
      <c r="AB38" s="2409">
        <f>1+Q38</f>
        <v>1.0152000000000001</v>
      </c>
      <c r="AD38" s="2410">
        <f>ROUND(AVERAGE(I38:I$39)/100,4)</f>
        <v>2.69E-2</v>
      </c>
      <c r="AE38" s="2410">
        <f>ROUND(AVERAGE(J38:J$39)/100,4)</f>
        <v>2.1899999999999999E-2</v>
      </c>
      <c r="AF38" s="2410">
        <f t="shared" ref="AF38" si="192">AE38</f>
        <v>2.1899999999999999E-2</v>
      </c>
      <c r="AG38" s="2410">
        <f>ROUND(AVERAGE(K38:K$39)/100,4)</f>
        <v>2.9399999999999999E-2</v>
      </c>
      <c r="AH38" s="2410">
        <f>ROUND(AVERAGE(L38:L$39)/100,4)</f>
        <v>1.44E-2</v>
      </c>
    </row>
    <row r="39" spans="1:34" s="2450" customFormat="1" ht="13.5" thickBot="1">
      <c r="A39" s="2446" t="s">
        <v>144</v>
      </c>
      <c r="B39" s="2447">
        <f t="shared" si="189"/>
        <v>307.34512863658733</v>
      </c>
      <c r="C39" s="2447">
        <f t="shared" si="189"/>
        <v>257.80556031626975</v>
      </c>
      <c r="D39" s="2447">
        <f t="shared" si="184"/>
        <v>257.80556031626975</v>
      </c>
      <c r="E39" s="2447">
        <f t="shared" si="190"/>
        <v>422.70928459677179</v>
      </c>
      <c r="F39" s="2447">
        <f t="shared" si="190"/>
        <v>229.73803270336617</v>
      </c>
      <c r="G39" s="3654"/>
      <c r="H39" s="2448">
        <v>1</v>
      </c>
      <c r="I39" s="2448">
        <v>2.97</v>
      </c>
      <c r="J39" s="2448">
        <v>2.34</v>
      </c>
      <c r="K39" s="2448">
        <v>3.28</v>
      </c>
      <c r="L39" s="2449">
        <v>1.36</v>
      </c>
      <c r="N39" s="2451">
        <f t="shared" si="186"/>
        <v>2.9700000000000001E-2</v>
      </c>
      <c r="O39" s="2452">
        <f t="shared" si="181"/>
        <v>2.3399999999999997E-2</v>
      </c>
      <c r="P39" s="2452">
        <f t="shared" si="181"/>
        <v>3.2799999999999996E-2</v>
      </c>
      <c r="Q39" s="2452">
        <f t="shared" si="181"/>
        <v>1.3600000000000001E-2</v>
      </c>
      <c r="R39" s="2453"/>
      <c r="S39" s="2454">
        <f>B39/B40-1</f>
        <v>2.7910129219355539E-2</v>
      </c>
      <c r="T39" s="2455">
        <f>C39/C40-1</f>
        <v>2.3037937762975247E-2</v>
      </c>
      <c r="U39" s="2455">
        <f>E39/E40-1</f>
        <v>3.3519033243940788E-2</v>
      </c>
      <c r="V39" s="2455">
        <f>F39/F40-1</f>
        <v>1.2061818076502862E-2</v>
      </c>
      <c r="W39" s="2456" t="s">
        <v>1129</v>
      </c>
      <c r="X39" s="2457">
        <v>1</v>
      </c>
      <c r="Y39" s="2457">
        <v>1</v>
      </c>
      <c r="Z39" s="2457">
        <v>1</v>
      </c>
      <c r="AA39" s="2457">
        <v>1</v>
      </c>
      <c r="AB39" s="2457">
        <v>1</v>
      </c>
      <c r="AD39" s="2452">
        <f>I39/100</f>
        <v>2.9700000000000001E-2</v>
      </c>
      <c r="AE39" s="2452">
        <f>J39/100</f>
        <v>2.3399999999999997E-2</v>
      </c>
      <c r="AF39" s="2452">
        <f>AE39</f>
        <v>2.3399999999999997E-2</v>
      </c>
      <c r="AG39" s="2452">
        <f>K39/100</f>
        <v>3.2799999999999996E-2</v>
      </c>
      <c r="AH39" s="2452">
        <f>L39/100</f>
        <v>1.3600000000000001E-2</v>
      </c>
    </row>
    <row r="40" spans="1:34" ht="13.5" thickBot="1">
      <c r="A40" s="2413" t="s">
        <v>1130</v>
      </c>
      <c r="B40" s="2428">
        <v>299</v>
      </c>
      <c r="C40" s="2428">
        <v>252</v>
      </c>
      <c r="D40" s="2428">
        <f t="shared" si="184"/>
        <v>252</v>
      </c>
      <c r="E40" s="2428">
        <v>409</v>
      </c>
      <c r="F40" s="2429">
        <v>227</v>
      </c>
      <c r="G40" s="3657">
        <v>2013</v>
      </c>
      <c r="H40" s="2458">
        <v>4</v>
      </c>
      <c r="I40" s="2458">
        <v>1.83</v>
      </c>
      <c r="J40" s="2458">
        <v>1.68</v>
      </c>
      <c r="K40" s="2458">
        <v>1.97</v>
      </c>
      <c r="L40" s="2459">
        <v>0.87</v>
      </c>
      <c r="N40" s="2436">
        <f t="shared" si="186"/>
        <v>1.83E-2</v>
      </c>
      <c r="O40" s="2437">
        <f t="shared" si="181"/>
        <v>1.6799999999999999E-2</v>
      </c>
      <c r="P40" s="2437">
        <f t="shared" si="181"/>
        <v>1.9699999999999999E-2</v>
      </c>
      <c r="Q40" s="2437">
        <f t="shared" si="181"/>
        <v>8.6999999999999994E-3</v>
      </c>
      <c r="R40" s="2417"/>
      <c r="S40" s="2430"/>
      <c r="T40" s="2431"/>
      <c r="U40" s="2431"/>
      <c r="V40" s="2431"/>
      <c r="X40" s="2431"/>
      <c r="Y40" s="2431"/>
      <c r="Z40" s="2431"/>
    </row>
    <row r="41" spans="1:34">
      <c r="A41" s="2413" t="s">
        <v>1131</v>
      </c>
      <c r="B41" s="2414">
        <f t="shared" ref="B41:C43" si="193">B40/(1+N40)</f>
        <v>293.62663262299913</v>
      </c>
      <c r="C41" s="2414">
        <f t="shared" si="193"/>
        <v>247.83634933123525</v>
      </c>
      <c r="D41" s="2414">
        <f t="shared" si="184"/>
        <v>247.83634933123525</v>
      </c>
      <c r="E41" s="2414">
        <f t="shared" ref="E41:F43" si="194">E40/(1+P40)</f>
        <v>401.09836226341076</v>
      </c>
      <c r="F41" s="2414">
        <f t="shared" si="194"/>
        <v>225.04213343908003</v>
      </c>
      <c r="G41" s="3658"/>
      <c r="H41" s="2439">
        <v>3</v>
      </c>
      <c r="I41" s="2439">
        <v>1.86</v>
      </c>
      <c r="J41" s="2439">
        <v>1.72</v>
      </c>
      <c r="K41" s="2439">
        <v>1.98</v>
      </c>
      <c r="L41" s="2440">
        <v>0.88</v>
      </c>
      <c r="N41" s="2416">
        <f t="shared" si="186"/>
        <v>1.8600000000000002E-2</v>
      </c>
      <c r="O41" s="2441">
        <f t="shared" si="181"/>
        <v>1.72E-2</v>
      </c>
      <c r="P41" s="2441">
        <f t="shared" si="181"/>
        <v>1.9799999999999998E-2</v>
      </c>
      <c r="Q41" s="2441">
        <f t="shared" si="181"/>
        <v>8.8000000000000005E-3</v>
      </c>
      <c r="R41" s="2417"/>
      <c r="S41" s="2416"/>
      <c r="T41" s="2410"/>
      <c r="U41" s="2410"/>
      <c r="V41" s="2410"/>
    </row>
    <row r="42" spans="1:34">
      <c r="A42" s="2413" t="s">
        <v>1132</v>
      </c>
      <c r="B42" s="2414">
        <f t="shared" si="193"/>
        <v>288.2649053828776</v>
      </c>
      <c r="C42" s="2414">
        <f t="shared" si="193"/>
        <v>243.64564425013293</v>
      </c>
      <c r="D42" s="2414">
        <f t="shared" si="184"/>
        <v>243.64564425013293</v>
      </c>
      <c r="E42" s="2414">
        <f t="shared" si="194"/>
        <v>393.31080825986544</v>
      </c>
      <c r="F42" s="2414">
        <f t="shared" si="194"/>
        <v>223.07903790551154</v>
      </c>
      <c r="G42" s="3658"/>
      <c r="H42" s="2426">
        <v>2</v>
      </c>
      <c r="I42" s="2426">
        <v>2.04</v>
      </c>
      <c r="J42" s="2426">
        <v>2.33</v>
      </c>
      <c r="K42" s="2426">
        <v>2.0699999999999998</v>
      </c>
      <c r="L42" s="2427">
        <v>0.69</v>
      </c>
      <c r="N42" s="2416">
        <f t="shared" si="186"/>
        <v>2.0400000000000001E-2</v>
      </c>
      <c r="O42" s="2441">
        <f t="shared" si="181"/>
        <v>2.3300000000000001E-2</v>
      </c>
      <c r="P42" s="2441">
        <f t="shared" si="181"/>
        <v>2.07E-2</v>
      </c>
      <c r="Q42" s="2441">
        <f t="shared" si="181"/>
        <v>6.8999999999999999E-3</v>
      </c>
      <c r="R42" s="2417"/>
      <c r="S42" s="2416"/>
      <c r="T42" s="2410"/>
      <c r="U42" s="2410"/>
      <c r="V42" s="2410"/>
      <c r="X42" s="2460"/>
      <c r="Y42" s="2461"/>
    </row>
    <row r="43" spans="1:34">
      <c r="A43" s="2413" t="s">
        <v>1133</v>
      </c>
      <c r="B43" s="2414">
        <f t="shared" si="193"/>
        <v>282.50186729015837</v>
      </c>
      <c r="C43" s="2414">
        <f t="shared" si="193"/>
        <v>238.09796174155468</v>
      </c>
      <c r="D43" s="2414">
        <f t="shared" si="184"/>
        <v>238.09796174155468</v>
      </c>
      <c r="E43" s="2414">
        <f t="shared" si="194"/>
        <v>385.33438646014054</v>
      </c>
      <c r="F43" s="2414">
        <f t="shared" si="194"/>
        <v>221.55034055567739</v>
      </c>
      <c r="G43" s="3659"/>
      <c r="H43" s="2415">
        <v>1</v>
      </c>
      <c r="I43" s="2415">
        <v>1.67</v>
      </c>
      <c r="J43" s="2415">
        <v>1.31</v>
      </c>
      <c r="K43" s="2415">
        <v>1.85</v>
      </c>
      <c r="L43" s="2421">
        <v>0.96</v>
      </c>
      <c r="N43" s="2432">
        <f t="shared" si="186"/>
        <v>1.67E-2</v>
      </c>
      <c r="O43" s="2433">
        <f t="shared" si="186"/>
        <v>1.3100000000000001E-2</v>
      </c>
      <c r="P43" s="2433">
        <f t="shared" si="186"/>
        <v>1.8500000000000003E-2</v>
      </c>
      <c r="Q43" s="2433">
        <f t="shared" si="186"/>
        <v>9.5999999999999992E-3</v>
      </c>
      <c r="R43" s="2417"/>
      <c r="S43" s="2432">
        <f>B43/B44-1</f>
        <v>1.6193767230785472E-2</v>
      </c>
      <c r="T43" s="2433">
        <f>C43/C44-1</f>
        <v>1.7512657015190891E-2</v>
      </c>
      <c r="U43" s="2433">
        <f>E43/E44-1</f>
        <v>1.6713420739157048E-2</v>
      </c>
      <c r="V43" s="2433">
        <f>F43/F44-1</f>
        <v>7.0470025258062563E-3</v>
      </c>
      <c r="X43" s="2462"/>
      <c r="Y43" s="2410"/>
      <c r="Z43" s="2410"/>
    </row>
    <row r="44" spans="1:34" ht="13.5" thickBot="1">
      <c r="A44" s="2413" t="s">
        <v>1134</v>
      </c>
      <c r="B44" s="2463">
        <v>278</v>
      </c>
      <c r="C44" s="2463">
        <v>234</v>
      </c>
      <c r="D44" s="2463">
        <f t="shared" si="184"/>
        <v>234</v>
      </c>
      <c r="E44" s="2463">
        <v>379</v>
      </c>
      <c r="F44" s="2464">
        <v>220</v>
      </c>
      <c r="G44" s="3652">
        <v>2012</v>
      </c>
      <c r="H44" s="2434">
        <v>4</v>
      </c>
      <c r="I44" s="2434">
        <v>0.91</v>
      </c>
      <c r="J44" s="2434">
        <v>0.68</v>
      </c>
      <c r="K44" s="2434">
        <v>0.98</v>
      </c>
      <c r="L44" s="2435">
        <v>0.9</v>
      </c>
      <c r="N44" s="2416">
        <f t="shared" si="186"/>
        <v>9.1000000000000004E-3</v>
      </c>
      <c r="O44" s="2410">
        <f t="shared" si="186"/>
        <v>6.8000000000000005E-3</v>
      </c>
      <c r="P44" s="2410">
        <f t="shared" si="186"/>
        <v>9.7999999999999997E-3</v>
      </c>
      <c r="Q44" s="2410">
        <f t="shared" si="186"/>
        <v>9.0000000000000011E-3</v>
      </c>
      <c r="R44" s="2417"/>
      <c r="S44" s="2430"/>
      <c r="T44" s="2431"/>
      <c r="U44" s="2431"/>
      <c r="V44" s="2431"/>
      <c r="X44" s="2431"/>
      <c r="Y44" s="2431"/>
      <c r="Z44" s="2431"/>
    </row>
    <row r="45" spans="1:34">
      <c r="A45" s="2413" t="s">
        <v>1135</v>
      </c>
      <c r="B45" s="2414">
        <f>B44/(1+N44)</f>
        <v>275.49301357645425</v>
      </c>
      <c r="C45" s="2414">
        <f>C44/(1+O44)</f>
        <v>232.41954707985698</v>
      </c>
      <c r="D45" s="2414">
        <f t="shared" si="184"/>
        <v>232.41954707985698</v>
      </c>
      <c r="E45" s="2414">
        <f t="shared" ref="E45:F47" si="195">E44/(1+P44)</f>
        <v>375.32184591008121</v>
      </c>
      <c r="F45" s="2414">
        <f t="shared" si="195"/>
        <v>218.03766105054513</v>
      </c>
      <c r="G45" s="3653"/>
      <c r="H45" s="2439">
        <v>3</v>
      </c>
      <c r="I45" s="2439">
        <v>0.09</v>
      </c>
      <c r="J45" s="2439">
        <v>0.28999999999999998</v>
      </c>
      <c r="K45" s="2439">
        <v>-0.01</v>
      </c>
      <c r="L45" s="2440">
        <v>0.57999999999999996</v>
      </c>
      <c r="N45" s="2416">
        <f t="shared" si="186"/>
        <v>8.9999999999999998E-4</v>
      </c>
      <c r="O45" s="2410">
        <f t="shared" si="186"/>
        <v>2.8999999999999998E-3</v>
      </c>
      <c r="P45" s="2410">
        <f t="shared" si="186"/>
        <v>-1E-4</v>
      </c>
      <c r="Q45" s="2410">
        <f t="shared" si="186"/>
        <v>5.7999999999999996E-3</v>
      </c>
      <c r="R45" s="2417"/>
      <c r="S45" s="2416"/>
      <c r="T45" s="2410"/>
      <c r="U45" s="2410"/>
      <c r="V45" s="2410"/>
    </row>
    <row r="46" spans="1:34">
      <c r="A46" s="2413" t="s">
        <v>1136</v>
      </c>
      <c r="B46" s="2414">
        <f>B45/(1+N45)</f>
        <v>275.24529281292263</v>
      </c>
      <c r="C46" s="2414">
        <f>C45/(1+O45)</f>
        <v>231.74747938962707</v>
      </c>
      <c r="D46" s="2414">
        <f t="shared" si="184"/>
        <v>231.74747938962707</v>
      </c>
      <c r="E46" s="2414">
        <f t="shared" si="195"/>
        <v>375.35938184826603</v>
      </c>
      <c r="F46" s="2414">
        <f t="shared" si="195"/>
        <v>216.78033510692495</v>
      </c>
      <c r="G46" s="3653"/>
      <c r="H46" s="2426">
        <v>2</v>
      </c>
      <c r="I46" s="2426">
        <v>0.02</v>
      </c>
      <c r="J46" s="2426">
        <v>0.12</v>
      </c>
      <c r="K46" s="2426">
        <v>-0.08</v>
      </c>
      <c r="L46" s="2427">
        <v>1.24</v>
      </c>
      <c r="N46" s="2416">
        <f t="shared" si="186"/>
        <v>2.0000000000000001E-4</v>
      </c>
      <c r="O46" s="2410">
        <f t="shared" si="186"/>
        <v>1.1999999999999999E-3</v>
      </c>
      <c r="P46" s="2410">
        <f t="shared" si="186"/>
        <v>-8.0000000000000004E-4</v>
      </c>
      <c r="Q46" s="2410">
        <f t="shared" si="186"/>
        <v>1.24E-2</v>
      </c>
      <c r="R46" s="2417"/>
      <c r="S46" s="2416"/>
      <c r="T46" s="2410"/>
      <c r="U46" s="2410"/>
      <c r="V46" s="2410"/>
    </row>
    <row r="47" spans="1:34" ht="13.5" thickBot="1">
      <c r="A47" s="2413" t="s">
        <v>1137</v>
      </c>
      <c r="B47" s="2414">
        <f>B46/(1+N46)</f>
        <v>275.19025476197027</v>
      </c>
      <c r="C47" s="2465">
        <v>232</v>
      </c>
      <c r="D47" s="2465">
        <f t="shared" si="184"/>
        <v>232</v>
      </c>
      <c r="E47" s="2414">
        <f t="shared" si="195"/>
        <v>375.65990977608692</v>
      </c>
      <c r="F47" s="2414">
        <f t="shared" si="195"/>
        <v>214.12518283971252</v>
      </c>
      <c r="G47" s="3654"/>
      <c r="H47" s="2415">
        <v>1</v>
      </c>
      <c r="I47" s="2415">
        <v>0.02</v>
      </c>
      <c r="J47" s="2415">
        <v>0.13</v>
      </c>
      <c r="K47" s="2415">
        <v>-0.04</v>
      </c>
      <c r="L47" s="2421">
        <v>0.46</v>
      </c>
      <c r="N47" s="2416">
        <f t="shared" si="186"/>
        <v>2.0000000000000001E-4</v>
      </c>
      <c r="O47" s="2410">
        <f t="shared" si="186"/>
        <v>1.2999999999999999E-3</v>
      </c>
      <c r="P47" s="2410">
        <f t="shared" si="186"/>
        <v>-4.0000000000000002E-4</v>
      </c>
      <c r="Q47" s="2410">
        <f t="shared" si="186"/>
        <v>4.5999999999999999E-3</v>
      </c>
      <c r="R47" s="2417"/>
      <c r="S47" s="2432">
        <f>B47/B48-1</f>
        <v>6.9183549807361189E-4</v>
      </c>
      <c r="T47" s="2433">
        <f>C47/C48-1</f>
        <v>0</v>
      </c>
      <c r="U47" s="2433">
        <f>E47/E48-1</f>
        <v>-9.0449527636460303E-4</v>
      </c>
      <c r="V47" s="2433">
        <f>F47/F48-1</f>
        <v>5.2825485432512753E-3</v>
      </c>
      <c r="X47" s="2410"/>
      <c r="Y47" s="2410"/>
      <c r="Z47" s="2410"/>
    </row>
    <row r="48" spans="1:34" ht="13.5" thickBot="1">
      <c r="A48" s="2413" t="s">
        <v>1138</v>
      </c>
      <c r="B48" s="2428">
        <v>275</v>
      </c>
      <c r="C48" s="2428">
        <v>232</v>
      </c>
      <c r="D48" s="2428">
        <f t="shared" si="184"/>
        <v>232</v>
      </c>
      <c r="E48" s="2428">
        <v>376</v>
      </c>
      <c r="F48" s="2429">
        <v>213</v>
      </c>
      <c r="G48" s="3652">
        <v>2011</v>
      </c>
      <c r="H48" s="2434">
        <v>4</v>
      </c>
      <c r="I48" s="2434">
        <v>-0.2</v>
      </c>
      <c r="J48" s="2434">
        <v>0.04</v>
      </c>
      <c r="K48" s="2434">
        <v>-0.34</v>
      </c>
      <c r="L48" s="2435">
        <v>0.46</v>
      </c>
      <c r="N48" s="2436">
        <f t="shared" si="186"/>
        <v>-2E-3</v>
      </c>
      <c r="O48" s="2437">
        <f t="shared" si="186"/>
        <v>4.0000000000000002E-4</v>
      </c>
      <c r="P48" s="2437">
        <f t="shared" si="186"/>
        <v>-3.4000000000000002E-3</v>
      </c>
      <c r="Q48" s="2437">
        <f t="shared" si="186"/>
        <v>4.5999999999999999E-3</v>
      </c>
      <c r="R48" s="2417"/>
      <c r="S48" s="2430"/>
      <c r="T48" s="2431"/>
      <c r="U48" s="2431"/>
      <c r="V48" s="2431"/>
      <c r="X48" s="2431"/>
      <c r="Y48" s="2431"/>
      <c r="Z48" s="2431"/>
    </row>
    <row r="49" spans="1:26">
      <c r="A49" s="2413" t="s">
        <v>1139</v>
      </c>
      <c r="B49" s="2414">
        <f t="shared" ref="B49:C51" si="196">B48/(1+N48)</f>
        <v>275.55110220440883</v>
      </c>
      <c r="C49" s="2414">
        <f t="shared" si="196"/>
        <v>231.90723710515795</v>
      </c>
      <c r="D49" s="2414">
        <f t="shared" si="184"/>
        <v>231.90723710515795</v>
      </c>
      <c r="E49" s="2414">
        <f t="shared" ref="E49:F51" si="197">E48/(1+P48)</f>
        <v>377.28276138872161</v>
      </c>
      <c r="F49" s="2414">
        <f t="shared" si="197"/>
        <v>212.02468644236512</v>
      </c>
      <c r="G49" s="3653">
        <v>2011</v>
      </c>
      <c r="H49" s="2439">
        <v>3</v>
      </c>
      <c r="I49" s="2439">
        <v>0.13</v>
      </c>
      <c r="J49" s="2439">
        <v>0.75</v>
      </c>
      <c r="K49" s="2439">
        <v>-0.08</v>
      </c>
      <c r="L49" s="2440">
        <v>0.53</v>
      </c>
      <c r="N49" s="2416">
        <f t="shared" si="186"/>
        <v>1.2999999999999999E-3</v>
      </c>
      <c r="O49" s="2441">
        <f t="shared" si="186"/>
        <v>7.4999999999999997E-3</v>
      </c>
      <c r="P49" s="2441">
        <f t="shared" si="186"/>
        <v>-8.0000000000000004E-4</v>
      </c>
      <c r="Q49" s="2441">
        <f t="shared" si="186"/>
        <v>5.3E-3</v>
      </c>
      <c r="R49" s="2417"/>
      <c r="S49" s="2416"/>
      <c r="T49" s="2410"/>
      <c r="U49" s="2410"/>
      <c r="V49" s="2410"/>
    </row>
    <row r="50" spans="1:26">
      <c r="A50" s="2413" t="s">
        <v>1140</v>
      </c>
      <c r="B50" s="2414">
        <f t="shared" si="196"/>
        <v>275.19335084830601</v>
      </c>
      <c r="C50" s="2414">
        <f t="shared" si="196"/>
        <v>230.18088050139744</v>
      </c>
      <c r="D50" s="2414">
        <f t="shared" si="184"/>
        <v>230.18088050139744</v>
      </c>
      <c r="E50" s="2414">
        <f t="shared" si="197"/>
        <v>377.58482925212331</v>
      </c>
      <c r="F50" s="2414">
        <f t="shared" si="197"/>
        <v>210.90687997847917</v>
      </c>
      <c r="G50" s="3653">
        <v>2011</v>
      </c>
      <c r="H50" s="2426">
        <v>2</v>
      </c>
      <c r="I50" s="2426">
        <v>-0.4</v>
      </c>
      <c r="J50" s="2426">
        <v>0.17</v>
      </c>
      <c r="K50" s="2426">
        <v>-0.57999999999999996</v>
      </c>
      <c r="L50" s="2427">
        <v>-0.2</v>
      </c>
      <c r="N50" s="2416">
        <f t="shared" si="186"/>
        <v>-4.0000000000000001E-3</v>
      </c>
      <c r="O50" s="2441">
        <f t="shared" si="186"/>
        <v>1.7000000000000001E-3</v>
      </c>
      <c r="P50" s="2441">
        <f t="shared" si="186"/>
        <v>-5.7999999999999996E-3</v>
      </c>
      <c r="Q50" s="2441">
        <f t="shared" si="186"/>
        <v>-2E-3</v>
      </c>
      <c r="R50" s="2417"/>
      <c r="S50" s="2416"/>
      <c r="T50" s="2410"/>
      <c r="U50" s="2410"/>
      <c r="V50" s="2410"/>
    </row>
    <row r="51" spans="1:26" ht="13.5" thickBot="1">
      <c r="A51" s="2413" t="s">
        <v>1141</v>
      </c>
      <c r="B51" s="2414">
        <f t="shared" si="196"/>
        <v>276.29854502841971</v>
      </c>
      <c r="C51" s="2414">
        <f t="shared" si="196"/>
        <v>229.79023709833027</v>
      </c>
      <c r="D51" s="2414">
        <f t="shared" si="184"/>
        <v>229.79023709833027</v>
      </c>
      <c r="E51" s="2414">
        <f t="shared" si="197"/>
        <v>379.78759731655936</v>
      </c>
      <c r="F51" s="2414">
        <f t="shared" si="197"/>
        <v>211.32953905659235</v>
      </c>
      <c r="G51" s="3654">
        <v>2011</v>
      </c>
      <c r="H51" s="2415">
        <v>1</v>
      </c>
      <c r="I51" s="2415">
        <v>2.65</v>
      </c>
      <c r="J51" s="2415">
        <v>3.76</v>
      </c>
      <c r="K51" s="2415">
        <v>1.89</v>
      </c>
      <c r="L51" s="2421">
        <v>7.95</v>
      </c>
      <c r="N51" s="2432">
        <f t="shared" si="186"/>
        <v>2.6499999999999999E-2</v>
      </c>
      <c r="O51" s="2433">
        <f t="shared" si="186"/>
        <v>3.7599999999999995E-2</v>
      </c>
      <c r="P51" s="2433">
        <f t="shared" si="186"/>
        <v>1.89E-2</v>
      </c>
      <c r="Q51" s="2433">
        <f t="shared" si="186"/>
        <v>7.9500000000000001E-2</v>
      </c>
      <c r="R51" s="2417"/>
      <c r="S51" s="2432">
        <f>B51/B52-1</f>
        <v>2.713213765211786E-2</v>
      </c>
      <c r="T51" s="2433">
        <f>C51/C52-1</f>
        <v>3.9774828499231862E-2</v>
      </c>
      <c r="U51" s="2433">
        <f>E51/E52-1</f>
        <v>1.8197311840641772E-2</v>
      </c>
      <c r="V51" s="2433">
        <f>F51/F52-1</f>
        <v>7.8211933962205826E-2</v>
      </c>
      <c r="X51" s="2410"/>
      <c r="Y51" s="2410"/>
      <c r="Z51" s="2410"/>
    </row>
    <row r="52" spans="1:26" ht="13.5" thickBot="1">
      <c r="A52" s="2413" t="s">
        <v>1142</v>
      </c>
      <c r="B52" s="2428">
        <v>269</v>
      </c>
      <c r="C52" s="2428">
        <v>221</v>
      </c>
      <c r="D52" s="2428">
        <f t="shared" si="184"/>
        <v>221</v>
      </c>
      <c r="E52" s="2428">
        <v>373</v>
      </c>
      <c r="F52" s="2429">
        <v>196</v>
      </c>
      <c r="G52" s="3652">
        <v>2010</v>
      </c>
      <c r="H52" s="2434">
        <v>4</v>
      </c>
      <c r="I52" s="2434">
        <v>5.72</v>
      </c>
      <c r="J52" s="2434">
        <v>6.57</v>
      </c>
      <c r="K52" s="2434">
        <v>5.72</v>
      </c>
      <c r="L52" s="2435">
        <v>2.72</v>
      </c>
      <c r="N52" s="2416">
        <f t="shared" si="186"/>
        <v>5.7200000000000001E-2</v>
      </c>
      <c r="O52" s="2410">
        <f t="shared" si="186"/>
        <v>6.5700000000000008E-2</v>
      </c>
      <c r="P52" s="2410">
        <f t="shared" si="186"/>
        <v>5.7200000000000001E-2</v>
      </c>
      <c r="Q52" s="2410">
        <f t="shared" si="186"/>
        <v>2.7200000000000002E-2</v>
      </c>
      <c r="R52" s="2417"/>
      <c r="S52" s="2430"/>
      <c r="T52" s="2431"/>
      <c r="U52" s="2431"/>
      <c r="V52" s="2431"/>
      <c r="X52" s="2431"/>
      <c r="Y52" s="2431"/>
      <c r="Z52" s="2431"/>
    </row>
    <row r="53" spans="1:26">
      <c r="A53" s="2413" t="s">
        <v>1143</v>
      </c>
      <c r="B53" s="2414">
        <f t="shared" ref="B53:C55" si="198">B52/(1+N52)</f>
        <v>254.44570563753314</v>
      </c>
      <c r="C53" s="2414">
        <f t="shared" si="198"/>
        <v>207.37543398705074</v>
      </c>
      <c r="D53" s="2414">
        <f t="shared" si="184"/>
        <v>207.37543398705074</v>
      </c>
      <c r="E53" s="2414">
        <f t="shared" ref="E53:F55" si="199">E52/(1+P52)</f>
        <v>352.81876655315932</v>
      </c>
      <c r="F53" s="2414">
        <f t="shared" si="199"/>
        <v>190.809968847352</v>
      </c>
      <c r="G53" s="3653">
        <v>2010</v>
      </c>
      <c r="H53" s="2439">
        <v>3</v>
      </c>
      <c r="I53" s="2439">
        <v>4.7300000000000004</v>
      </c>
      <c r="J53" s="2439">
        <v>3.9</v>
      </c>
      <c r="K53" s="2439">
        <v>5.03</v>
      </c>
      <c r="L53" s="2440">
        <v>4.21</v>
      </c>
      <c r="N53" s="2416">
        <f t="shared" si="186"/>
        <v>4.7300000000000002E-2</v>
      </c>
      <c r="O53" s="2410">
        <f t="shared" si="186"/>
        <v>3.9E-2</v>
      </c>
      <c r="P53" s="2410">
        <f t="shared" si="186"/>
        <v>5.0300000000000004E-2</v>
      </c>
      <c r="Q53" s="2410">
        <f t="shared" si="186"/>
        <v>4.2099999999999999E-2</v>
      </c>
      <c r="R53" s="2417"/>
      <c r="S53" s="2416"/>
      <c r="T53" s="2410"/>
      <c r="U53" s="2410"/>
      <c r="V53" s="2410"/>
    </row>
    <row r="54" spans="1:26">
      <c r="A54" s="2413" t="s">
        <v>1144</v>
      </c>
      <c r="B54" s="2414">
        <f t="shared" si="198"/>
        <v>242.95398227588385</v>
      </c>
      <c r="C54" s="2414">
        <f t="shared" si="198"/>
        <v>199.59137053614126</v>
      </c>
      <c r="D54" s="2414">
        <f t="shared" si="184"/>
        <v>199.59137053614126</v>
      </c>
      <c r="E54" s="2414">
        <f t="shared" si="199"/>
        <v>335.92189522342125</v>
      </c>
      <c r="F54" s="2414">
        <f t="shared" si="199"/>
        <v>183.10139991109489</v>
      </c>
      <c r="G54" s="3653">
        <v>2010</v>
      </c>
      <c r="H54" s="2426">
        <v>2</v>
      </c>
      <c r="I54" s="2426">
        <v>4.6900000000000004</v>
      </c>
      <c r="J54" s="2426">
        <v>3.55</v>
      </c>
      <c r="K54" s="2426">
        <v>5.07</v>
      </c>
      <c r="L54" s="2427">
        <v>4.2300000000000004</v>
      </c>
      <c r="N54" s="2416">
        <f t="shared" si="186"/>
        <v>4.6900000000000004E-2</v>
      </c>
      <c r="O54" s="2410">
        <f t="shared" si="186"/>
        <v>3.5499999999999997E-2</v>
      </c>
      <c r="P54" s="2410">
        <f t="shared" si="186"/>
        <v>5.0700000000000002E-2</v>
      </c>
      <c r="Q54" s="2410">
        <f t="shared" si="186"/>
        <v>4.2300000000000004E-2</v>
      </c>
      <c r="R54" s="2417"/>
      <c r="S54" s="2416"/>
      <c r="T54" s="2410"/>
      <c r="U54" s="2410"/>
      <c r="V54" s="2410"/>
    </row>
    <row r="55" spans="1:26" ht="13.5" thickBot="1">
      <c r="A55" s="2413" t="s">
        <v>1145</v>
      </c>
      <c r="B55" s="2414">
        <f t="shared" si="198"/>
        <v>232.06990378821649</v>
      </c>
      <c r="C55" s="2414">
        <f t="shared" si="198"/>
        <v>192.74878854286936</v>
      </c>
      <c r="D55" s="2414">
        <f t="shared" si="184"/>
        <v>192.74878854286936</v>
      </c>
      <c r="E55" s="2414">
        <f t="shared" si="199"/>
        <v>319.71247284992984</v>
      </c>
      <c r="F55" s="2414">
        <f t="shared" si="199"/>
        <v>175.67053622862409</v>
      </c>
      <c r="G55" s="3654">
        <v>2010</v>
      </c>
      <c r="H55" s="2415">
        <v>1</v>
      </c>
      <c r="I55" s="2415">
        <v>5.4</v>
      </c>
      <c r="J55" s="2415">
        <v>3.2</v>
      </c>
      <c r="K55" s="2415">
        <v>6.16</v>
      </c>
      <c r="L55" s="2421">
        <v>4.51</v>
      </c>
      <c r="N55" s="2416">
        <f t="shared" si="186"/>
        <v>5.4000000000000006E-2</v>
      </c>
      <c r="O55" s="2410">
        <f t="shared" si="186"/>
        <v>3.2000000000000001E-2</v>
      </c>
      <c r="P55" s="2410">
        <f t="shared" si="186"/>
        <v>6.1600000000000002E-2</v>
      </c>
      <c r="Q55" s="2410">
        <f t="shared" si="186"/>
        <v>4.5100000000000001E-2</v>
      </c>
      <c r="R55" s="2417"/>
      <c r="S55" s="2432">
        <f>B55/B56-1</f>
        <v>5.4863199037347599E-2</v>
      </c>
      <c r="T55" s="2433">
        <f>C55/C56-1</f>
        <v>3.0742184721226584E-2</v>
      </c>
      <c r="U55" s="2433">
        <f>E55/E56-1</f>
        <v>6.2167683886810154E-2</v>
      </c>
      <c r="V55" s="2433">
        <f>F55/F56-1</f>
        <v>4.5657953741810031E-2</v>
      </c>
      <c r="X55" s="2410"/>
      <c r="Y55" s="2410"/>
      <c r="Z55" s="2410"/>
    </row>
    <row r="56" spans="1:26" ht="13.5" thickBot="1">
      <c r="A56" s="2413" t="s">
        <v>1146</v>
      </c>
      <c r="B56" s="2428">
        <v>220</v>
      </c>
      <c r="C56" s="2428">
        <v>187</v>
      </c>
      <c r="D56" s="2428">
        <f t="shared" si="184"/>
        <v>187</v>
      </c>
      <c r="E56" s="2428">
        <v>301</v>
      </c>
      <c r="F56" s="2429">
        <v>168</v>
      </c>
      <c r="G56" s="3652">
        <v>2009</v>
      </c>
      <c r="H56" s="2434">
        <v>4</v>
      </c>
      <c r="I56" s="2434">
        <v>2.2999999999999998</v>
      </c>
      <c r="J56" s="2434">
        <v>1.04</v>
      </c>
      <c r="K56" s="2434">
        <v>2.84</v>
      </c>
      <c r="L56" s="2435">
        <v>0.67</v>
      </c>
      <c r="N56" s="2436">
        <f t="shared" si="186"/>
        <v>2.3E-2</v>
      </c>
      <c r="O56" s="2437">
        <f t="shared" si="186"/>
        <v>1.04E-2</v>
      </c>
      <c r="P56" s="2437">
        <f t="shared" si="186"/>
        <v>2.8399999999999998E-2</v>
      </c>
      <c r="Q56" s="2437">
        <f t="shared" si="186"/>
        <v>6.7000000000000002E-3</v>
      </c>
      <c r="R56" s="2417"/>
      <c r="S56" s="2430"/>
      <c r="T56" s="2431"/>
      <c r="U56" s="2431"/>
      <c r="V56" s="2431"/>
      <c r="X56" s="2431"/>
      <c r="Y56" s="2431"/>
      <c r="Z56" s="2431"/>
    </row>
    <row r="57" spans="1:26">
      <c r="A57" s="2413" t="s">
        <v>1147</v>
      </c>
      <c r="B57" s="2414">
        <f t="shared" ref="B57:C59" si="200">B56/(1+N56)</f>
        <v>215.05376344086022</v>
      </c>
      <c r="C57" s="2414">
        <f t="shared" si="200"/>
        <v>185.0752177355503</v>
      </c>
      <c r="D57" s="2414">
        <f t="shared" si="184"/>
        <v>185.0752177355503</v>
      </c>
      <c r="E57" s="2414">
        <f t="shared" ref="E57:F59" si="201">E56/(1+P56)</f>
        <v>292.68767016725008</v>
      </c>
      <c r="F57" s="2414">
        <f t="shared" si="201"/>
        <v>166.88189132810174</v>
      </c>
      <c r="G57" s="3653">
        <v>2009</v>
      </c>
      <c r="H57" s="2439">
        <v>3</v>
      </c>
      <c r="I57" s="2439">
        <v>2.1</v>
      </c>
      <c r="J57" s="2439">
        <v>1.86</v>
      </c>
      <c r="K57" s="2439">
        <v>2.29</v>
      </c>
      <c r="L57" s="2440">
        <v>0.85</v>
      </c>
      <c r="N57" s="2416">
        <f t="shared" si="186"/>
        <v>2.1000000000000001E-2</v>
      </c>
      <c r="O57" s="2441">
        <f t="shared" si="186"/>
        <v>1.8600000000000002E-2</v>
      </c>
      <c r="P57" s="2441">
        <f t="shared" si="186"/>
        <v>2.29E-2</v>
      </c>
      <c r="Q57" s="2441">
        <f t="shared" si="186"/>
        <v>8.5000000000000006E-3</v>
      </c>
      <c r="R57" s="2417"/>
      <c r="S57" s="2416"/>
      <c r="T57" s="2410"/>
      <c r="U57" s="2410"/>
      <c r="V57" s="2410"/>
    </row>
    <row r="58" spans="1:26">
      <c r="A58" s="2413" t="s">
        <v>1148</v>
      </c>
      <c r="B58" s="2414">
        <f t="shared" si="200"/>
        <v>210.630522469011</v>
      </c>
      <c r="C58" s="2414">
        <f t="shared" si="200"/>
        <v>181.69567812247232</v>
      </c>
      <c r="D58" s="2414">
        <f t="shared" si="184"/>
        <v>181.69567812247232</v>
      </c>
      <c r="E58" s="2414">
        <f t="shared" si="201"/>
        <v>286.13517466736738</v>
      </c>
      <c r="F58" s="2414">
        <f t="shared" si="201"/>
        <v>165.47535084591149</v>
      </c>
      <c r="G58" s="3653">
        <v>2009</v>
      </c>
      <c r="H58" s="2426">
        <v>2</v>
      </c>
      <c r="I58" s="2426">
        <v>0.86</v>
      </c>
      <c r="J58" s="2426">
        <v>-1.1299999999999999</v>
      </c>
      <c r="K58" s="2426">
        <v>1.79</v>
      </c>
      <c r="L58" s="2427">
        <v>-2.0699999999999998</v>
      </c>
      <c r="N58" s="2416">
        <f t="shared" si="186"/>
        <v>8.6E-3</v>
      </c>
      <c r="O58" s="2441">
        <f t="shared" si="186"/>
        <v>-1.1299999999999999E-2</v>
      </c>
      <c r="P58" s="2441">
        <f t="shared" si="186"/>
        <v>1.7899999999999999E-2</v>
      </c>
      <c r="Q58" s="2441">
        <f t="shared" si="186"/>
        <v>-2.07E-2</v>
      </c>
      <c r="R58" s="2417"/>
      <c r="S58" s="2416"/>
      <c r="T58" s="2410"/>
      <c r="U58" s="2410"/>
      <c r="V58" s="2410"/>
    </row>
    <row r="59" spans="1:26">
      <c r="A59" s="2413" t="s">
        <v>1149</v>
      </c>
      <c r="B59" s="2414">
        <f t="shared" si="200"/>
        <v>208.83454537875372</v>
      </c>
      <c r="C59" s="2414">
        <f t="shared" si="200"/>
        <v>183.77230517090351</v>
      </c>
      <c r="D59" s="2414">
        <f t="shared" si="184"/>
        <v>183.77230517090351</v>
      </c>
      <c r="E59" s="2414">
        <f t="shared" si="201"/>
        <v>281.10342338870947</v>
      </c>
      <c r="F59" s="2414">
        <f t="shared" si="201"/>
        <v>168.97309388942256</v>
      </c>
      <c r="G59" s="3654">
        <v>2009</v>
      </c>
      <c r="H59" s="2415">
        <v>1</v>
      </c>
      <c r="I59" s="2415">
        <v>-2.64</v>
      </c>
      <c r="J59" s="2415">
        <v>-2.5299999999999998</v>
      </c>
      <c r="K59" s="2415">
        <v>-3.02</v>
      </c>
      <c r="L59" s="2421">
        <v>1.52</v>
      </c>
      <c r="N59" s="2432">
        <f t="shared" si="186"/>
        <v>-2.64E-2</v>
      </c>
      <c r="O59" s="2433">
        <f t="shared" si="186"/>
        <v>-2.53E-2</v>
      </c>
      <c r="P59" s="2433">
        <f t="shared" si="186"/>
        <v>-3.0200000000000001E-2</v>
      </c>
      <c r="Q59" s="2433">
        <f t="shared" si="186"/>
        <v>1.52E-2</v>
      </c>
      <c r="R59" s="2417"/>
      <c r="S59" s="2432">
        <f>B59/B60-1</f>
        <v>-2.4137638417038754E-2</v>
      </c>
      <c r="T59" s="2433">
        <f>C59/C60-1</f>
        <v>-2.248773845264096E-2</v>
      </c>
      <c r="U59" s="2433">
        <f>E59/E60-1</f>
        <v>-2.7323794502735366E-2</v>
      </c>
      <c r="V59" s="2433">
        <f>F59/F60-1</f>
        <v>1.7910204153148035E-2</v>
      </c>
      <c r="X59" s="2410"/>
      <c r="Y59" s="2410"/>
      <c r="Z59" s="2410"/>
    </row>
    <row r="60" spans="1:26" ht="13.5" thickBot="1">
      <c r="A60" s="2413" t="s">
        <v>1150</v>
      </c>
      <c r="B60" s="2463">
        <v>214</v>
      </c>
      <c r="C60" s="2463">
        <v>188</v>
      </c>
      <c r="D60" s="2463">
        <f t="shared" si="184"/>
        <v>188</v>
      </c>
      <c r="E60" s="2463">
        <v>289</v>
      </c>
      <c r="F60" s="2464">
        <v>166</v>
      </c>
      <c r="G60" s="3652">
        <v>2008</v>
      </c>
      <c r="H60" s="2434">
        <v>4</v>
      </c>
      <c r="I60" s="2434">
        <v>1.73</v>
      </c>
      <c r="J60" s="2434">
        <v>0.03</v>
      </c>
      <c r="K60" s="2434">
        <v>2.59</v>
      </c>
      <c r="L60" s="2435">
        <v>-1.66</v>
      </c>
      <c r="N60" s="2416">
        <f t="shared" si="186"/>
        <v>1.7299999999999999E-2</v>
      </c>
      <c r="O60" s="2410">
        <f t="shared" si="186"/>
        <v>2.9999999999999997E-4</v>
      </c>
      <c r="P60" s="2410">
        <f t="shared" si="186"/>
        <v>2.5899999999999999E-2</v>
      </c>
      <c r="Q60" s="2410">
        <f t="shared" si="186"/>
        <v>-1.66E-2</v>
      </c>
      <c r="R60" s="2417"/>
      <c r="S60" s="2430"/>
      <c r="T60" s="2431"/>
      <c r="U60" s="2431"/>
      <c r="V60" s="2431"/>
      <c r="X60" s="2431"/>
      <c r="Y60" s="2431"/>
      <c r="Z60" s="2431"/>
    </row>
    <row r="61" spans="1:26">
      <c r="A61" s="2413" t="s">
        <v>1151</v>
      </c>
      <c r="B61" s="2414">
        <f t="shared" ref="B61:C63" si="202">B60/(1+N60)</f>
        <v>210.36075887152265</v>
      </c>
      <c r="C61" s="2414">
        <f t="shared" si="202"/>
        <v>187.94361691492554</v>
      </c>
      <c r="D61" s="2414">
        <f t="shared" si="184"/>
        <v>187.94361691492554</v>
      </c>
      <c r="E61" s="2414">
        <f t="shared" ref="E61:F63" si="203">E60/(1+P60)</f>
        <v>281.70386977288234</v>
      </c>
      <c r="F61" s="2414">
        <f t="shared" si="203"/>
        <v>168.80211511083994</v>
      </c>
      <c r="G61" s="3653">
        <v>2008</v>
      </c>
      <c r="H61" s="2439">
        <v>3</v>
      </c>
      <c r="I61" s="2439">
        <v>1.96</v>
      </c>
      <c r="J61" s="2439">
        <v>2.36</v>
      </c>
      <c r="K61" s="2439">
        <v>1.82</v>
      </c>
      <c r="L61" s="2440">
        <v>2.2200000000000002</v>
      </c>
      <c r="N61" s="2416">
        <f t="shared" si="186"/>
        <v>1.9599999999999999E-2</v>
      </c>
      <c r="O61" s="2410">
        <f t="shared" si="186"/>
        <v>2.3599999999999999E-2</v>
      </c>
      <c r="P61" s="2410">
        <f t="shared" si="186"/>
        <v>1.8200000000000001E-2</v>
      </c>
      <c r="Q61" s="2410">
        <f t="shared" si="186"/>
        <v>2.2200000000000001E-2</v>
      </c>
      <c r="R61" s="2417"/>
      <c r="S61" s="2416"/>
      <c r="T61" s="2410"/>
      <c r="U61" s="2410"/>
      <c r="V61" s="2410"/>
    </row>
    <row r="62" spans="1:26">
      <c r="A62" s="2413" t="s">
        <v>1152</v>
      </c>
      <c r="B62" s="2414">
        <f t="shared" si="202"/>
        <v>206.31694671589116</v>
      </c>
      <c r="C62" s="2414">
        <f t="shared" si="202"/>
        <v>183.61041121036101</v>
      </c>
      <c r="D62" s="2414">
        <f t="shared" si="184"/>
        <v>183.61041121036101</v>
      </c>
      <c r="E62" s="2414">
        <f t="shared" si="203"/>
        <v>276.66850301795557</v>
      </c>
      <c r="F62" s="2414">
        <f t="shared" si="203"/>
        <v>165.1360938278614</v>
      </c>
      <c r="G62" s="3653">
        <v>2008</v>
      </c>
      <c r="H62" s="2426">
        <v>2</v>
      </c>
      <c r="I62" s="2426">
        <v>4.93</v>
      </c>
      <c r="J62" s="2426">
        <v>7.38</v>
      </c>
      <c r="K62" s="2426">
        <v>3.98</v>
      </c>
      <c r="L62" s="2427">
        <v>6.86</v>
      </c>
      <c r="N62" s="2416">
        <f t="shared" si="186"/>
        <v>4.9299999999999997E-2</v>
      </c>
      <c r="O62" s="2410">
        <f t="shared" si="186"/>
        <v>7.3800000000000004E-2</v>
      </c>
      <c r="P62" s="2410">
        <f t="shared" si="186"/>
        <v>3.9800000000000002E-2</v>
      </c>
      <c r="Q62" s="2410">
        <f t="shared" si="186"/>
        <v>6.8600000000000008E-2</v>
      </c>
      <c r="R62" s="2417"/>
      <c r="S62" s="2416"/>
      <c r="T62" s="2410"/>
      <c r="U62" s="2410"/>
      <c r="V62" s="2410"/>
    </row>
    <row r="63" spans="1:26" s="2469" customFormat="1" ht="13.5" thickBot="1">
      <c r="A63" s="2413" t="s">
        <v>1153</v>
      </c>
      <c r="B63" s="2466">
        <f t="shared" si="202"/>
        <v>196.62341248059772</v>
      </c>
      <c r="C63" s="2466">
        <f t="shared" si="202"/>
        <v>170.99125648199012</v>
      </c>
      <c r="D63" s="2466">
        <f t="shared" si="184"/>
        <v>170.99125648199012</v>
      </c>
      <c r="E63" s="2466">
        <f t="shared" si="203"/>
        <v>266.07857570490052</v>
      </c>
      <c r="F63" s="2466">
        <f t="shared" si="203"/>
        <v>154.53499328828505</v>
      </c>
      <c r="G63" s="3654">
        <v>2008</v>
      </c>
      <c r="H63" s="2467">
        <v>1</v>
      </c>
      <c r="I63" s="2467">
        <v>4.1399999999999997</v>
      </c>
      <c r="J63" s="2467">
        <v>3.45</v>
      </c>
      <c r="K63" s="2467">
        <v>4.95</v>
      </c>
      <c r="L63" s="2468">
        <v>4.82</v>
      </c>
      <c r="N63" s="2470">
        <f t="shared" si="186"/>
        <v>4.1399999999999999E-2</v>
      </c>
      <c r="O63" s="2471">
        <f t="shared" si="186"/>
        <v>3.4500000000000003E-2</v>
      </c>
      <c r="P63" s="2471">
        <f t="shared" si="186"/>
        <v>4.9500000000000002E-2</v>
      </c>
      <c r="Q63" s="2471">
        <f t="shared" si="186"/>
        <v>4.82E-2</v>
      </c>
      <c r="R63" s="2472"/>
      <c r="S63" s="2470">
        <f>B63/B64-1</f>
        <v>4.5869215322328349E-2</v>
      </c>
      <c r="T63" s="2471">
        <f>C63/C64-1</f>
        <v>3.6310645345394743E-2</v>
      </c>
      <c r="U63" s="2471">
        <f>E63/E64-1</f>
        <v>4.7553447657088688E-2</v>
      </c>
      <c r="V63" s="2471">
        <f>F63/F64-1</f>
        <v>4.4155360055980086E-2</v>
      </c>
      <c r="X63" s="2471"/>
      <c r="Y63" s="2471"/>
      <c r="Z63" s="2471"/>
    </row>
    <row r="64" spans="1:26" ht="13.5" thickBot="1">
      <c r="A64" s="2413" t="s">
        <v>1154</v>
      </c>
      <c r="B64" s="2428">
        <v>188</v>
      </c>
      <c r="C64" s="2428">
        <v>165</v>
      </c>
      <c r="D64" s="2428">
        <f t="shared" si="184"/>
        <v>165</v>
      </c>
      <c r="E64" s="2428">
        <v>254</v>
      </c>
      <c r="F64" s="2429">
        <v>148</v>
      </c>
      <c r="G64" s="3652">
        <v>2007</v>
      </c>
      <c r="H64" s="2473">
        <v>4</v>
      </c>
      <c r="I64" s="2473">
        <v>5.51</v>
      </c>
      <c r="J64" s="2473">
        <v>4.8899999999999997</v>
      </c>
      <c r="K64" s="2473">
        <v>6.43</v>
      </c>
      <c r="L64" s="2474">
        <v>5.36</v>
      </c>
      <c r="N64" s="2475">
        <f t="shared" ref="N64:O67" si="204">B64/B65-1</f>
        <v>4.1339718365245526E-2</v>
      </c>
      <c r="O64" s="2476">
        <f t="shared" si="204"/>
        <v>4.0324492593776018E-2</v>
      </c>
      <c r="P64" s="2476">
        <f t="shared" ref="P64:Q67" si="205">E64/E65-1</f>
        <v>6.1625555347990968E-2</v>
      </c>
      <c r="Q64" s="2476">
        <f t="shared" si="205"/>
        <v>4.6757569250590603E-2</v>
      </c>
      <c r="R64" s="2417"/>
      <c r="S64" s="2430"/>
      <c r="T64" s="2431"/>
      <c r="U64" s="2431"/>
      <c r="V64" s="2431"/>
      <c r="X64" s="2431"/>
      <c r="Y64" s="2431"/>
      <c r="Z64" s="2431"/>
    </row>
    <row r="65" spans="1:26">
      <c r="A65" s="2413" t="s">
        <v>1155</v>
      </c>
      <c r="B65" s="2414">
        <f t="shared" ref="B65:C67" si="206">B66+(B$64-B$68)*I65/SUM(I$64:I$67)</f>
        <v>180.5366651097618</v>
      </c>
      <c r="C65" s="2414">
        <f t="shared" si="206"/>
        <v>158.60435967302453</v>
      </c>
      <c r="D65" s="2414">
        <f t="shared" si="184"/>
        <v>158.60435967302453</v>
      </c>
      <c r="E65" s="2414">
        <f t="shared" ref="E65:F67" si="207">E66+(E$64-E$68)*K65/SUM(K$64:K$67)</f>
        <v>239.25573260785075</v>
      </c>
      <c r="F65" s="2414">
        <f t="shared" si="207"/>
        <v>141.38899430740037</v>
      </c>
      <c r="G65" s="3653">
        <v>2007</v>
      </c>
      <c r="H65" s="2439">
        <v>3</v>
      </c>
      <c r="I65" s="2439">
        <v>8.65</v>
      </c>
      <c r="J65" s="2439">
        <v>8.06</v>
      </c>
      <c r="K65" s="2439">
        <v>9.94</v>
      </c>
      <c r="L65" s="2440">
        <v>5.8</v>
      </c>
      <c r="N65" s="2475">
        <f t="shared" si="204"/>
        <v>6.940217571740015E-2</v>
      </c>
      <c r="O65" s="2476">
        <f t="shared" si="204"/>
        <v>7.1197482471153428E-2</v>
      </c>
      <c r="P65" s="2476">
        <f t="shared" si="205"/>
        <v>0.10529679922579582</v>
      </c>
      <c r="Q65" s="2476">
        <f t="shared" si="205"/>
        <v>5.3292245059512133E-2</v>
      </c>
      <c r="R65" s="2417"/>
      <c r="S65" s="2416"/>
      <c r="T65" s="2410"/>
      <c r="U65" s="2410"/>
      <c r="V65" s="2410"/>
      <c r="X65" s="2477"/>
      <c r="Y65" s="2477"/>
      <c r="Z65" s="2477"/>
    </row>
    <row r="66" spans="1:26">
      <c r="A66" s="2413" t="s">
        <v>1156</v>
      </c>
      <c r="B66" s="2414">
        <f t="shared" si="206"/>
        <v>168.82017748715555</v>
      </c>
      <c r="C66" s="2414">
        <f t="shared" si="206"/>
        <v>148.06267029972753</v>
      </c>
      <c r="D66" s="2414">
        <f t="shared" si="184"/>
        <v>148.06267029972753</v>
      </c>
      <c r="E66" s="2414">
        <f t="shared" si="207"/>
        <v>216.46288379323747</v>
      </c>
      <c r="F66" s="2414">
        <f t="shared" si="207"/>
        <v>134.23529411764704</v>
      </c>
      <c r="G66" s="3653">
        <v>2007</v>
      </c>
      <c r="H66" s="2426">
        <v>2</v>
      </c>
      <c r="I66" s="2426">
        <v>3.67</v>
      </c>
      <c r="J66" s="2426">
        <v>2.3199999999999998</v>
      </c>
      <c r="K66" s="2426">
        <v>5.0199999999999996</v>
      </c>
      <c r="L66" s="2427">
        <v>6.71</v>
      </c>
      <c r="N66" s="2475">
        <f t="shared" si="204"/>
        <v>3.0339138143848032E-2</v>
      </c>
      <c r="O66" s="2476">
        <f t="shared" si="204"/>
        <v>2.0922341588790472E-2</v>
      </c>
      <c r="P66" s="2476">
        <f t="shared" si="205"/>
        <v>5.6164796592717003E-2</v>
      </c>
      <c r="Q66" s="2476">
        <f t="shared" si="205"/>
        <v>6.5704536723887319E-2</v>
      </c>
      <c r="R66" s="2417"/>
      <c r="S66" s="2416"/>
      <c r="T66" s="2410"/>
      <c r="U66" s="2410"/>
      <c r="V66" s="2410"/>
      <c r="X66" s="2477"/>
      <c r="Y66" s="2477"/>
      <c r="Z66" s="2477"/>
    </row>
    <row r="67" spans="1:26">
      <c r="A67" s="2413" t="s">
        <v>1157</v>
      </c>
      <c r="B67" s="2414">
        <f t="shared" si="206"/>
        <v>163.84913591779542</v>
      </c>
      <c r="C67" s="2414">
        <f t="shared" si="206"/>
        <v>145.0283378746594</v>
      </c>
      <c r="D67" s="2414">
        <f t="shared" si="184"/>
        <v>145.0283378746594</v>
      </c>
      <c r="E67" s="2414">
        <f t="shared" si="207"/>
        <v>204.95180722891567</v>
      </c>
      <c r="F67" s="2414">
        <f t="shared" si="207"/>
        <v>125.95920303605313</v>
      </c>
      <c r="G67" s="3654">
        <v>2007</v>
      </c>
      <c r="H67" s="2415">
        <v>1</v>
      </c>
      <c r="I67" s="2415">
        <v>3.58</v>
      </c>
      <c r="J67" s="2415">
        <v>3.08</v>
      </c>
      <c r="K67" s="2415">
        <v>4.34</v>
      </c>
      <c r="L67" s="2421">
        <v>3.21</v>
      </c>
      <c r="N67" s="2478">
        <f t="shared" si="204"/>
        <v>3.0497710174814063E-2</v>
      </c>
      <c r="O67" s="2479">
        <f t="shared" si="204"/>
        <v>2.8569772160704998E-2</v>
      </c>
      <c r="P67" s="2479">
        <f t="shared" si="205"/>
        <v>5.1034908866234296E-2</v>
      </c>
      <c r="Q67" s="2479">
        <f t="shared" si="205"/>
        <v>3.245248390207478E-2</v>
      </c>
      <c r="R67" s="2417"/>
      <c r="S67" s="2432">
        <f>B67/B68-1</f>
        <v>3.0497710174814063E-2</v>
      </c>
      <c r="T67" s="2433">
        <f>C67/C68-1</f>
        <v>2.8569772160704998E-2</v>
      </c>
      <c r="U67" s="2433">
        <f>E67/E68-1</f>
        <v>5.1034908866234296E-2</v>
      </c>
      <c r="V67" s="2433">
        <f>F67/F68-1</f>
        <v>3.245248390207478E-2</v>
      </c>
      <c r="X67" s="2477"/>
      <c r="Y67" s="2477"/>
      <c r="Z67" s="2477"/>
    </row>
    <row r="68" spans="1:26" ht="13.5" thickBot="1">
      <c r="A68" s="2413" t="s">
        <v>1158</v>
      </c>
      <c r="B68" s="2442">
        <v>159</v>
      </c>
      <c r="C68" s="2442">
        <v>141</v>
      </c>
      <c r="D68" s="2442">
        <f t="shared" si="184"/>
        <v>141</v>
      </c>
      <c r="E68" s="2442">
        <v>195</v>
      </c>
      <c r="F68" s="2443">
        <v>122</v>
      </c>
      <c r="G68" s="3652">
        <v>2006</v>
      </c>
      <c r="H68" s="2434">
        <v>4</v>
      </c>
      <c r="I68" s="2434">
        <v>3.79</v>
      </c>
      <c r="J68" s="2434">
        <v>2.21</v>
      </c>
      <c r="K68" s="2434">
        <v>5.65</v>
      </c>
      <c r="L68" s="2435">
        <v>5.41</v>
      </c>
      <c r="N68" s="2475">
        <f t="shared" ref="N68:O71" si="208">I68/SUM(I$68:I$71)*(B$68/B$72-1)</f>
        <v>7.245466462748526E-2</v>
      </c>
      <c r="O68" s="2476">
        <f t="shared" si="208"/>
        <v>2.3237230038062766E-2</v>
      </c>
      <c r="P68" s="2476">
        <f t="shared" ref="P68:Q71" si="209">K68/SUM(K$68:K$71)*(E$68/E$72-1)</f>
        <v>0.16146893866323722</v>
      </c>
      <c r="Q68" s="2476">
        <f t="shared" si="209"/>
        <v>5.0755230321793784E-2</v>
      </c>
      <c r="R68" s="2417"/>
      <c r="S68" s="2430"/>
      <c r="T68" s="2431"/>
      <c r="U68" s="2431"/>
      <c r="V68" s="2431"/>
      <c r="X68" s="2477"/>
      <c r="Y68" s="2477"/>
      <c r="Z68" s="2477"/>
    </row>
    <row r="69" spans="1:26">
      <c r="A69" s="2413" t="s">
        <v>1159</v>
      </c>
      <c r="B69" s="2414">
        <f t="shared" ref="B69:C71" si="210">B70+(B$68-B$72)*I69/SUM(I$68:I$71)</f>
        <v>149.00125628140702</v>
      </c>
      <c r="C69" s="2414">
        <f t="shared" si="210"/>
        <v>137.95592286501378</v>
      </c>
      <c r="D69" s="2414">
        <f t="shared" si="184"/>
        <v>137.95592286501378</v>
      </c>
      <c r="E69" s="2414">
        <f t="shared" ref="E69:F71" si="211">E70+(E$68-E$72)*K69/SUM(K$68:K$71)</f>
        <v>169.97231450719823</v>
      </c>
      <c r="F69" s="2414">
        <f t="shared" si="211"/>
        <v>116.21390374331551</v>
      </c>
      <c r="G69" s="3653">
        <v>2006</v>
      </c>
      <c r="H69" s="2439">
        <v>3</v>
      </c>
      <c r="I69" s="2439">
        <v>0.92</v>
      </c>
      <c r="J69" s="2439">
        <v>1.08</v>
      </c>
      <c r="K69" s="2439">
        <v>0.73</v>
      </c>
      <c r="L69" s="2440">
        <v>1.08</v>
      </c>
      <c r="N69" s="2475">
        <f t="shared" si="208"/>
        <v>1.7587939698492462E-2</v>
      </c>
      <c r="O69" s="2476">
        <f t="shared" si="208"/>
        <v>1.1355750425840628E-2</v>
      </c>
      <c r="P69" s="2476">
        <f t="shared" si="209"/>
        <v>2.0862358446754544E-2</v>
      </c>
      <c r="Q69" s="2476">
        <f t="shared" si="209"/>
        <v>1.0132282578103011E-2</v>
      </c>
      <c r="R69" s="2417"/>
      <c r="S69" s="2416"/>
      <c r="T69" s="2410"/>
      <c r="U69" s="2410"/>
      <c r="V69" s="2410"/>
      <c r="X69" s="2477"/>
      <c r="Y69" s="2477"/>
      <c r="Z69" s="2477"/>
    </row>
    <row r="70" spans="1:26">
      <c r="A70" s="2413" t="s">
        <v>1160</v>
      </c>
      <c r="B70" s="2414">
        <f t="shared" si="210"/>
        <v>146.57412060301507</v>
      </c>
      <c r="C70" s="2414">
        <f t="shared" si="210"/>
        <v>136.46831955922866</v>
      </c>
      <c r="D70" s="2414">
        <f t="shared" si="184"/>
        <v>136.46831955922866</v>
      </c>
      <c r="E70" s="2414">
        <f t="shared" si="211"/>
        <v>166.73864894795128</v>
      </c>
      <c r="F70" s="2414">
        <f t="shared" si="211"/>
        <v>115.05882352941177</v>
      </c>
      <c r="G70" s="3653">
        <v>2006</v>
      </c>
      <c r="H70" s="2426">
        <v>2</v>
      </c>
      <c r="I70" s="2426">
        <v>0.96</v>
      </c>
      <c r="J70" s="2426">
        <v>0.25</v>
      </c>
      <c r="K70" s="2426">
        <v>1.9</v>
      </c>
      <c r="L70" s="2427">
        <v>0.95</v>
      </c>
      <c r="N70" s="2475">
        <f t="shared" si="208"/>
        <v>1.8352632728861701E-2</v>
      </c>
      <c r="O70" s="2476">
        <f t="shared" si="208"/>
        <v>2.6286459319075526E-3</v>
      </c>
      <c r="P70" s="2476">
        <f t="shared" si="209"/>
        <v>5.4299289107991269E-2</v>
      </c>
      <c r="Q70" s="2476">
        <f t="shared" si="209"/>
        <v>8.9126559714794995E-3</v>
      </c>
      <c r="R70" s="2417"/>
      <c r="S70" s="2416"/>
      <c r="T70" s="2410"/>
      <c r="U70" s="2410"/>
      <c r="V70" s="2410"/>
      <c r="X70" s="2477"/>
      <c r="Y70" s="2477"/>
      <c r="Z70" s="2477"/>
    </row>
    <row r="71" spans="1:26">
      <c r="A71" s="2413" t="s">
        <v>1161</v>
      </c>
      <c r="B71" s="2414">
        <f t="shared" si="210"/>
        <v>144.04145728643215</v>
      </c>
      <c r="C71" s="2414">
        <f t="shared" si="210"/>
        <v>136.12396694214877</v>
      </c>
      <c r="D71" s="2414">
        <f t="shared" si="184"/>
        <v>136.12396694214877</v>
      </c>
      <c r="E71" s="2414">
        <f t="shared" si="211"/>
        <v>158.32225913621264</v>
      </c>
      <c r="F71" s="2414">
        <f t="shared" si="211"/>
        <v>114.04278074866311</v>
      </c>
      <c r="G71" s="3654">
        <v>2006</v>
      </c>
      <c r="H71" s="2415">
        <v>1</v>
      </c>
      <c r="I71" s="2415">
        <v>2.29</v>
      </c>
      <c r="J71" s="2415">
        <v>3.72</v>
      </c>
      <c r="K71" s="2415">
        <v>0.75</v>
      </c>
      <c r="L71" s="2421">
        <v>0.04</v>
      </c>
      <c r="N71" s="2478">
        <f t="shared" si="208"/>
        <v>4.3778675988638847E-2</v>
      </c>
      <c r="O71" s="2479">
        <f t="shared" si="208"/>
        <v>3.9114251466784385E-2</v>
      </c>
      <c r="P71" s="2479">
        <f t="shared" si="209"/>
        <v>2.1433929911049188E-2</v>
      </c>
      <c r="Q71" s="2479">
        <f t="shared" si="209"/>
        <v>3.7526972511492629E-4</v>
      </c>
      <c r="R71" s="2417"/>
      <c r="S71" s="2432">
        <f>B71/B72-1</f>
        <v>4.3778675988638716E-2</v>
      </c>
      <c r="T71" s="2433">
        <f>C71/C72-1</f>
        <v>3.91142514667846E-2</v>
      </c>
      <c r="U71" s="2433">
        <f>E71/E72-1</f>
        <v>2.143392991104931E-2</v>
      </c>
      <c r="V71" s="2433">
        <f>F71/F72-1</f>
        <v>3.7526972511492396E-4</v>
      </c>
      <c r="X71" s="2477"/>
      <c r="Y71" s="2477"/>
      <c r="Z71" s="2477"/>
    </row>
    <row r="72" spans="1:26" ht="13.5" thickBot="1">
      <c r="A72" s="2413" t="s">
        <v>1162</v>
      </c>
      <c r="B72" s="2442">
        <v>138</v>
      </c>
      <c r="C72" s="2442">
        <v>131</v>
      </c>
      <c r="D72" s="2442">
        <f t="shared" si="184"/>
        <v>131</v>
      </c>
      <c r="E72" s="2442">
        <v>155</v>
      </c>
      <c r="F72" s="2443">
        <v>114</v>
      </c>
      <c r="G72" s="3652">
        <v>2005</v>
      </c>
      <c r="H72" s="2434">
        <v>4</v>
      </c>
      <c r="I72" s="2434">
        <v>3.29</v>
      </c>
      <c r="J72" s="2434">
        <v>1.44</v>
      </c>
      <c r="K72" s="2434">
        <v>0.66</v>
      </c>
      <c r="L72" s="2435">
        <v>7.78</v>
      </c>
      <c r="N72" s="2475">
        <f t="shared" ref="N72:O75" si="212">I72/SUM(I$72:I$75)*(B$72/B$76-1)</f>
        <v>9.9404603216919935E-2</v>
      </c>
      <c r="O72" s="2476">
        <f t="shared" si="212"/>
        <v>4.7636550760861554E-2</v>
      </c>
      <c r="P72" s="2476">
        <f t="shared" ref="P72:Q75" si="213">K72/SUM(K$72:K$75)*(E$72/E$76-1)</f>
        <v>8.3756345177664976E-2</v>
      </c>
      <c r="Q72" s="2476">
        <f t="shared" si="213"/>
        <v>5.2148766661559584E-2</v>
      </c>
      <c r="R72" s="2417"/>
      <c r="S72" s="2430"/>
      <c r="T72" s="2431"/>
      <c r="U72" s="2431"/>
      <c r="V72" s="2431"/>
      <c r="X72" s="2477"/>
      <c r="Y72" s="2477"/>
      <c r="Z72" s="2477"/>
    </row>
    <row r="73" spans="1:26">
      <c r="A73" s="2413" t="s">
        <v>1163</v>
      </c>
      <c r="B73" s="2414">
        <f t="shared" ref="B73:C75" si="214">B74+(B$72-B$76)*I73/SUM(I$72:I$75)</f>
        <v>125.9720430107527</v>
      </c>
      <c r="C73" s="2414">
        <f t="shared" si="214"/>
        <v>125.1883408071749</v>
      </c>
      <c r="D73" s="2414">
        <f t="shared" si="184"/>
        <v>125.1883408071749</v>
      </c>
      <c r="E73" s="2414">
        <f t="shared" ref="E73:F75" si="215">E74+(E$72-E$76)*K73/SUM(K$72:K$75)</f>
        <v>144.61421319796952</v>
      </c>
      <c r="F73" s="2414">
        <f t="shared" si="215"/>
        <v>108.42008196721311</v>
      </c>
      <c r="G73" s="3653">
        <v>2005</v>
      </c>
      <c r="H73" s="2439">
        <v>3</v>
      </c>
      <c r="I73" s="2439">
        <v>0.46</v>
      </c>
      <c r="J73" s="2439">
        <v>0.32</v>
      </c>
      <c r="K73" s="2439">
        <v>0.42</v>
      </c>
      <c r="L73" s="2440">
        <v>0.64</v>
      </c>
      <c r="N73" s="2475">
        <f t="shared" si="212"/>
        <v>1.3898515951301874E-2</v>
      </c>
      <c r="O73" s="2476">
        <f t="shared" si="212"/>
        <v>1.0585900169080346E-2</v>
      </c>
      <c r="P73" s="2476">
        <f t="shared" si="213"/>
        <v>5.3299492385786795E-2</v>
      </c>
      <c r="Q73" s="2476">
        <f t="shared" si="213"/>
        <v>4.2898728359123568E-3</v>
      </c>
      <c r="R73" s="2417"/>
      <c r="S73" s="2416"/>
      <c r="T73" s="2410"/>
      <c r="U73" s="2410"/>
      <c r="V73" s="2410"/>
      <c r="X73" s="2477"/>
      <c r="Y73" s="2477"/>
      <c r="Z73" s="2477"/>
    </row>
    <row r="74" spans="1:26">
      <c r="A74" s="2413" t="s">
        <v>1164</v>
      </c>
      <c r="B74" s="2414">
        <f t="shared" si="214"/>
        <v>124.29032258064517</v>
      </c>
      <c r="C74" s="2414">
        <f t="shared" si="214"/>
        <v>123.8968609865471</v>
      </c>
      <c r="D74" s="2414">
        <f t="shared" si="184"/>
        <v>123.8968609865471</v>
      </c>
      <c r="E74" s="2414">
        <f t="shared" si="215"/>
        <v>138.00507614213197</v>
      </c>
      <c r="F74" s="2414">
        <f t="shared" si="215"/>
        <v>107.96106557377048</v>
      </c>
      <c r="G74" s="3653">
        <v>2005</v>
      </c>
      <c r="H74" s="2426">
        <v>2</v>
      </c>
      <c r="I74" s="2426">
        <v>0.47</v>
      </c>
      <c r="J74" s="2426">
        <v>0.1</v>
      </c>
      <c r="K74" s="2426">
        <v>0.52</v>
      </c>
      <c r="L74" s="2427">
        <v>0.79</v>
      </c>
      <c r="N74" s="2475">
        <f t="shared" si="212"/>
        <v>1.420065760241713E-2</v>
      </c>
      <c r="O74" s="2476">
        <f t="shared" si="212"/>
        <v>3.3080938028376083E-3</v>
      </c>
      <c r="P74" s="2476">
        <f t="shared" si="213"/>
        <v>6.598984771573603E-2</v>
      </c>
      <c r="Q74" s="2476">
        <f t="shared" si="213"/>
        <v>5.2953117818293153E-3</v>
      </c>
      <c r="R74" s="2417"/>
      <c r="S74" s="2416"/>
      <c r="T74" s="2410"/>
      <c r="U74" s="2410"/>
      <c r="V74" s="2410"/>
      <c r="X74" s="2477"/>
      <c r="Y74" s="2477"/>
      <c r="Z74" s="2477"/>
    </row>
    <row r="75" spans="1:26">
      <c r="A75" s="2413" t="s">
        <v>1165</v>
      </c>
      <c r="B75" s="2414">
        <f t="shared" si="214"/>
        <v>122.57204301075269</v>
      </c>
      <c r="C75" s="2414">
        <f t="shared" si="214"/>
        <v>123.4932735426009</v>
      </c>
      <c r="D75" s="2414">
        <f t="shared" si="184"/>
        <v>123.4932735426009</v>
      </c>
      <c r="E75" s="2414">
        <f t="shared" si="215"/>
        <v>129.82233502538071</v>
      </c>
      <c r="F75" s="2414">
        <f t="shared" si="215"/>
        <v>107.39446721311475</v>
      </c>
      <c r="G75" s="3654">
        <v>2005</v>
      </c>
      <c r="H75" s="2415">
        <v>1</v>
      </c>
      <c r="I75" s="2415">
        <v>0.43</v>
      </c>
      <c r="J75" s="2415">
        <v>0.37</v>
      </c>
      <c r="K75" s="2415">
        <v>0.37</v>
      </c>
      <c r="L75" s="2421">
        <v>0.55000000000000004</v>
      </c>
      <c r="N75" s="2478">
        <f t="shared" si="212"/>
        <v>1.2992090997956099E-2</v>
      </c>
      <c r="O75" s="2479">
        <f t="shared" si="212"/>
        <v>1.2239947070499151E-2</v>
      </c>
      <c r="P75" s="2479">
        <f t="shared" si="213"/>
        <v>4.6954314720812178E-2</v>
      </c>
      <c r="Q75" s="2479">
        <f t="shared" si="213"/>
        <v>3.6866094683621815E-3</v>
      </c>
      <c r="R75" s="2417"/>
      <c r="S75" s="2432">
        <f>B75/B76-1</f>
        <v>1.2992090997956174E-2</v>
      </c>
      <c r="T75" s="2433">
        <f>C75/C76-1</f>
        <v>1.2239947070499246E-2</v>
      </c>
      <c r="U75" s="2433">
        <f>E75/E76-1</f>
        <v>4.695431472081224E-2</v>
      </c>
      <c r="V75" s="2433">
        <f>F75/F76-1</f>
        <v>3.6866094683620787E-3</v>
      </c>
      <c r="X75" s="2477"/>
      <c r="Y75" s="2477"/>
      <c r="Z75" s="2477"/>
    </row>
    <row r="76" spans="1:26" ht="13.5" thickBot="1">
      <c r="A76" s="2413" t="s">
        <v>1166</v>
      </c>
      <c r="B76" s="2463">
        <v>121</v>
      </c>
      <c r="C76" s="2463">
        <v>122</v>
      </c>
      <c r="D76" s="2463">
        <f t="shared" si="184"/>
        <v>122</v>
      </c>
      <c r="E76" s="2463">
        <v>124</v>
      </c>
      <c r="F76" s="2464">
        <v>107</v>
      </c>
      <c r="G76" s="3652">
        <v>2004</v>
      </c>
      <c r="H76" s="2434">
        <v>4</v>
      </c>
      <c r="I76" s="2434">
        <v>0.33</v>
      </c>
      <c r="J76" s="2434">
        <v>0.5</v>
      </c>
      <c r="K76" s="2434">
        <v>0.5</v>
      </c>
      <c r="L76" s="2435">
        <v>0</v>
      </c>
      <c r="N76" s="2475">
        <f t="shared" ref="N76:O79" si="216">I76/SUM(I$76:I$79)*(B$76/B$80-1)</f>
        <v>1.3391770148526898E-2</v>
      </c>
      <c r="O76" s="2476">
        <f t="shared" si="216"/>
        <v>1.063264221158958E-2</v>
      </c>
      <c r="P76" s="2476">
        <f t="shared" ref="P76:Q79" si="217">K76/SUM(K$76:K$79)*(E$76/E$80-1)</f>
        <v>2.2244466688911134E-2</v>
      </c>
      <c r="Q76" s="2476">
        <f t="shared" si="217"/>
        <v>0</v>
      </c>
      <c r="R76" s="2417"/>
      <c r="S76" s="2430"/>
      <c r="T76" s="2431"/>
      <c r="U76" s="2431"/>
      <c r="V76" s="2431"/>
      <c r="X76" s="2477"/>
      <c r="Y76" s="2477"/>
      <c r="Z76" s="2477"/>
    </row>
    <row r="77" spans="1:26">
      <c r="A77" s="2413" t="s">
        <v>1167</v>
      </c>
      <c r="B77" s="2414">
        <f t="shared" ref="B77:C79" si="218">B78+(B$76-B$80)*I77/SUM(I$76:I$79)</f>
        <v>119.51351351351352</v>
      </c>
      <c r="C77" s="2414">
        <f t="shared" si="218"/>
        <v>120.7878787878788</v>
      </c>
      <c r="D77" s="2414">
        <f t="shared" si="184"/>
        <v>120.7878787878788</v>
      </c>
      <c r="E77" s="2414">
        <f t="shared" ref="E77:F79" si="219">E78+(E$76-E$80)*K77/SUM(K$76:K$79)</f>
        <v>121.5975975975976</v>
      </c>
      <c r="F77" s="2414">
        <f t="shared" si="219"/>
        <v>107</v>
      </c>
      <c r="G77" s="3653">
        <v>2004</v>
      </c>
      <c r="H77" s="2439">
        <v>3</v>
      </c>
      <c r="I77" s="2439">
        <v>0.56000000000000005</v>
      </c>
      <c r="J77" s="2439">
        <v>0.8</v>
      </c>
      <c r="K77" s="2439">
        <v>0.83</v>
      </c>
      <c r="L77" s="2440">
        <v>0.06</v>
      </c>
      <c r="N77" s="2475">
        <f t="shared" si="216"/>
        <v>2.2725428130833527E-2</v>
      </c>
      <c r="O77" s="2476">
        <f t="shared" si="216"/>
        <v>1.7012227538543329E-2</v>
      </c>
      <c r="P77" s="2476">
        <f t="shared" si="217"/>
        <v>3.6925814703592477E-2</v>
      </c>
      <c r="Q77" s="2476">
        <f t="shared" si="217"/>
        <v>2.8846153846153744E-2</v>
      </c>
      <c r="R77" s="2417"/>
      <c r="S77" s="2416"/>
      <c r="T77" s="2410"/>
      <c r="U77" s="2410"/>
      <c r="V77" s="2410"/>
      <c r="X77" s="2477"/>
      <c r="Y77" s="2477"/>
      <c r="Z77" s="2477"/>
    </row>
    <row r="78" spans="1:26">
      <c r="A78" s="2413" t="s">
        <v>1168</v>
      </c>
      <c r="B78" s="2414">
        <f t="shared" si="218"/>
        <v>116.99099099099099</v>
      </c>
      <c r="C78" s="2414">
        <f t="shared" si="218"/>
        <v>118.84848484848486</v>
      </c>
      <c r="D78" s="2414">
        <f t="shared" si="184"/>
        <v>118.84848484848486</v>
      </c>
      <c r="E78" s="2414">
        <f t="shared" si="219"/>
        <v>117.60960960960961</v>
      </c>
      <c r="F78" s="2414">
        <f t="shared" si="219"/>
        <v>104</v>
      </c>
      <c r="G78" s="3653">
        <v>2004</v>
      </c>
      <c r="H78" s="2426">
        <v>2</v>
      </c>
      <c r="I78" s="2426">
        <v>1</v>
      </c>
      <c r="J78" s="2426">
        <v>1.5</v>
      </c>
      <c r="K78" s="2426">
        <v>1.5</v>
      </c>
      <c r="L78" s="2427">
        <v>0</v>
      </c>
      <c r="N78" s="2475">
        <f t="shared" si="216"/>
        <v>4.0581121662202721E-2</v>
      </c>
      <c r="O78" s="2476">
        <f t="shared" si="216"/>
        <v>3.1897926634768738E-2</v>
      </c>
      <c r="P78" s="2476">
        <f t="shared" si="217"/>
        <v>6.6733400066733395E-2</v>
      </c>
      <c r="Q78" s="2476">
        <f t="shared" si="217"/>
        <v>0</v>
      </c>
      <c r="R78" s="2417"/>
      <c r="S78" s="2416"/>
      <c r="T78" s="2410"/>
      <c r="U78" s="2410"/>
      <c r="V78" s="2410"/>
      <c r="X78" s="2477"/>
      <c r="Y78" s="2477"/>
      <c r="Z78" s="2477"/>
    </row>
    <row r="79" spans="1:26" s="2469" customFormat="1" ht="13.5" thickBot="1">
      <c r="A79" s="2413" t="s">
        <v>1169</v>
      </c>
      <c r="B79" s="2466">
        <f t="shared" si="218"/>
        <v>112.48648648648648</v>
      </c>
      <c r="C79" s="2466">
        <f t="shared" si="218"/>
        <v>115.21212121212122</v>
      </c>
      <c r="D79" s="2466">
        <f t="shared" si="184"/>
        <v>115.21212121212122</v>
      </c>
      <c r="E79" s="2466">
        <f t="shared" si="219"/>
        <v>110.4024024024024</v>
      </c>
      <c r="F79" s="2466">
        <f t="shared" si="219"/>
        <v>104</v>
      </c>
      <c r="G79" s="3654">
        <v>2004</v>
      </c>
      <c r="H79" s="2467">
        <v>1</v>
      </c>
      <c r="I79" s="2467">
        <v>0.33</v>
      </c>
      <c r="J79" s="2467">
        <v>0.5</v>
      </c>
      <c r="K79" s="2467">
        <v>0.5</v>
      </c>
      <c r="L79" s="2468">
        <v>0</v>
      </c>
      <c r="N79" s="2480">
        <f t="shared" si="216"/>
        <v>1.3391770148526898E-2</v>
      </c>
      <c r="O79" s="2481">
        <f t="shared" si="216"/>
        <v>1.063264221158958E-2</v>
      </c>
      <c r="P79" s="2481">
        <f t="shared" si="217"/>
        <v>2.2244466688911134E-2</v>
      </c>
      <c r="Q79" s="2481">
        <f t="shared" si="217"/>
        <v>0</v>
      </c>
      <c r="R79" s="2472"/>
      <c r="S79" s="2470">
        <f>B79/B80-1</f>
        <v>1.3391770148526883E-2</v>
      </c>
      <c r="T79" s="2471">
        <f>C79/C80-1</f>
        <v>1.063264221158966E-2</v>
      </c>
      <c r="U79" s="2471">
        <f>E79/E80-1</f>
        <v>2.2244466688911224E-2</v>
      </c>
      <c r="V79" s="2471">
        <f>F79/F80-1</f>
        <v>0</v>
      </c>
      <c r="X79" s="2482"/>
      <c r="Y79" s="2482"/>
      <c r="Z79" s="2482"/>
    </row>
    <row r="80" spans="1:26" ht="13.5" thickBot="1">
      <c r="A80" s="2413" t="s">
        <v>1170</v>
      </c>
      <c r="B80" s="2483">
        <v>111</v>
      </c>
      <c r="C80" s="2483">
        <v>114</v>
      </c>
      <c r="D80" s="2483">
        <f t="shared" si="184"/>
        <v>114</v>
      </c>
      <c r="E80" s="2483">
        <v>108</v>
      </c>
      <c r="F80" s="2484">
        <v>104</v>
      </c>
      <c r="G80" s="3652">
        <v>2003</v>
      </c>
      <c r="H80" s="2473">
        <v>4</v>
      </c>
      <c r="I80" s="2485"/>
      <c r="J80" s="2485"/>
      <c r="K80" s="2485"/>
      <c r="L80" s="2485"/>
      <c r="N80" s="2486"/>
      <c r="O80" s="2485"/>
      <c r="P80" s="2485"/>
      <c r="Q80" s="2485"/>
      <c r="S80" s="2486"/>
      <c r="T80" s="2485"/>
      <c r="U80" s="2485"/>
      <c r="V80" s="2485"/>
      <c r="X80" s="2477"/>
      <c r="Y80" s="2477"/>
      <c r="Z80" s="2477"/>
    </row>
    <row r="81" spans="1:26">
      <c r="A81" s="2413" t="s">
        <v>1171</v>
      </c>
      <c r="B81" s="2487">
        <f t="shared" ref="B81:C83" si="220">B82+(B$80-B$84)/4</f>
        <v>109.75</v>
      </c>
      <c r="C81" s="2487">
        <f t="shared" si="220"/>
        <v>112.25</v>
      </c>
      <c r="D81" s="2487">
        <f t="shared" si="184"/>
        <v>112.25</v>
      </c>
      <c r="E81" s="2487">
        <f t="shared" ref="E81:F83" si="221">E82+(E$80-E$84)/4</f>
        <v>107.25</v>
      </c>
      <c r="F81" s="2487">
        <f t="shared" si="221"/>
        <v>103.5</v>
      </c>
      <c r="G81" s="3653">
        <v>2003</v>
      </c>
      <c r="H81" s="2439">
        <v>3</v>
      </c>
      <c r="I81" s="2485"/>
      <c r="J81" s="2485"/>
      <c r="K81" s="2485"/>
      <c r="L81" s="2485"/>
      <c r="X81" s="2477"/>
      <c r="Y81" s="2477"/>
      <c r="Z81" s="2477"/>
    </row>
    <row r="82" spans="1:26">
      <c r="A82" s="2413" t="s">
        <v>1172</v>
      </c>
      <c r="B82" s="2487">
        <f t="shared" si="220"/>
        <v>108.5</v>
      </c>
      <c r="C82" s="2487">
        <f t="shared" si="220"/>
        <v>110.5</v>
      </c>
      <c r="D82" s="2487">
        <f t="shared" si="184"/>
        <v>110.5</v>
      </c>
      <c r="E82" s="2487">
        <f t="shared" si="221"/>
        <v>106.5</v>
      </c>
      <c r="F82" s="2487">
        <f t="shared" si="221"/>
        <v>103</v>
      </c>
      <c r="G82" s="3653">
        <v>2003</v>
      </c>
      <c r="H82" s="2426">
        <v>2</v>
      </c>
      <c r="I82" s="2485"/>
      <c r="J82" s="2485"/>
      <c r="K82" s="2485"/>
      <c r="L82" s="2485"/>
      <c r="X82" s="2477"/>
      <c r="Y82" s="2477"/>
      <c r="Z82" s="2477"/>
    </row>
    <row r="83" spans="1:26" ht="13.5" thickBot="1">
      <c r="A83" s="2413" t="s">
        <v>1173</v>
      </c>
      <c r="B83" s="2487">
        <f t="shared" si="220"/>
        <v>107.25</v>
      </c>
      <c r="C83" s="2487">
        <f t="shared" si="220"/>
        <v>108.75</v>
      </c>
      <c r="D83" s="2487">
        <f t="shared" si="184"/>
        <v>108.75</v>
      </c>
      <c r="E83" s="2487">
        <f t="shared" si="221"/>
        <v>105.75</v>
      </c>
      <c r="F83" s="2487">
        <f t="shared" si="221"/>
        <v>102.5</v>
      </c>
      <c r="G83" s="3654">
        <v>2003</v>
      </c>
      <c r="H83" s="2488">
        <v>1</v>
      </c>
      <c r="I83" s="2485"/>
      <c r="J83" s="2485"/>
      <c r="K83" s="2485"/>
      <c r="L83" s="2485"/>
      <c r="S83" s="2416"/>
      <c r="T83" s="2410"/>
      <c r="U83" s="2410"/>
      <c r="X83" s="2477"/>
      <c r="Y83" s="2477"/>
      <c r="Z83" s="2477"/>
    </row>
    <row r="84" spans="1:26" ht="13.5" thickBot="1">
      <c r="A84" s="2413" t="s">
        <v>1174</v>
      </c>
      <c r="B84" s="2489">
        <v>106</v>
      </c>
      <c r="C84" s="2489">
        <v>107</v>
      </c>
      <c r="D84" s="2489">
        <f t="shared" si="184"/>
        <v>107</v>
      </c>
      <c r="E84" s="2489">
        <v>105</v>
      </c>
      <c r="F84" s="2490">
        <v>102</v>
      </c>
      <c r="G84" s="3652">
        <v>2002</v>
      </c>
      <c r="H84" s="2434">
        <v>4</v>
      </c>
      <c r="I84" s="2485"/>
      <c r="J84" s="2485"/>
      <c r="K84" s="2485"/>
      <c r="L84" s="2485"/>
      <c r="N84" s="2486"/>
      <c r="O84" s="2485"/>
      <c r="P84" s="2485"/>
      <c r="Q84" s="2485"/>
      <c r="S84" s="2486"/>
      <c r="T84" s="2485"/>
      <c r="U84" s="2485"/>
      <c r="V84" s="2485"/>
      <c r="X84" s="2477"/>
      <c r="Y84" s="2477"/>
      <c r="Z84" s="2477"/>
    </row>
    <row r="85" spans="1:26">
      <c r="A85" s="2413" t="s">
        <v>1175</v>
      </c>
      <c r="B85" s="2487">
        <f t="shared" ref="B85:C87" si="222">B86+(B$84-B$88)/4</f>
        <v>105</v>
      </c>
      <c r="C85" s="2487">
        <f t="shared" si="222"/>
        <v>106</v>
      </c>
      <c r="D85" s="2487">
        <f t="shared" si="184"/>
        <v>106</v>
      </c>
      <c r="E85" s="2487">
        <f t="shared" ref="E85:F87" si="223">E86+(E$84-E$88)/4</f>
        <v>104.5</v>
      </c>
      <c r="F85" s="2487">
        <f t="shared" si="223"/>
        <v>101.5</v>
      </c>
      <c r="G85" s="3653">
        <v>2002</v>
      </c>
      <c r="H85" s="2439">
        <v>3</v>
      </c>
      <c r="I85" s="2485"/>
      <c r="J85" s="2485"/>
      <c r="K85" s="2485"/>
      <c r="L85" s="2485"/>
      <c r="X85" s="2477"/>
      <c r="Y85" s="2477"/>
      <c r="Z85" s="2477"/>
    </row>
    <row r="86" spans="1:26">
      <c r="A86" s="2413" t="s">
        <v>1176</v>
      </c>
      <c r="B86" s="2487">
        <f t="shared" si="222"/>
        <v>104</v>
      </c>
      <c r="C86" s="2487">
        <f t="shared" si="222"/>
        <v>105</v>
      </c>
      <c r="D86" s="2487">
        <f t="shared" si="184"/>
        <v>105</v>
      </c>
      <c r="E86" s="2487">
        <f t="shared" si="223"/>
        <v>104</v>
      </c>
      <c r="F86" s="2487">
        <f t="shared" si="223"/>
        <v>101</v>
      </c>
      <c r="G86" s="3653">
        <v>2002</v>
      </c>
      <c r="H86" s="2426">
        <v>2</v>
      </c>
      <c r="I86" s="2485"/>
      <c r="J86" s="2485"/>
      <c r="K86" s="2485"/>
      <c r="L86" s="2485"/>
      <c r="X86" s="2477"/>
      <c r="Y86" s="2477"/>
      <c r="Z86" s="2477"/>
    </row>
    <row r="87" spans="1:26" s="2450" customFormat="1" ht="13.5" thickBot="1">
      <c r="A87" s="2446" t="s">
        <v>1177</v>
      </c>
      <c r="B87" s="2453">
        <f t="shared" si="222"/>
        <v>103</v>
      </c>
      <c r="C87" s="2453">
        <f t="shared" si="222"/>
        <v>104</v>
      </c>
      <c r="D87" s="2453">
        <f t="shared" si="184"/>
        <v>104</v>
      </c>
      <c r="E87" s="2453">
        <f t="shared" si="223"/>
        <v>103.5</v>
      </c>
      <c r="F87" s="2453">
        <f t="shared" si="223"/>
        <v>100.5</v>
      </c>
      <c r="G87" s="3654">
        <v>2002</v>
      </c>
      <c r="H87" s="2491">
        <v>1</v>
      </c>
      <c r="I87" s="2492"/>
      <c r="J87" s="2492"/>
      <c r="K87" s="2492"/>
      <c r="L87" s="2492"/>
      <c r="N87" s="2493"/>
      <c r="S87" s="2493"/>
      <c r="X87" s="2494"/>
      <c r="Y87" s="2494"/>
      <c r="Z87" s="2494"/>
    </row>
    <row r="88" spans="1:26" ht="13.5" thickBot="1">
      <c r="B88" s="2495">
        <v>102</v>
      </c>
      <c r="C88" s="2496">
        <v>103</v>
      </c>
      <c r="D88" s="2496">
        <f t="shared" si="184"/>
        <v>103</v>
      </c>
      <c r="E88" s="2496">
        <v>103</v>
      </c>
      <c r="F88" s="2497">
        <v>100</v>
      </c>
      <c r="I88" s="2485"/>
      <c r="J88" s="2485"/>
      <c r="K88" s="2485"/>
      <c r="L88" s="2485"/>
      <c r="N88" s="2486"/>
      <c r="O88" s="2485"/>
      <c r="P88" s="2485"/>
      <c r="Q88" s="2485"/>
      <c r="S88" s="2486"/>
      <c r="T88" s="2485"/>
      <c r="U88" s="2485"/>
      <c r="V88" s="2485"/>
      <c r="X88" s="2431"/>
      <c r="Y88" s="2431"/>
      <c r="Z88" s="2431"/>
    </row>
    <row r="90" spans="1:26" s="2499" customFormat="1">
      <c r="A90" s="2498" t="s">
        <v>1178</v>
      </c>
      <c r="G90" s="2500"/>
      <c r="N90" s="2500"/>
      <c r="S90" s="2500"/>
    </row>
    <row r="91" spans="1:26" s="2499" customFormat="1">
      <c r="A91" s="2499" t="s">
        <v>1179</v>
      </c>
      <c r="G91" s="2500"/>
      <c r="N91" s="2500"/>
      <c r="S91" s="2500"/>
    </row>
    <row r="92" spans="1:26" s="2499" customFormat="1">
      <c r="A92" s="2499" t="s">
        <v>1180</v>
      </c>
      <c r="G92" s="2500"/>
      <c r="I92" s="2501"/>
      <c r="J92" s="2501"/>
      <c r="K92" s="2501"/>
      <c r="L92" s="2501"/>
      <c r="N92" s="2502"/>
      <c r="O92" s="2501"/>
      <c r="P92" s="2501"/>
      <c r="Q92" s="2501"/>
      <c r="S92" s="2502"/>
      <c r="T92" s="2501"/>
      <c r="U92" s="2501"/>
      <c r="V92" s="2501"/>
    </row>
    <row r="93" spans="1:26" s="2499" customFormat="1">
      <c r="A93" s="2499" t="s">
        <v>1181</v>
      </c>
      <c r="G93" s="2500"/>
      <c r="N93" s="2500"/>
      <c r="S93" s="2500"/>
    </row>
    <row r="100" spans="7:22" ht="13.5" thickBot="1"/>
    <row r="101" spans="7:22">
      <c r="G101" s="2409"/>
      <c r="S101" s="2503" t="s">
        <v>1182</v>
      </c>
      <c r="T101" s="2504" t="s">
        <v>1183</v>
      </c>
      <c r="U101" s="2504" t="s">
        <v>1184</v>
      </c>
      <c r="V101" s="2504" t="s">
        <v>1185</v>
      </c>
    </row>
    <row r="102" spans="7:22">
      <c r="G102" s="2409"/>
      <c r="N102" s="2430"/>
      <c r="O102" s="2431"/>
      <c r="P102" s="2431"/>
      <c r="Q102" s="2431"/>
      <c r="S102" s="2505">
        <v>2006</v>
      </c>
      <c r="T102" s="2506">
        <v>15.1</v>
      </c>
      <c r="U102" s="2506">
        <v>7.43</v>
      </c>
      <c r="V102" s="2506">
        <v>26.26</v>
      </c>
    </row>
    <row r="103" spans="7:22">
      <c r="G103" s="2409"/>
      <c r="N103" s="2430"/>
      <c r="O103" s="2431"/>
      <c r="P103" s="2431"/>
      <c r="Q103" s="2431"/>
      <c r="S103" s="2507">
        <v>2005</v>
      </c>
      <c r="T103" s="2508">
        <v>13.9</v>
      </c>
      <c r="U103" s="2508">
        <v>7.49</v>
      </c>
      <c r="V103" s="2508">
        <v>24.92</v>
      </c>
    </row>
    <row r="104" spans="7:22">
      <c r="G104" s="2409"/>
      <c r="N104" s="2430"/>
      <c r="O104" s="2431"/>
      <c r="P104" s="2431"/>
      <c r="Q104" s="2431"/>
      <c r="S104" s="2505">
        <v>2004</v>
      </c>
      <c r="T104" s="2506">
        <v>9.48</v>
      </c>
      <c r="U104" s="2506">
        <v>7.2</v>
      </c>
      <c r="V104" s="2506">
        <v>14.68</v>
      </c>
    </row>
    <row r="105" spans="7:22">
      <c r="G105" s="2409"/>
      <c r="N105" s="2430"/>
      <c r="O105" s="2431"/>
      <c r="P105" s="2431"/>
      <c r="Q105" s="2431"/>
      <c r="S105" s="2507">
        <v>2003</v>
      </c>
      <c r="T105" s="2508">
        <v>4.5</v>
      </c>
      <c r="U105" s="2508">
        <v>6.12</v>
      </c>
      <c r="V105" s="2508">
        <v>2.34</v>
      </c>
    </row>
    <row r="106" spans="7:22" ht="13.5" thickBot="1">
      <c r="G106" s="2409"/>
      <c r="N106" s="2430"/>
      <c r="O106" s="2431"/>
      <c r="P106" s="2431"/>
      <c r="Q106" s="2431"/>
      <c r="S106" s="2509">
        <v>2002</v>
      </c>
      <c r="T106" s="2510">
        <v>3.59</v>
      </c>
      <c r="U106" s="2510">
        <v>4.54</v>
      </c>
      <c r="V106" s="2510">
        <v>2.5499999999999998</v>
      </c>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row>
    <row r="116" spans="7:19">
      <c r="G116" s="2409"/>
      <c r="N116" s="2430"/>
      <c r="O116" s="2431"/>
      <c r="P116" s="2431"/>
      <c r="Q116" s="2431"/>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row r="121" spans="7:19">
      <c r="G121" s="2409"/>
      <c r="N121" s="2430"/>
      <c r="O121" s="2431"/>
      <c r="P121" s="2431"/>
      <c r="Q121" s="2431"/>
      <c r="S121" s="2409"/>
    </row>
    <row r="122" spans="7:19">
      <c r="G122" s="2409"/>
      <c r="N122" s="2430"/>
      <c r="O122" s="2431"/>
      <c r="P122" s="2431"/>
      <c r="Q122" s="2431"/>
      <c r="S122" s="2409"/>
    </row>
  </sheetData>
  <sheetProtection formatCells="0"/>
  <mergeCells count="23">
    <mergeCell ref="G72:G75"/>
    <mergeCell ref="G76:G79"/>
    <mergeCell ref="G80:G83"/>
    <mergeCell ref="G84:G87"/>
    <mergeCell ref="G48:G51"/>
    <mergeCell ref="G52:G55"/>
    <mergeCell ref="G56:G59"/>
    <mergeCell ref="G60:G63"/>
    <mergeCell ref="G64:G67"/>
    <mergeCell ref="G68:G71"/>
    <mergeCell ref="X1:AB1"/>
    <mergeCell ref="AD1:AH1"/>
    <mergeCell ref="G44:G47"/>
    <mergeCell ref="B1:F1"/>
    <mergeCell ref="G1:L1"/>
    <mergeCell ref="N1:Q1"/>
    <mergeCell ref="S1:V1"/>
    <mergeCell ref="G28:G31"/>
    <mergeCell ref="G32:G35"/>
    <mergeCell ref="G36:G39"/>
    <mergeCell ref="G40:G43"/>
    <mergeCell ref="G20:G23"/>
    <mergeCell ref="G24:G27"/>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664" t="s">
        <v>2823</v>
      </c>
      <c r="D1" s="3665"/>
      <c r="E1" s="3665"/>
      <c r="F1" s="3665"/>
      <c r="G1" s="3665"/>
      <c r="H1" s="3665"/>
      <c r="I1" s="3665"/>
      <c r="J1" s="3665"/>
      <c r="K1" s="3665"/>
      <c r="L1" s="3665"/>
      <c r="M1" s="3665"/>
      <c r="N1" s="3665"/>
      <c r="O1" s="3665"/>
      <c r="P1" s="3665"/>
      <c r="Q1" s="3665"/>
      <c r="R1" s="3665"/>
      <c r="S1" s="3666"/>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6"/>
      <c r="E20" s="1525"/>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661" t="s">
        <v>33</v>
      </c>
      <c r="D22" s="3662"/>
      <c r="E22" s="3662"/>
      <c r="F22" s="3662"/>
      <c r="G22" s="3662"/>
      <c r="H22" s="3662"/>
      <c r="I22" s="3662"/>
      <c r="J22" s="3662"/>
      <c r="K22" s="3662"/>
      <c r="L22" s="3662"/>
      <c r="M22" s="3662"/>
      <c r="N22" s="3662"/>
      <c r="O22" s="3662"/>
      <c r="P22" s="3662"/>
      <c r="Q22" s="3663"/>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28801</v>
      </c>
      <c r="C2" s="2" t="s">
        <v>133</v>
      </c>
      <c r="D2" s="205"/>
      <c r="E2" s="205"/>
      <c r="F2" s="205"/>
      <c r="G2" s="205"/>
    </row>
    <row r="3" spans="1:7" s="206" customFormat="1" ht="18" customHeight="1" thickBot="1">
      <c r="A3" s="209" t="s">
        <v>85</v>
      </c>
      <c r="B3" s="210">
        <f ca="1">ROUND(B2*10000/'数据-汇总表'!E3,0)</f>
        <v>770575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v>
      </c>
      <c r="D10" s="954">
        <f>'数据-汇总表'!E6</f>
        <v>373.76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v>
      </c>
      <c r="D19" s="958">
        <f>'数据-汇总表'!E3</f>
        <v>373.76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3365</v>
      </c>
      <c r="D27" s="241">
        <f>C29</f>
        <v>3.2000000000000002E-3</v>
      </c>
      <c r="E27" s="242" t="s">
        <v>126</v>
      </c>
      <c r="F27" s="252">
        <f>'数据-取费表'!Q16</f>
        <v>0.16</v>
      </c>
      <c r="G27" s="253" t="s">
        <v>1037</v>
      </c>
    </row>
    <row r="28" spans="1:7" s="220" customFormat="1" ht="13.5" customHeight="1">
      <c r="A28" s="888" t="s">
        <v>794</v>
      </c>
      <c r="B28" s="254" t="s">
        <v>1030</v>
      </c>
      <c r="C28" s="255">
        <f>ROUND((C5+C19+C20)*F27*'数据-取费表'!B21/'数据-取费表'!B20,0)</f>
        <v>3365</v>
      </c>
      <c r="D28" s="241"/>
      <c r="E28" s="242"/>
      <c r="F28" s="252"/>
      <c r="G28" s="253"/>
    </row>
    <row r="29" spans="1:7" s="220" customFormat="1" ht="13.5" customHeight="1">
      <c r="A29" s="888" t="s">
        <v>792</v>
      </c>
      <c r="B29" s="254" t="s">
        <v>1031</v>
      </c>
      <c r="C29" s="244">
        <f>ROUND(C21*F27*'数据-取费表'!B21/'数据-取费表'!B20,4)</f>
        <v>3.2000000000000002E-3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28640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v>
      </c>
      <c r="D37" s="223">
        <f>'数据-汇总表'!E3</f>
        <v>373.76</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612" t="s">
        <v>121</v>
      </c>
    </row>
    <row r="43" spans="1:7" ht="13.5" customHeight="1">
      <c r="A43" s="888" t="s">
        <v>792</v>
      </c>
      <c r="B43" s="221" t="s">
        <v>1032</v>
      </c>
      <c r="C43" s="244">
        <f ca="1">ROUND(IF('数据-取费表'!B22&lt;=1,C39*F22*'数据-取费表'!B21/2,C39*(POWER((1+F22),'数据-取费表'!B21/2)-1)),0)</f>
        <v>0</v>
      </c>
      <c r="D43" s="244"/>
      <c r="E43" s="244"/>
      <c r="F43" s="245"/>
      <c r="G43" s="3613"/>
    </row>
    <row r="44" spans="1:7" ht="13.5" customHeight="1">
      <c r="A44" s="888" t="s">
        <v>793</v>
      </c>
      <c r="B44" s="221" t="s">
        <v>1034</v>
      </c>
      <c r="C44" s="244">
        <f ca="1">ROUND(IF('数据-取费表'!B22&lt;=1,C40*F22*'数据-取费表'!B21/2,C40*(POWER((1+F22),'数据-取费表'!B21/2)-1)),4)</f>
        <v>1E-3</v>
      </c>
      <c r="D44" s="244"/>
      <c r="E44" s="244"/>
      <c r="F44" s="245"/>
      <c r="G44" s="3614"/>
    </row>
    <row r="45" spans="1:7" s="220" customFormat="1" ht="13.5" customHeight="1">
      <c r="A45" s="885" t="s">
        <v>786</v>
      </c>
      <c r="B45" s="250" t="s">
        <v>112</v>
      </c>
      <c r="C45" s="251">
        <f>C46</f>
        <v>24</v>
      </c>
      <c r="D45" s="241">
        <f>C47</f>
        <v>3.2000000000000002E-3</v>
      </c>
      <c r="E45" s="242" t="s">
        <v>129</v>
      </c>
      <c r="F45" s="252"/>
      <c r="G45" s="253" t="s">
        <v>1040</v>
      </c>
    </row>
    <row r="46" spans="1:7" s="220" customFormat="1" ht="13.5" customHeight="1">
      <c r="A46" s="888" t="s">
        <v>794</v>
      </c>
      <c r="B46" s="254" t="s">
        <v>1033</v>
      </c>
      <c r="C46" s="255">
        <f>ROUND((C33+C39)*F27,0)</f>
        <v>24</v>
      </c>
      <c r="D46" s="269"/>
      <c r="E46" s="242"/>
      <c r="F46" s="252"/>
      <c r="G46" s="253"/>
    </row>
    <row r="47" spans="1:7" s="220" customFormat="1" ht="13.5" customHeight="1">
      <c r="A47" s="888" t="s">
        <v>792</v>
      </c>
      <c r="B47" s="254" t="s">
        <v>1035</v>
      </c>
      <c r="C47" s="244">
        <f>ROUND(C40*F27,4)</f>
        <v>3.2000000000000002E-3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198</v>
      </c>
      <c r="D49" s="238"/>
      <c r="E49" s="238"/>
      <c r="F49" s="270"/>
      <c r="G49" s="240" t="s">
        <v>1041</v>
      </c>
    </row>
    <row r="50" spans="1:7" s="264" customFormat="1" ht="24">
      <c r="A50" s="885" t="s">
        <v>789</v>
      </c>
      <c r="B50" s="216" t="s">
        <v>124</v>
      </c>
      <c r="C50" s="238"/>
      <c r="D50" s="238"/>
      <c r="E50" s="238"/>
      <c r="F50" s="270">
        <f>IF('数据-取费表'!B24=0,'数据-取费表'!N16,1)</f>
        <v>0.81399999999999995</v>
      </c>
      <c r="G50" s="253" t="s">
        <v>125</v>
      </c>
    </row>
    <row r="51" spans="1:7" ht="16.5" customHeight="1">
      <c r="A51" s="885" t="s">
        <v>790</v>
      </c>
      <c r="B51" s="216" t="s">
        <v>132</v>
      </c>
      <c r="C51" s="238">
        <f ca="1">ROUND(C49*F50,0)</f>
        <v>161</v>
      </c>
      <c r="D51" s="238"/>
      <c r="E51" s="238"/>
      <c r="F51" s="270"/>
      <c r="G51" s="240" t="s">
        <v>64</v>
      </c>
    </row>
    <row r="52" spans="1:7" s="214" customFormat="1" ht="16.5" thickBot="1">
      <c r="A52" s="271" t="s">
        <v>65</v>
      </c>
      <c r="B52" s="272"/>
      <c r="C52" s="273">
        <f ca="1">C31+C51</f>
        <v>28801</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67" t="s">
        <v>156</v>
      </c>
      <c r="B1" s="3667"/>
      <c r="C1" s="3667"/>
      <c r="D1" s="3667"/>
      <c r="E1" s="3667"/>
      <c r="F1" s="366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68" t="s">
        <v>169</v>
      </c>
      <c r="B2" s="3668"/>
      <c r="C2" s="3668"/>
      <c r="D2" s="3668"/>
      <c r="E2" s="3668"/>
      <c r="F2" s="366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6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7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73" t="str">
        <f>IF(项目基本情况!B9="房地产市场价值","估价结果一览表","结果表-2")</f>
        <v>估价结果一览表</v>
      </c>
      <c r="B1" s="3273"/>
      <c r="C1" s="3273"/>
      <c r="D1" s="3273"/>
      <c r="E1" s="3273"/>
      <c r="F1" s="3273"/>
      <c r="G1" s="3273"/>
      <c r="H1" s="3273"/>
      <c r="I1" s="3273"/>
    </row>
    <row r="2" spans="1:9" ht="30" customHeight="1" thickTop="1">
      <c r="A2" s="3274" t="s">
        <v>1605</v>
      </c>
      <c r="B2" s="3274" t="s">
        <v>1606</v>
      </c>
      <c r="C2" s="3274" t="s">
        <v>1607</v>
      </c>
      <c r="D2" s="3274" t="str">
        <f>结果表!D116</f>
        <v>出让国有建设用地使用权价值</v>
      </c>
      <c r="E2" s="3274"/>
      <c r="F2" s="3274" t="str">
        <f>结果表!F116</f>
        <v>在建建筑物价值</v>
      </c>
      <c r="G2" s="3274"/>
      <c r="H2" s="3274" t="str">
        <f>IF(项目基本情况!B9="房地产市场价值","房地产市场价值","房地产价值")</f>
        <v>房地产市场价值</v>
      </c>
      <c r="I2" s="3274"/>
    </row>
    <row r="3" spans="1:9" ht="15">
      <c r="A3" s="3275"/>
      <c r="B3" s="3275"/>
      <c r="C3" s="3275"/>
      <c r="D3" s="963" t="s">
        <v>1602</v>
      </c>
      <c r="E3" s="963" t="s">
        <v>1608</v>
      </c>
      <c r="F3" s="963" t="s">
        <v>1602</v>
      </c>
      <c r="G3" s="963" t="s">
        <v>1603</v>
      </c>
      <c r="H3" s="963" t="s">
        <v>1602</v>
      </c>
      <c r="I3" s="963" t="s">
        <v>1603</v>
      </c>
    </row>
    <row r="4" spans="1:9" ht="15">
      <c r="A4" s="1690" t="str">
        <f>项目基本情况!S2</f>
        <v>北京市房地产</v>
      </c>
      <c r="B4" s="963">
        <f>项目基本情况!C17</f>
        <v>373.76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75" t="s">
        <v>1604</v>
      </c>
      <c r="B5" s="3275"/>
      <c r="C5" s="3275"/>
      <c r="D5" s="3276" t="e">
        <f ca="1">结果表!D119</f>
        <v>#REF!</v>
      </c>
      <c r="E5" s="3276"/>
      <c r="F5" s="3276" t="e">
        <f ca="1">结果表!F119</f>
        <v>#REF!</v>
      </c>
      <c r="G5" s="3276"/>
      <c r="H5" s="3276" t="e">
        <f ca="1">结果表!H119</f>
        <v>#REF!</v>
      </c>
      <c r="I5" s="3276"/>
    </row>
    <row r="6" spans="1:9" ht="15.75">
      <c r="A6" s="3277" t="str">
        <f>结果表!A120</f>
        <v/>
      </c>
      <c r="B6" s="3277"/>
      <c r="C6" s="3277"/>
      <c r="D6" s="3277">
        <f>结果表!D120</f>
        <v>0</v>
      </c>
      <c r="E6" s="3277"/>
      <c r="F6" s="3277"/>
      <c r="G6" s="3277"/>
      <c r="H6" s="3277"/>
      <c r="I6" s="3277"/>
    </row>
    <row r="7" spans="1:9" ht="15">
      <c r="A7" s="3275" t="s">
        <v>1604</v>
      </c>
      <c r="B7" s="3275"/>
      <c r="C7" s="3275"/>
      <c r="D7" s="3278" t="str">
        <f>结果表!D121</f>
        <v>零元整</v>
      </c>
      <c r="E7" s="3279"/>
      <c r="F7" s="3279"/>
      <c r="G7" s="3279"/>
      <c r="H7" s="3279"/>
      <c r="I7" s="3280"/>
    </row>
    <row r="8" spans="1:9" ht="15.75">
      <c r="A8" s="3277" t="str">
        <f>结果表!A122</f>
        <v/>
      </c>
      <c r="B8" s="3277"/>
      <c r="C8" s="3277"/>
      <c r="D8" s="3277" t="e">
        <f ca="1">结果表!D122</f>
        <v>#REF!</v>
      </c>
      <c r="E8" s="3277"/>
      <c r="F8" s="3277"/>
      <c r="G8" s="3277"/>
      <c r="H8" s="3277"/>
      <c r="I8" s="3277"/>
    </row>
    <row r="9" spans="1:9" ht="15">
      <c r="A9" s="3275" t="s">
        <v>1604</v>
      </c>
      <c r="B9" s="3275"/>
      <c r="C9" s="3275"/>
      <c r="D9" s="3276" t="e">
        <f ca="1">结果表!D123</f>
        <v>#REF!</v>
      </c>
      <c r="E9" s="3276"/>
      <c r="F9" s="3276"/>
      <c r="G9" s="3276"/>
      <c r="H9" s="3276"/>
      <c r="I9" s="3276"/>
    </row>
    <row r="10" spans="1:9" ht="15.75">
      <c r="A10" s="3277" t="str">
        <f>结果表!A124</f>
        <v/>
      </c>
      <c r="B10" s="3277"/>
      <c r="C10" s="3277"/>
      <c r="D10" s="3277" t="str">
        <f>结果表!D124</f>
        <v>——</v>
      </c>
      <c r="E10" s="3277"/>
      <c r="F10" s="3277"/>
      <c r="G10" s="3277"/>
      <c r="H10" s="3277"/>
      <c r="I10" s="3277"/>
    </row>
    <row r="11" spans="1:9" ht="15">
      <c r="A11" s="3275" t="s">
        <v>1604</v>
      </c>
      <c r="B11" s="3275"/>
      <c r="C11" s="3275"/>
      <c r="D11" s="3276" t="e">
        <f>结果表!D125</f>
        <v>#VALUE!</v>
      </c>
      <c r="E11" s="3276"/>
      <c r="F11" s="3276"/>
      <c r="G11" s="3276"/>
      <c r="H11" s="3276"/>
      <c r="I11" s="3276"/>
    </row>
    <row r="12" spans="1:9" ht="15.75">
      <c r="A12" s="3277" t="str">
        <f>结果表!A126</f>
        <v/>
      </c>
      <c r="B12" s="3277"/>
      <c r="C12" s="3277"/>
      <c r="D12" s="3277" t="str">
        <f>结果表!D126</f>
        <v>——</v>
      </c>
      <c r="E12" s="3277"/>
      <c r="F12" s="3277"/>
      <c r="G12" s="3277"/>
      <c r="H12" s="3277"/>
      <c r="I12" s="3277"/>
    </row>
    <row r="13" spans="1:9" ht="15.75" thickBot="1">
      <c r="A13" s="3281" t="s">
        <v>1604</v>
      </c>
      <c r="B13" s="3281"/>
      <c r="C13" s="3281"/>
      <c r="D13" s="3282" t="e">
        <f>结果表!D127</f>
        <v>#VALUE!</v>
      </c>
      <c r="E13" s="3282"/>
      <c r="F13" s="3282"/>
      <c r="G13" s="3282"/>
      <c r="H13" s="3282"/>
      <c r="I13" s="3282"/>
    </row>
    <row r="14" spans="1:9" ht="15" thickTop="1">
      <c r="A14" s="3283" t="s">
        <v>1609</v>
      </c>
      <c r="B14" s="3283"/>
      <c r="C14" s="3283"/>
      <c r="D14" s="3283"/>
      <c r="E14" s="3283"/>
      <c r="F14" s="3283"/>
      <c r="G14" s="3283"/>
      <c r="H14" s="3283"/>
      <c r="I14" s="3283"/>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67" t="s">
        <v>839</v>
      </c>
      <c r="B1" s="366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44775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9">
        <v>43941</v>
      </c>
      <c r="D13" s="3040">
        <v>3.85</v>
      </c>
      <c r="E13" s="3040">
        <v>3.85</v>
      </c>
      <c r="F13" s="3040">
        <v>3.85</v>
      </c>
      <c r="G13" s="3040">
        <v>3.85</v>
      </c>
      <c r="H13" s="304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5"/>
      <c r="C14" s="3036">
        <v>43881</v>
      </c>
      <c r="D14" s="3035">
        <v>4.05</v>
      </c>
      <c r="E14" s="3035">
        <v>4.05</v>
      </c>
      <c r="F14" s="3035">
        <v>4.05</v>
      </c>
      <c r="G14" s="3035">
        <v>4.05</v>
      </c>
      <c r="H14" s="3035">
        <v>4.75</v>
      </c>
      <c r="I14" s="3035"/>
      <c r="J14" s="303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5"/>
      <c r="C15" s="3036">
        <v>43789</v>
      </c>
      <c r="D15" s="3035">
        <v>4.1500000000000004</v>
      </c>
      <c r="E15" s="3035">
        <v>4.1500000000000004</v>
      </c>
      <c r="F15" s="3035">
        <v>4.1500000000000004</v>
      </c>
      <c r="G15" s="3035">
        <v>4.1500000000000004</v>
      </c>
      <c r="H15" s="3035">
        <v>4.8</v>
      </c>
      <c r="I15" s="3035"/>
      <c r="J15" s="303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5"/>
      <c r="C16" s="3036">
        <v>43728</v>
      </c>
      <c r="D16" s="3035">
        <v>4.2</v>
      </c>
      <c r="E16" s="3035">
        <v>4.2</v>
      </c>
      <c r="F16" s="3035">
        <v>4.2</v>
      </c>
      <c r="G16" s="3035">
        <v>4.2</v>
      </c>
      <c r="H16" s="3035">
        <v>4.8499999999999996</v>
      </c>
      <c r="I16" s="3035"/>
      <c r="J16" s="303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4" t="s">
        <v>3055</v>
      </c>
      <c r="C17" s="3037">
        <v>43697</v>
      </c>
      <c r="D17" s="3038">
        <v>4.25</v>
      </c>
      <c r="E17" s="3038">
        <v>4.25</v>
      </c>
      <c r="F17" s="3038">
        <v>4.25</v>
      </c>
      <c r="G17" s="3038">
        <v>4.25</v>
      </c>
      <c r="H17" s="3038">
        <v>4.8499999999999996</v>
      </c>
      <c r="I17" s="3038"/>
      <c r="J17" s="303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6"/>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24.33</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-18</v>
      </c>
      <c r="C2" s="1571" t="s">
        <v>1480</v>
      </c>
      <c r="D2" s="1571"/>
      <c r="E2" s="1572"/>
      <c r="F2" s="1573"/>
      <c r="G2" s="2923"/>
      <c r="H2" s="2912"/>
      <c r="I2" s="2912"/>
      <c r="J2" s="2912"/>
      <c r="K2" s="2913"/>
      <c r="L2" s="2912"/>
      <c r="M2" s="2912"/>
    </row>
    <row r="3" spans="1:37" ht="18" customHeight="1" thickBot="1">
      <c r="A3" s="1574" t="s">
        <v>1481</v>
      </c>
      <c r="B3" s="1575">
        <f ca="1">IF(ISERROR(B2*10000/F43),0,ROUND(B2*10000/F43,0))</f>
        <v>-1225</v>
      </c>
      <c r="C3" s="1571" t="s">
        <v>1482</v>
      </c>
      <c r="D3" s="1571"/>
      <c r="E3" s="1572"/>
      <c r="F3" s="1573"/>
      <c r="G3" s="292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563" t="s">
        <v>1367</v>
      </c>
      <c r="C6" s="1206">
        <f ca="1">ROUND(F6*F8*F7*(1-F9)/10000,0)</f>
        <v>0</v>
      </c>
      <c r="D6" s="160" t="s">
        <v>2848</v>
      </c>
      <c r="E6" s="308" t="s">
        <v>1369</v>
      </c>
      <c r="F6" s="309">
        <f ca="1">INDIRECT("'数据-取费表'!u"&amp;$G$1)</f>
        <v>0</v>
      </c>
      <c r="G6" s="1568"/>
      <c r="H6" s="1201" t="s">
        <v>1003</v>
      </c>
      <c r="I6" s="3563" t="s">
        <v>1367</v>
      </c>
      <c r="J6" s="307">
        <f ca="1">ROUND(M6*M8*M7*(1-M9)/10000,0)</f>
        <v>0</v>
      </c>
      <c r="K6" s="160" t="s">
        <v>2847</v>
      </c>
      <c r="L6" s="308" t="s">
        <v>1369</v>
      </c>
      <c r="M6" s="309">
        <f ca="1">INDIRECT("'数据-取费表'!z"&amp;$G$1)</f>
        <v>0</v>
      </c>
    </row>
    <row r="7" spans="1:37" ht="18" customHeight="1">
      <c r="A7" s="1205"/>
      <c r="B7" s="3564"/>
      <c r="C7" s="1207"/>
      <c r="D7" s="313"/>
      <c r="E7" s="1208" t="s">
        <v>1370</v>
      </c>
      <c r="F7" s="309">
        <f ca="1">IF(INDIRECT("'数据-取费表'!ah"&amp;$G$1)="",INDIRECT("'数据-取费表'!k"&amp;$G$1),INDIRECT("'数据-取费表'!ah"&amp;$G$1))</f>
        <v>146.99</v>
      </c>
      <c r="G7" s="1568"/>
      <c r="H7" s="310"/>
      <c r="I7" s="3564"/>
      <c r="J7" s="312"/>
      <c r="K7" s="313"/>
      <c r="L7" s="308" t="s">
        <v>1370</v>
      </c>
      <c r="M7" s="309">
        <f ca="1">F7</f>
        <v>146.99</v>
      </c>
    </row>
    <row r="8" spans="1:37" ht="18" customHeight="1">
      <c r="A8" s="310"/>
      <c r="B8" s="3564"/>
      <c r="C8" s="312"/>
      <c r="D8" s="313"/>
      <c r="E8" s="308" t="s">
        <v>1371</v>
      </c>
      <c r="F8" s="309">
        <f ca="1">INDIRECT("'数据-取费表'!ai"&amp;$G$1)</f>
        <v>365</v>
      </c>
      <c r="G8" s="1568"/>
      <c r="H8" s="310"/>
      <c r="I8" s="3564"/>
      <c r="J8" s="312"/>
      <c r="K8" s="313"/>
      <c r="L8" s="308" t="s">
        <v>1371</v>
      </c>
      <c r="M8" s="309">
        <f ca="1">INDIRECT("'数据-取费表'!ai"&amp;$G$1)</f>
        <v>365</v>
      </c>
    </row>
    <row r="9" spans="1:37" ht="18" customHeight="1">
      <c r="A9" s="310"/>
      <c r="B9" s="3565"/>
      <c r="C9" s="312"/>
      <c r="D9" s="313"/>
      <c r="E9" s="308" t="s">
        <v>1372</v>
      </c>
      <c r="F9" s="318">
        <f ca="1">INDIRECT("'数据-取费表'!w"&amp;$G$1)</f>
        <v>0.1</v>
      </c>
      <c r="G9" s="1568"/>
      <c r="H9" s="310"/>
      <c r="I9" s="3565"/>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2856</v>
      </c>
      <c r="E10" s="319" t="s">
        <v>1374</v>
      </c>
      <c r="F10" s="1276" t="s">
        <v>3208</v>
      </c>
      <c r="G10" s="1568"/>
      <c r="H10" s="1201" t="s">
        <v>1007</v>
      </c>
      <c r="I10" s="1549" t="s">
        <v>1373</v>
      </c>
      <c r="J10" s="307">
        <f ca="1">ROUND(IF(M10="押一",J6/12*M11,IF(M10="押二",J6/12*2*M11,IF(M10="押三",J6/12*3*M11,J11*M11))),0)</f>
        <v>0</v>
      </c>
      <c r="K10" s="1550" t="s">
        <v>2855</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63</v>
      </c>
      <c r="D13" s="1241" t="s">
        <v>1379</v>
      </c>
      <c r="E13" s="1241" t="s">
        <v>1380</v>
      </c>
      <c r="F13" s="1242">
        <f ca="1">INDIRECT("'数据-取费表'!y"&amp;$G$1)</f>
        <v>0.8</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51</v>
      </c>
      <c r="D14" s="1529" t="s">
        <v>1382</v>
      </c>
      <c r="E14" s="1526"/>
      <c r="F14" s="325"/>
      <c r="G14" s="1568"/>
      <c r="H14" s="1113" t="s">
        <v>1003</v>
      </c>
      <c r="I14" s="308" t="s">
        <v>1383</v>
      </c>
      <c r="J14" s="24">
        <f ca="1">C29</f>
        <v>79</v>
      </c>
      <c r="K14" s="15"/>
      <c r="L14" s="916"/>
      <c r="M14" s="917"/>
    </row>
    <row r="15" spans="1:37" s="1581" customFormat="1" ht="18" customHeight="1" thickBot="1">
      <c r="A15" s="1113" t="s">
        <v>1004</v>
      </c>
      <c r="B15" s="308" t="s">
        <v>1384</v>
      </c>
      <c r="C15" s="24">
        <f ca="1">ROUND(C14*F15,0)</f>
        <v>2</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2</v>
      </c>
      <c r="K16" s="1247" t="s">
        <v>1389</v>
      </c>
      <c r="L16" s="1248"/>
      <c r="M16" s="1204"/>
    </row>
    <row r="17" spans="1:37" s="1581" customFormat="1" ht="18" customHeight="1">
      <c r="A17" s="1113" t="s">
        <v>1354</v>
      </c>
      <c r="B17" s="308" t="s">
        <v>1390</v>
      </c>
      <c r="C17" s="24">
        <f ca="1">ROUND(F17*(F43+INDIRECT("'数据-取费表'!S"&amp;$G$1))/10000,0)</f>
        <v>3</v>
      </c>
      <c r="D17" s="308" t="s">
        <v>1391</v>
      </c>
      <c r="E17" s="308" t="s">
        <v>1392</v>
      </c>
      <c r="F17" s="26">
        <f>'数据-取费表'!B35</f>
        <v>200</v>
      </c>
      <c r="G17" s="1580"/>
      <c r="H17" s="1113" t="s">
        <v>1003</v>
      </c>
      <c r="I17" s="308" t="s">
        <v>1393</v>
      </c>
      <c r="J17" s="2524">
        <f ca="1">ROUND(IF(AND(项目基本情况!B11="自然人",项目基本情况!B10="北京市"),J6*M17/(1+'数据-取费表'!C42),J18+J19+J20),0)</f>
        <v>1</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1</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57</v>
      </c>
      <c r="D19" s="136" t="s">
        <v>1400</v>
      </c>
      <c r="E19" s="1544"/>
      <c r="F19" s="26"/>
      <c r="G19" s="1568"/>
      <c r="H19" s="1113" t="s">
        <v>1004</v>
      </c>
      <c r="I19" s="308" t="s">
        <v>1401</v>
      </c>
      <c r="J19" s="24">
        <f ca="1">IF(K19="按租金收入计税",ROUND(J6*M19/(1+'数据-取费表'!C42),2),ROUND(C29*M19*0.7,2))</f>
        <v>0.66</v>
      </c>
      <c r="K19" s="1554" t="s">
        <v>1402</v>
      </c>
      <c r="L19" s="308" t="s">
        <v>1386</v>
      </c>
      <c r="M19" s="328">
        <f>IF(K19="按租金收入计税",'数据-取费表'!B51,'数据-取费表'!B50)</f>
        <v>1.2E-2</v>
      </c>
    </row>
    <row r="20" spans="1:37" s="1581" customFormat="1" ht="18" customHeight="1">
      <c r="A20" s="1113" t="s">
        <v>1007</v>
      </c>
      <c r="B20" s="308" t="s">
        <v>1403</v>
      </c>
      <c r="C20" s="24">
        <f ca="1">ROUND(C19*F20,0)</f>
        <v>1</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0.8</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3</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-2</v>
      </c>
      <c r="K25" s="1255" t="s">
        <v>1428</v>
      </c>
      <c r="L25" s="1256"/>
      <c r="M25" s="1257"/>
    </row>
    <row r="26" spans="1:37">
      <c r="A26" s="1113" t="s">
        <v>1002</v>
      </c>
      <c r="B26" s="308" t="s">
        <v>1429</v>
      </c>
      <c r="C26" s="24">
        <f ca="1">ROUND((C19+C20)*F26,0)</f>
        <v>12</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79</v>
      </c>
      <c r="D29" s="1252"/>
      <c r="E29" s="1250"/>
      <c r="F29" s="1253"/>
      <c r="G29" s="1580"/>
      <c r="H29" s="340" t="s">
        <v>1001</v>
      </c>
      <c r="I29" s="341" t="s">
        <v>1443</v>
      </c>
      <c r="J29" s="342">
        <f ca="1">ROUND(J26/(1+F40)^F41,0)</f>
        <v>0</v>
      </c>
      <c r="K29" s="343" t="s">
        <v>1444</v>
      </c>
      <c r="L29" s="344"/>
      <c r="M29" s="345">
        <f ca="1">INDIRECT("'数据-取费表'!k"&amp;$G$1)</f>
        <v>146.99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3052</v>
      </c>
      <c r="I31" s="1582"/>
      <c r="J31" s="1583"/>
      <c r="K31" s="2690"/>
      <c r="L31" s="2915"/>
      <c r="M31" s="291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3211</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IF(项目基本情况!B11="自然人","——",ROUND(F34*F35/10000,2))</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ROUND(C29*F36,1)</f>
        <v>0.8</v>
      </c>
      <c r="D36" s="1528" t="s">
        <v>1446</v>
      </c>
      <c r="E36" s="308" t="s">
        <v>1386</v>
      </c>
      <c r="F36" s="334">
        <f ca="1">INDIRECT("'数据-取费表'!Ak"&amp;$G$1)</f>
        <v>0.01</v>
      </c>
      <c r="G36" s="1568"/>
      <c r="H36" s="2917"/>
      <c r="I36" s="1582"/>
      <c r="J36" s="1583"/>
      <c r="K36" s="2758"/>
      <c r="L36" s="2917"/>
      <c r="M36" s="2917"/>
    </row>
    <row r="37" spans="1:18" ht="18" customHeight="1">
      <c r="A37" s="1113" t="s">
        <v>1043</v>
      </c>
      <c r="B37" s="308" t="s">
        <v>1417</v>
      </c>
      <c r="C37" s="24">
        <f ca="1">ROUND(C13*F37,1)</f>
        <v>0.1</v>
      </c>
      <c r="D37" s="1528" t="s">
        <v>1418</v>
      </c>
      <c r="E37" s="308" t="s">
        <v>1419</v>
      </c>
      <c r="F37" s="336">
        <f ca="1">INDIRECT("'数据-取费表'!Al"&amp;$G$1)</f>
        <v>1E-3</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0.01</v>
      </c>
      <c r="G38" s="1568"/>
      <c r="H38" s="2917"/>
      <c r="I38" s="1582"/>
      <c r="J38" s="1583"/>
      <c r="K38" s="2921"/>
      <c r="L38" s="2917"/>
      <c r="M38" s="2917"/>
    </row>
    <row r="39" spans="1:18" ht="24.6" customHeight="1" thickTop="1">
      <c r="A39" s="1239" t="s">
        <v>999</v>
      </c>
      <c r="B39" s="1254" t="s">
        <v>1447</v>
      </c>
      <c r="C39" s="316">
        <f ca="1">C5-C30</f>
        <v>-1</v>
      </c>
      <c r="D39" s="1255" t="s">
        <v>1448</v>
      </c>
      <c r="E39" s="1256"/>
      <c r="F39" s="1257"/>
      <c r="G39" s="1568"/>
      <c r="H39" s="2917"/>
      <c r="I39" s="1582"/>
      <c r="J39" s="1583"/>
      <c r="K39" s="2921"/>
      <c r="L39" s="2917"/>
      <c r="M39" s="2917"/>
    </row>
    <row r="40" spans="1:18" ht="18" customHeight="1">
      <c r="A40" s="305" t="s">
        <v>1000</v>
      </c>
      <c r="B40" s="306" t="s">
        <v>1449</v>
      </c>
      <c r="C40" s="307">
        <f ca="1">ROUND(C39*(1-((1+F42)/(1+F40))^F41)/(F40-F42),0)</f>
        <v>-18</v>
      </c>
      <c r="D40" s="330" t="s">
        <v>1433</v>
      </c>
      <c r="E40" s="308" t="s">
        <v>1434</v>
      </c>
      <c r="F40" s="318">
        <f ca="1">INDIRECT("'数据-取费表'!I"&amp;$G$1)</f>
        <v>5.5E-2</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24.33</v>
      </c>
      <c r="G41" s="1568"/>
      <c r="H41" s="1353"/>
      <c r="I41" s="1582"/>
      <c r="J41" s="1583"/>
      <c r="K41" s="2758"/>
      <c r="L41" s="1353"/>
      <c r="M41" s="1353"/>
    </row>
    <row r="42" spans="1:18" ht="18" customHeight="1">
      <c r="A42" s="314"/>
      <c r="B42" s="315"/>
      <c r="C42" s="316"/>
      <c r="D42" s="333"/>
      <c r="E42" s="308" t="s">
        <v>1441</v>
      </c>
      <c r="F42" s="318">
        <f ca="1">INDIRECT("'数据-取费表'!v"&amp;$G$1)</f>
        <v>0.03</v>
      </c>
      <c r="G42" s="1568"/>
      <c r="H42" s="1353"/>
      <c r="I42" s="1582"/>
      <c r="J42" s="1583"/>
      <c r="K42" s="2758"/>
      <c r="L42" s="1353"/>
      <c r="M42" s="1353"/>
    </row>
    <row r="43" spans="1:18" ht="18" customHeight="1" thickBot="1">
      <c r="A43" s="340" t="s">
        <v>1001</v>
      </c>
      <c r="B43" s="341" t="s">
        <v>1451</v>
      </c>
      <c r="C43" s="342">
        <f ca="1">ROUND(C40*10000/F43,0)</f>
        <v>-1225</v>
      </c>
      <c r="D43" s="343" t="s">
        <v>1452</v>
      </c>
      <c r="E43" s="344" t="s">
        <v>1453</v>
      </c>
      <c r="F43" s="345">
        <f ca="1">INDIRECT("'数据-取费表'!k"&amp;$G$1)</f>
        <v>146.99</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1483</v>
      </c>
      <c r="P45" s="1645"/>
      <c r="Q45" s="1645"/>
      <c r="R45" s="1645"/>
    </row>
    <row r="46" spans="1:18" s="1568" customFormat="1" ht="13.5" thickBot="1">
      <c r="A46" s="1588" t="s">
        <v>1484</v>
      </c>
      <c r="C46" s="1589">
        <f ca="1">C68-C40</f>
        <v>-88</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3209</v>
      </c>
      <c r="K47" s="1600" t="s">
        <v>1491</v>
      </c>
      <c r="L47" s="1601">
        <f ca="1">INDIRECT("'数据-取费表'!d"&amp;$G$1)</f>
        <v>40</v>
      </c>
      <c r="M47" s="1564" t="str">
        <f>IF(ISNUMBER(FIND("住宅",C1)),"住宅","非住宅")</f>
        <v>非住宅</v>
      </c>
      <c r="O47" s="1602" t="s">
        <v>1008</v>
      </c>
      <c r="P47" s="1603" t="s">
        <v>1492</v>
      </c>
      <c r="Q47" s="1604">
        <f ca="1">C40+J29</f>
        <v>-18</v>
      </c>
      <c r="R47" s="1604" t="s">
        <v>1493</v>
      </c>
    </row>
    <row r="48" spans="1:18" s="1568" customFormat="1" ht="28.5" thickBot="1">
      <c r="A48" s="1270" t="s">
        <v>1103</v>
      </c>
      <c r="B48" s="306" t="s">
        <v>1365</v>
      </c>
      <c r="C48" s="1543">
        <f ca="1">C49+C53+C55</f>
        <v>0</v>
      </c>
      <c r="D48" s="1272"/>
      <c r="E48" s="1273"/>
      <c r="F48" s="1093"/>
      <c r="G48" s="731"/>
      <c r="H48" s="732"/>
      <c r="I48" s="1605" t="s">
        <v>1494</v>
      </c>
      <c r="J48" s="1606" t="s">
        <v>3210</v>
      </c>
      <c r="K48" s="1607" t="s">
        <v>1495</v>
      </c>
      <c r="L48" s="1608">
        <f ca="1">INDIRECT("'数据-取费表'!f"&amp;$G$1)</f>
        <v>24.33</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2849</v>
      </c>
      <c r="E49" s="1556" t="s">
        <v>1455</v>
      </c>
      <c r="F49" s="1191"/>
      <c r="G49" s="1609"/>
      <c r="H49" s="732"/>
      <c r="I49" s="1605" t="s">
        <v>1498</v>
      </c>
      <c r="J49" s="1610">
        <v>2011</v>
      </c>
      <c r="K49" s="1607" t="s">
        <v>1499</v>
      </c>
      <c r="L49" s="1611"/>
      <c r="O49" s="1612" t="s">
        <v>1010</v>
      </c>
      <c r="P49" s="1603" t="s">
        <v>1500</v>
      </c>
      <c r="Q49" s="1604">
        <f ca="1">C29</f>
        <v>79</v>
      </c>
      <c r="R49" s="1604" t="s">
        <v>1493</v>
      </c>
    </row>
    <row r="50" spans="1:18" s="1568" customFormat="1" ht="13.5" thickBot="1">
      <c r="A50" s="1107"/>
      <c r="B50" s="1110"/>
      <c r="C50" s="1278"/>
      <c r="D50" s="1084"/>
      <c r="E50" s="1187" t="s">
        <v>1370</v>
      </c>
      <c r="F50" s="1188">
        <f ca="1">F7</f>
        <v>146.99</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49</v>
      </c>
      <c r="K51" s="1618" t="s">
        <v>1505</v>
      </c>
      <c r="L51" s="1619">
        <f ca="1">ROUND(-PV(INDIRECT("'数据-取费表'!h"&amp;$G$1),J51,(C39-C13*C76),0),0)</f>
        <v>-87</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24.33</v>
      </c>
      <c r="R52" s="1604" t="s">
        <v>1510</v>
      </c>
    </row>
    <row r="53" spans="1:18" s="1568" customFormat="1" ht="24.75" thickBot="1">
      <c r="A53" s="1314" t="s">
        <v>1105</v>
      </c>
      <c r="B53" s="1557" t="s">
        <v>1373</v>
      </c>
      <c r="C53" s="322">
        <f ca="1">ROUND(IF(F53="押一",C49/12*F11,IF(F53="押二",C49/12*2*F11,IF(F53="押三",C49/12*3*F11,C54*F11))),0)</f>
        <v>0</v>
      </c>
      <c r="D53" s="1550" t="s">
        <v>2855</v>
      </c>
      <c r="E53" s="319" t="s">
        <v>1374</v>
      </c>
      <c r="F53" s="1276"/>
      <c r="I53" s="1623" t="s">
        <v>1511</v>
      </c>
      <c r="J53" s="2385">
        <f ca="1">IF(M47="住宅",IF(D1="——",MAX(J51,L48),MAX(J51,L48-'数据-取费表'!B24)),IF(D1="——",MIN(J51,L48),MIN(J51,L48-'数据-取费表'!B24)))</f>
        <v>24.33</v>
      </c>
      <c r="K53" s="3566" t="s">
        <v>1512</v>
      </c>
      <c r="L53" s="3567"/>
      <c r="O53" s="1602" t="s">
        <v>1014</v>
      </c>
      <c r="P53" s="1603" t="s">
        <v>1513</v>
      </c>
      <c r="Q53" s="1604">
        <f ca="1">Q47+Q48</f>
        <v>-18</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63</v>
      </c>
      <c r="D56" s="1631"/>
      <c r="E56" s="1632"/>
      <c r="F56" s="1624"/>
      <c r="I56" s="1633" t="s">
        <v>1518</v>
      </c>
      <c r="J56" s="1634" t="s">
        <v>3200</v>
      </c>
      <c r="K56" s="1605" t="s">
        <v>1519</v>
      </c>
      <c r="L56" s="1608" t="str">
        <f ca="1">IF(L48&lt;J51,"——",L48-J53)</f>
        <v>——</v>
      </c>
      <c r="O56" s="1602" t="s">
        <v>1008</v>
      </c>
      <c r="P56" s="1603" t="s">
        <v>1492</v>
      </c>
      <c r="Q56" s="1604">
        <f ca="1">C40+J29</f>
        <v>-18</v>
      </c>
      <c r="R56" s="1604" t="s">
        <v>1493</v>
      </c>
    </row>
    <row r="57" spans="1:18" s="1568" customFormat="1" ht="24.75" thickBot="1">
      <c r="A57" s="1635"/>
      <c r="B57" s="1081" t="s">
        <v>1442</v>
      </c>
      <c r="C57" s="244">
        <f ca="1">C29</f>
        <v>79</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8</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6.64</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-18</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0.8</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0.1</v>
      </c>
      <c r="D65" s="1095" t="s">
        <v>1418</v>
      </c>
      <c r="E65" s="1081" t="s">
        <v>1419</v>
      </c>
      <c r="F65" s="336">
        <f t="shared" ca="1" si="0"/>
        <v>1E-3</v>
      </c>
      <c r="I65" s="1646" t="s">
        <v>1543</v>
      </c>
      <c r="J65" s="1647">
        <v>40</v>
      </c>
      <c r="K65" s="1647">
        <v>30</v>
      </c>
      <c r="L65" s="1647">
        <v>50</v>
      </c>
      <c r="M65" s="1649">
        <v>0.02</v>
      </c>
      <c r="O65" s="1602" t="s">
        <v>1008</v>
      </c>
      <c r="P65" s="1603" t="s">
        <v>1544</v>
      </c>
      <c r="Q65" s="1604">
        <f ca="1">C40+J29</f>
        <v>-18</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-8</v>
      </c>
      <c r="D67" s="1094" t="s">
        <v>1428</v>
      </c>
      <c r="E67" s="1099"/>
      <c r="F67" s="1100"/>
      <c r="O67" s="1612" t="s">
        <v>1010</v>
      </c>
      <c r="P67" s="1603" t="s">
        <v>1526</v>
      </c>
      <c r="Q67" s="1650">
        <f ca="1">L51</f>
        <v>-87</v>
      </c>
      <c r="R67" s="1604" t="s">
        <v>1546</v>
      </c>
    </row>
    <row r="68" spans="1:18" s="1568" customFormat="1" ht="16.5" thickBot="1">
      <c r="A68" s="1078" t="s">
        <v>1000</v>
      </c>
      <c r="B68" s="1079" t="s">
        <v>1449</v>
      </c>
      <c r="C68" s="307">
        <f ca="1">ROUND(C67*(1-((1+F70)/(1+F68))^F69)/(F68-F70),0)</f>
        <v>-106</v>
      </c>
      <c r="D68" s="1096" t="s">
        <v>1433</v>
      </c>
      <c r="E68" s="1081" t="s">
        <v>1434</v>
      </c>
      <c r="F68" s="318">
        <f ca="1">F40</f>
        <v>5.5E-2</v>
      </c>
      <c r="O68" s="1612" t="s">
        <v>1011</v>
      </c>
      <c r="P68" s="1651" t="s">
        <v>1547</v>
      </c>
      <c r="Q68" s="1604">
        <f ca="1">ROUND(Q69-Q70*Q71,0)</f>
        <v>-5</v>
      </c>
      <c r="R68" s="1604" t="s">
        <v>1019</v>
      </c>
    </row>
    <row r="69" spans="1:18" s="1568" customFormat="1" ht="13.5" thickBot="1">
      <c r="A69" s="1082"/>
      <c r="B69" s="1083"/>
      <c r="C69" s="312"/>
      <c r="D69" s="1101" t="s">
        <v>1437</v>
      </c>
      <c r="E69" s="1081" t="s">
        <v>1438</v>
      </c>
      <c r="F69" s="339">
        <f ca="1">F41</f>
        <v>24.33</v>
      </c>
      <c r="O69" s="1612" t="s">
        <v>1016</v>
      </c>
      <c r="P69" s="1651" t="s">
        <v>1548</v>
      </c>
      <c r="Q69" s="1604">
        <f ca="1">C39</f>
        <v>-1</v>
      </c>
      <c r="R69" s="1604" t="s">
        <v>1493</v>
      </c>
    </row>
    <row r="70" spans="1:18" s="1568" customFormat="1" ht="13.5" thickBot="1">
      <c r="A70" s="1085"/>
      <c r="B70" s="1086"/>
      <c r="C70" s="316"/>
      <c r="D70" s="1097"/>
      <c r="E70" s="1081" t="s">
        <v>1441</v>
      </c>
      <c r="F70" s="1185"/>
      <c r="O70" s="1612" t="s">
        <v>1017</v>
      </c>
      <c r="P70" s="1651" t="s">
        <v>1549</v>
      </c>
      <c r="Q70" s="1604">
        <f ca="1">C13</f>
        <v>63</v>
      </c>
      <c r="R70" s="1604" t="s">
        <v>1493</v>
      </c>
    </row>
    <row r="71" spans="1:18" s="1568" customFormat="1" ht="13.5" thickBot="1">
      <c r="A71" s="1102" t="s">
        <v>1001</v>
      </c>
      <c r="B71" s="1103" t="s">
        <v>1451</v>
      </c>
      <c r="C71" s="342">
        <f ca="1">ROUND(C68*10000/F71,0)</f>
        <v>-7211</v>
      </c>
      <c r="D71" s="1104" t="s">
        <v>1452</v>
      </c>
      <c r="E71" s="1105" t="s">
        <v>1453</v>
      </c>
      <c r="F71" s="345">
        <f ca="1">F43</f>
        <v>146.99</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4</v>
      </c>
      <c r="D75" s="1568"/>
      <c r="E75" s="1568"/>
      <c r="F75" s="1568"/>
      <c r="K75" s="1586"/>
      <c r="L75" s="1568"/>
      <c r="O75" s="1602" t="s">
        <v>1014</v>
      </c>
      <c r="P75" s="1603" t="s">
        <v>1513</v>
      </c>
      <c r="Q75" s="1604">
        <f ca="1">Q65+Q66</f>
        <v>-18</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v>
      </c>
    </row>
    <row r="80" spans="1:18">
      <c r="B80" s="346" t="s">
        <v>1475</v>
      </c>
      <c r="C80" s="280">
        <f ca="1">ROUND(C75/C39,3)</f>
        <v>-4</v>
      </c>
    </row>
    <row r="81" spans="2:3">
      <c r="B81" s="276" t="s">
        <v>1476</v>
      </c>
      <c r="C81" s="244"/>
    </row>
    <row r="82" spans="2:3">
      <c r="B82" s="279" t="s">
        <v>1477</v>
      </c>
      <c r="C82" s="281">
        <f ca="1">1-C83</f>
        <v>4.5</v>
      </c>
    </row>
    <row r="83" spans="2:3">
      <c r="B83" s="279" t="s">
        <v>1478</v>
      </c>
      <c r="C83" s="280">
        <f ca="1">ROUND(C13/C40,3)</f>
        <v>-3.5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400-000000000000}">
      <formula1>"按租金收入计税,按房产原值计税"</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J47" xr:uid="{00000000-0002-0000-3400-000003000000}">
      <formula1>"钢,钢混,砖混"</formula1>
    </dataValidation>
    <dataValidation type="list" allowBlank="1" showInputMessage="1" showErrorMessage="1" sqref="J48" xr:uid="{00000000-0002-0000-3400-000004000000}">
      <formula1>"非生产用房,生产用房,受腐蚀的生产用房"</formula1>
    </dataValidation>
    <dataValidation type="list" allowBlank="1" showInputMessage="1" showErrorMessage="1" sqref="J56" xr:uid="{00000000-0002-0000-3400-000005000000}">
      <formula1>判定</formula1>
    </dataValidation>
    <dataValidation type="list" allowBlank="1" showInputMessage="1" showErrorMessage="1" sqref="L55" xr:uid="{00000000-0002-0000-3400-000006000000}">
      <formula1>"比较法,基准地价,收益还原"</formula1>
    </dataValidation>
    <dataValidation type="list" allowBlank="1" showInputMessage="1" showErrorMessage="1" sqref="M10 F10 F53" xr:uid="{00000000-0002-0000-3400-000007000000}">
      <formula1>"押一,押二,押三,自定义"</formula1>
    </dataValidation>
    <dataValidation type="list" allowBlank="1" showInputMessage="1" showErrorMessage="1" sqref="D1" xr:uid="{00000000-0002-0000-3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M6:O57"/>
  <sheetViews>
    <sheetView topLeftCell="A106" workbookViewId="0">
      <selection activeCell="L101" sqref="L101"/>
    </sheetView>
  </sheetViews>
  <sheetFormatPr defaultRowHeight="13.5"/>
  <sheetData>
    <row r="6" spans="13:15">
      <c r="M6" s="3223" t="s">
        <v>3519</v>
      </c>
      <c r="N6">
        <v>265</v>
      </c>
      <c r="O6">
        <f>ROUND(68400/30/N6,1)</f>
        <v>8.6</v>
      </c>
    </row>
    <row r="27" spans="13:15">
      <c r="M27" s="3223" t="s">
        <v>3520</v>
      </c>
      <c r="N27">
        <v>50</v>
      </c>
      <c r="O27">
        <f>ROUND(10000/30/50,1)</f>
        <v>6.7</v>
      </c>
    </row>
    <row r="57" spans="13:15">
      <c r="M57" s="3223" t="s">
        <v>3521</v>
      </c>
      <c r="N57">
        <v>308</v>
      </c>
      <c r="O57">
        <f>ROUND(67500/30/N57,1)</f>
        <v>7.3</v>
      </c>
    </row>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K7:M64"/>
  <sheetViews>
    <sheetView workbookViewId="0">
      <selection activeCell="L22" sqref="L22"/>
    </sheetView>
  </sheetViews>
  <sheetFormatPr defaultRowHeight="13.5"/>
  <sheetData>
    <row r="7" spans="11:13">
      <c r="K7" s="3223" t="s">
        <v>3528</v>
      </c>
      <c r="L7">
        <v>96</v>
      </c>
      <c r="M7" s="3223">
        <v>50000</v>
      </c>
    </row>
    <row r="37" spans="11:13">
      <c r="K37" s="3223" t="s">
        <v>3520</v>
      </c>
      <c r="L37">
        <v>110</v>
      </c>
      <c r="M37">
        <v>50000</v>
      </c>
    </row>
    <row r="64" spans="11:13">
      <c r="K64" s="3223" t="s">
        <v>3531</v>
      </c>
      <c r="L64">
        <v>81</v>
      </c>
      <c r="M64">
        <v>51000</v>
      </c>
    </row>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84" t="s">
        <v>1626</v>
      </c>
      <c r="B1" s="3284"/>
      <c r="C1" s="3284"/>
      <c r="D1" s="3284"/>
    </row>
    <row r="2" spans="1:4" ht="18">
      <c r="A2" s="3285" t="s">
        <v>1610</v>
      </c>
      <c r="B2" s="3285"/>
      <c r="C2" s="3285"/>
      <c r="D2" s="3285"/>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85" t="s">
        <v>1616</v>
      </c>
      <c r="B6" s="3285"/>
      <c r="C6" s="3285"/>
      <c r="D6" s="3285"/>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86" t="s">
        <v>1619</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8"/>
      <c r="C12" s="3288"/>
      <c r="D12" s="3288"/>
    </row>
    <row r="13" spans="1:4" ht="30" customHeight="1">
      <c r="A13" s="3287" t="str">
        <f>IF(项目基本情况!B8="抵押","3.抵押双方在办理抵押登记手续时，应使用本公司出具的正式《房地产评估报告》，特提醒报告使用者注意。","——")</f>
        <v>——</v>
      </c>
      <c r="B13" s="3288"/>
      <c r="C13" s="3288"/>
      <c r="D13" s="3288"/>
    </row>
    <row r="14" spans="1:4" ht="15.75" customHeight="1">
      <c r="A14" s="3287" t="str">
        <f>IF(项目基本情况!B8="抵押","4.本次评估估价师所知悉的法定优先受偿款情况说明如下：","——")</f>
        <v>——</v>
      </c>
      <c r="B14" s="3288"/>
      <c r="C14" s="3288"/>
      <c r="D14" s="3288"/>
    </row>
    <row r="15" spans="1:4" ht="42" customHeight="1">
      <c r="A15" s="3287" t="str">
        <f>IF(项目基本情况!B8="抵押","（1）"&amp;CONCATENATE(项目基本情况!L20,项目基本情况!L21,项目基本情况!L22),"——")</f>
        <v>——</v>
      </c>
      <c r="B15" s="3287"/>
      <c r="C15" s="3287"/>
      <c r="D15" s="3287"/>
    </row>
    <row r="16" spans="1:4" ht="30" customHeight="1">
      <c r="A16" s="3290" t="s">
        <v>1620</v>
      </c>
      <c r="B16" s="3290"/>
      <c r="C16" s="3290"/>
      <c r="D16" s="3290"/>
    </row>
    <row r="17" spans="1:4" ht="144" customHeight="1">
      <c r="A17" s="3290" t="s">
        <v>1621</v>
      </c>
      <c r="B17" s="3290"/>
      <c r="C17" s="3290"/>
      <c r="D17" s="3290"/>
    </row>
    <row r="18" spans="1:4" ht="15.75" customHeight="1">
      <c r="A18" s="3287" t="str">
        <f>IF(项目基本情况!B8="抵押",结果表!K120,"——")</f>
        <v>——</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1"/>
      <c r="C21" s="3291"/>
      <c r="D21" s="3291"/>
    </row>
    <row r="22" spans="1:4" ht="18.75" customHeight="1">
      <c r="A22" s="3292" t="s">
        <v>1622</v>
      </c>
      <c r="B22" s="3292"/>
      <c r="C22" s="3292"/>
      <c r="D22" s="3292"/>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89">
        <v>42551</v>
      </c>
      <c r="D31" s="32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98" t="s">
        <v>1633</v>
      </c>
      <c r="B15" s="3293" t="s">
        <v>136</v>
      </c>
      <c r="C15" s="3294"/>
    </row>
    <row r="16" spans="1:7" ht="13.5">
      <c r="A16" s="3299"/>
      <c r="B16" s="3293" t="s">
        <v>69</v>
      </c>
      <c r="C16" s="3294"/>
    </row>
    <row r="17" spans="1:3" ht="13.5">
      <c r="A17" s="3299"/>
      <c r="B17" s="3296" t="s">
        <v>1634</v>
      </c>
      <c r="C17" s="1717" t="s">
        <v>1633</v>
      </c>
    </row>
    <row r="18" spans="1:3" ht="13.5">
      <c r="A18" s="3299"/>
      <c r="B18" s="3296"/>
      <c r="C18" s="1717" t="s">
        <v>1635</v>
      </c>
    </row>
    <row r="19" spans="1:3" ht="13.5">
      <c r="A19" s="3299"/>
      <c r="B19" s="3296"/>
      <c r="C19" s="1717" t="s">
        <v>1636</v>
      </c>
    </row>
    <row r="20" spans="1:3" ht="13.5">
      <c r="A20" s="3300"/>
      <c r="B20" s="3295" t="s">
        <v>1637</v>
      </c>
      <c r="C20" s="3294"/>
    </row>
    <row r="21" spans="1:3" ht="13.5">
      <c r="A21" s="1718" t="s">
        <v>1638</v>
      </c>
      <c r="B21" s="1719"/>
      <c r="C21" s="1720"/>
    </row>
    <row r="22" spans="1:3" ht="13.5">
      <c r="A22" s="3297" t="s">
        <v>1639</v>
      </c>
      <c r="B22" s="3295" t="s">
        <v>1640</v>
      </c>
      <c r="C22" s="3294"/>
    </row>
    <row r="23" spans="1:3" ht="13.5">
      <c r="A23" s="3297"/>
      <c r="B23" s="3295" t="s">
        <v>1641</v>
      </c>
      <c r="C23" s="3294"/>
    </row>
    <row r="24" spans="1:3" ht="13.5">
      <c r="A24" s="3297"/>
      <c r="B24" s="3295" t="s">
        <v>1642</v>
      </c>
      <c r="C24" s="3294"/>
    </row>
    <row r="25" spans="1:3" ht="13.5">
      <c r="A25" s="3297"/>
      <c r="B25" s="3296" t="s">
        <v>1643</v>
      </c>
      <c r="C25" s="1717" t="s">
        <v>1644</v>
      </c>
    </row>
    <row r="26" spans="1:3" ht="13.5">
      <c r="A26" s="3297"/>
      <c r="B26" s="3296"/>
      <c r="C26" s="1717" t="s">
        <v>1645</v>
      </c>
    </row>
    <row r="27" spans="1:3" ht="13.5">
      <c r="A27" s="3297"/>
      <c r="B27" s="3296"/>
      <c r="C27" s="1717" t="s">
        <v>1646</v>
      </c>
    </row>
    <row r="28" spans="1:3" ht="13.5">
      <c r="A28" s="3297"/>
      <c r="B28" s="3296"/>
      <c r="C28" s="1717" t="s">
        <v>1647</v>
      </c>
    </row>
    <row r="29" spans="1:3" ht="13.5">
      <c r="A29" s="3297"/>
      <c r="B29" s="3296"/>
      <c r="C29" s="1717" t="s">
        <v>1648</v>
      </c>
    </row>
    <row r="30" spans="1:3" ht="13.5">
      <c r="A30" s="3297"/>
      <c r="B30" s="3296"/>
      <c r="C30" s="1717" t="s">
        <v>1649</v>
      </c>
    </row>
    <row r="31" spans="1:3" ht="13.5">
      <c r="A31" s="3297"/>
      <c r="B31" s="3296"/>
      <c r="C31" s="1717" t="s">
        <v>1650</v>
      </c>
    </row>
    <row r="32" spans="1:3" ht="13.5">
      <c r="A32" s="3297"/>
      <c r="B32" s="3296"/>
      <c r="C32" s="1717" t="s">
        <v>1651</v>
      </c>
    </row>
    <row r="33" spans="1:3" ht="13.5">
      <c r="A33" s="3297"/>
      <c r="B33" s="3296"/>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2879</v>
      </c>
      <c r="B2" s="2552">
        <f ca="1">TODAY()</f>
        <v>44797</v>
      </c>
      <c r="C2" s="2553" t="s">
        <v>2880</v>
      </c>
      <c r="D2" s="2553"/>
      <c r="E2" s="2553"/>
      <c r="F2" s="2549"/>
      <c r="G2" s="2549"/>
      <c r="H2" s="2549"/>
    </row>
    <row r="3" spans="1:8" ht="24" customHeight="1">
      <c r="A3" s="2554" t="s">
        <v>2881</v>
      </c>
      <c r="B3" s="2555" t="s">
        <v>2882</v>
      </c>
      <c r="C3" s="2555" t="s">
        <v>2883</v>
      </c>
      <c r="D3" s="2556" t="s">
        <v>2884</v>
      </c>
      <c r="E3" s="2557" t="s">
        <v>2885</v>
      </c>
      <c r="F3" s="1472" t="s">
        <v>2886</v>
      </c>
      <c r="G3" s="2555" t="s">
        <v>2883</v>
      </c>
      <c r="H3" s="2556" t="s">
        <v>2887</v>
      </c>
    </row>
    <row r="4" spans="1:8" ht="24" customHeight="1">
      <c r="A4" s="1472" t="s">
        <v>2888</v>
      </c>
      <c r="B4" s="1472">
        <f ca="1">IF(C4&lt;B2,"已过期",1119970066)</f>
        <v>1119970066</v>
      </c>
      <c r="C4" s="2558">
        <v>44876</v>
      </c>
      <c r="D4" s="2559" t="str">
        <f ca="1">A4&amp;"（注册号："&amp;B4&amp;"）"</f>
        <v>梁津（注册号：1119970066）</v>
      </c>
      <c r="E4" s="2560" t="s">
        <v>2888</v>
      </c>
      <c r="F4" s="1472">
        <f ca="1">IF(G4&lt;B2,"已过期",96010014)</f>
        <v>96010014</v>
      </c>
      <c r="G4" s="2561">
        <v>47118</v>
      </c>
      <c r="H4" s="2562" t="str">
        <f ca="1">E4&amp;"（注册号："&amp;F4&amp;"）"</f>
        <v>梁津（注册号：96010014）</v>
      </c>
    </row>
    <row r="5" spans="1:8" ht="24" customHeight="1">
      <c r="A5" s="1472" t="s">
        <v>2889</v>
      </c>
      <c r="B5" s="1472">
        <f ca="1">IF(C5&lt;B2,"已过期",1119970111)</f>
        <v>1119970111</v>
      </c>
      <c r="C5" s="2558">
        <v>44876</v>
      </c>
      <c r="D5" s="2559" t="str">
        <f t="shared" ref="D5:D15" ca="1" si="0">A5&amp;"（注册号："&amp;B5&amp;"）"</f>
        <v>叶凌（注册号：1119970111）</v>
      </c>
      <c r="E5" s="2560" t="s">
        <v>2889</v>
      </c>
      <c r="F5" s="1472">
        <f ca="1">IF(G5&lt;B2,"已过期",94010078)</f>
        <v>94010078</v>
      </c>
      <c r="G5" s="2561">
        <v>46387</v>
      </c>
      <c r="H5" s="2562" t="str">
        <f t="shared" ref="H5:H16" ca="1" si="1">E5&amp;"（注册号："&amp;F5&amp;"）"</f>
        <v>叶凌（注册号：94010078）</v>
      </c>
    </row>
    <row r="6" spans="1:8" ht="24" customHeight="1">
      <c r="A6" s="1472" t="s">
        <v>2890</v>
      </c>
      <c r="B6" s="1472" t="str">
        <f ca="1">IF(C6&lt;B2,"已过期",1120050019)</f>
        <v>已过期</v>
      </c>
      <c r="C6" s="2558">
        <v>44395</v>
      </c>
      <c r="D6" s="2559" t="str">
        <f t="shared" ca="1" si="0"/>
        <v>王鹏（注册号：已过期）</v>
      </c>
      <c r="E6" s="2560" t="s">
        <v>2890</v>
      </c>
      <c r="F6" s="1472">
        <f ca="1">IF(G6&lt;B2,"已过期",2002110030)</f>
        <v>2002110030</v>
      </c>
      <c r="G6" s="2561">
        <v>46387</v>
      </c>
      <c r="H6" s="2562" t="str">
        <f t="shared" ca="1" si="1"/>
        <v>王鹏（注册号：2002110030）</v>
      </c>
    </row>
    <row r="7" spans="1:8" ht="24" customHeight="1">
      <c r="A7" s="1472" t="s">
        <v>2891</v>
      </c>
      <c r="B7" s="1472">
        <f ca="1">IF(C7&lt;B2,"已过期",1120000080)</f>
        <v>1120000080</v>
      </c>
      <c r="C7" s="2558">
        <v>44876</v>
      </c>
      <c r="D7" s="2559" t="str">
        <f t="shared" ca="1" si="0"/>
        <v>欧红伟（注册号：1120000080）</v>
      </c>
      <c r="E7" s="2560" t="s">
        <v>2891</v>
      </c>
      <c r="F7" s="1472">
        <f ca="1">IF(G7&lt;B2,"已过期",2000110082)</f>
        <v>2000110082</v>
      </c>
      <c r="G7" s="2561">
        <v>46387</v>
      </c>
      <c r="H7" s="2562" t="str">
        <f t="shared" ca="1" si="1"/>
        <v>欧红伟（注册号：2000110082）</v>
      </c>
    </row>
    <row r="8" spans="1:8" ht="24" customHeight="1">
      <c r="A8" s="1472" t="s">
        <v>2892</v>
      </c>
      <c r="B8" s="1472">
        <f ca="1">IF(C8&lt;B2,"已过期",1419970001)</f>
        <v>1419970001</v>
      </c>
      <c r="C8" s="2558">
        <v>44899</v>
      </c>
      <c r="D8" s="2559" t="str">
        <f t="shared" ca="1" si="0"/>
        <v>吴薇（注册号：1419970001）</v>
      </c>
      <c r="E8" s="2560" t="s">
        <v>2892</v>
      </c>
      <c r="F8" s="1472">
        <f ca="1">IF(G8&lt;B2,"已过期",2002110125)</f>
        <v>2002110125</v>
      </c>
      <c r="G8" s="2561">
        <v>47118</v>
      </c>
      <c r="H8" s="2562" t="str">
        <f t="shared" ca="1" si="1"/>
        <v>吴薇（注册号：2002110125）</v>
      </c>
    </row>
    <row r="9" spans="1:8" ht="24" customHeight="1">
      <c r="A9" s="1472" t="s">
        <v>2893</v>
      </c>
      <c r="B9" s="1472" t="str">
        <f ca="1">IF(C9&lt;B2,"已过期",1120060040)</f>
        <v>已过期</v>
      </c>
      <c r="C9" s="2563">
        <v>44554</v>
      </c>
      <c r="D9" s="2559" t="str">
        <f t="shared" ca="1" si="0"/>
        <v>陈颖（注册号：已过期）</v>
      </c>
      <c r="E9" s="2560" t="s">
        <v>2893</v>
      </c>
      <c r="F9" s="1472">
        <f ca="1">IF(G9&lt;B2,"已过期",2004110096)</f>
        <v>2004110096</v>
      </c>
      <c r="G9" s="2561">
        <v>47118</v>
      </c>
      <c r="H9" s="2562" t="str">
        <f t="shared" ca="1" si="1"/>
        <v>陈颖（注册号：2004110096）</v>
      </c>
    </row>
    <row r="10" spans="1:8" ht="24" customHeight="1">
      <c r="A10" s="1472" t="s">
        <v>2894</v>
      </c>
      <c r="B10" s="1472" t="str">
        <f ca="1">IF(C10&lt;B2,"已过期",1120100036)</f>
        <v>已过期</v>
      </c>
      <c r="C10" s="2563">
        <v>44675</v>
      </c>
      <c r="D10" s="2559" t="str">
        <f t="shared" ca="1" si="0"/>
        <v>崔锴（注册号：已过期）</v>
      </c>
      <c r="E10" s="2560" t="s">
        <v>2894</v>
      </c>
      <c r="F10" s="1472">
        <f ca="1">IF(G10&lt;B2,"已过期",2010110070)</f>
        <v>2010110070</v>
      </c>
      <c r="G10" s="2561">
        <v>47907</v>
      </c>
      <c r="H10" s="2562" t="str">
        <f t="shared" ca="1" si="1"/>
        <v>崔锴（注册号：2010110070）</v>
      </c>
    </row>
    <row r="11" spans="1:8" ht="24" customHeight="1">
      <c r="A11" s="1472" t="s">
        <v>2895</v>
      </c>
      <c r="B11" s="1472">
        <f ca="1">IF(C11&lt;B2,"已过期",1120070131)</f>
        <v>1120070131</v>
      </c>
      <c r="C11" s="2558">
        <v>44849</v>
      </c>
      <c r="D11" s="2559" t="str">
        <f t="shared" ca="1" si="0"/>
        <v>郑燚（注册号：1120070131）</v>
      </c>
      <c r="E11" s="2560" t="s">
        <v>2895</v>
      </c>
      <c r="F11" s="1472">
        <f ca="1">IF(G11&lt;B2,"已过期",2014110011)</f>
        <v>2014110011</v>
      </c>
      <c r="G11" s="2561">
        <v>49302</v>
      </c>
      <c r="H11" s="2562" t="str">
        <f t="shared" ca="1" si="1"/>
        <v>郑燚（注册号：2014110011）</v>
      </c>
    </row>
    <row r="12" spans="1:8" ht="24" customHeight="1">
      <c r="A12" s="1472" t="s">
        <v>2896</v>
      </c>
      <c r="B12" s="1472">
        <f ca="1">IF(C12&lt;B2,"已过期",1120040230)</f>
        <v>1120040230</v>
      </c>
      <c r="C12" s="2563">
        <v>44864</v>
      </c>
      <c r="D12" s="2559" t="str">
        <f t="shared" ca="1" si="0"/>
        <v>苏海（注册号：1120040230）</v>
      </c>
      <c r="E12" s="2560" t="s">
        <v>2896</v>
      </c>
      <c r="F12" s="1472">
        <f ca="1">IF(G12&lt;B2,"已过期",98030020)</f>
        <v>98030020</v>
      </c>
      <c r="G12" s="2561">
        <v>47118</v>
      </c>
      <c r="H12" s="2562" t="str">
        <f t="shared" ca="1" si="1"/>
        <v>苏海（注册号：98030020）</v>
      </c>
    </row>
    <row r="13" spans="1:8" ht="24" customHeight="1">
      <c r="A13" s="1472" t="s">
        <v>2897</v>
      </c>
      <c r="B13" s="1472" t="str">
        <f ca="1">IF(C13&lt;B2,"已过期",1120020033)</f>
        <v>已过期</v>
      </c>
      <c r="C13" s="2558">
        <v>44339</v>
      </c>
      <c r="D13" s="2559" t="str">
        <f t="shared" ca="1" si="0"/>
        <v>刘敬东（注册号：已过期）</v>
      </c>
      <c r="E13" s="2560" t="s">
        <v>2897</v>
      </c>
      <c r="F13" s="1472">
        <f ca="1">IF(G13&lt;B2,"已过期",2000110137)</f>
        <v>2000110137</v>
      </c>
      <c r="G13" s="2561">
        <v>46387</v>
      </c>
      <c r="H13" s="2562" t="str">
        <f t="shared" ca="1" si="1"/>
        <v>刘敬东（注册号：2000110137）</v>
      </c>
    </row>
    <row r="14" spans="1:8" ht="24" customHeight="1">
      <c r="A14" s="1472" t="s">
        <v>2898</v>
      </c>
      <c r="B14" s="1472">
        <f ca="1">IF(C14&lt;B2,"已过期",1119980106)</f>
        <v>1119980106</v>
      </c>
      <c r="C14" s="2563">
        <v>44969</v>
      </c>
      <c r="D14" s="2559" t="str">
        <f t="shared" ca="1" si="0"/>
        <v>刘俊财（注册号：1119980106）</v>
      </c>
      <c r="E14" s="2560" t="s">
        <v>2898</v>
      </c>
      <c r="F14" s="1472">
        <f ca="1">IF(G14&lt;B2,"已过期",96010063)</f>
        <v>96010063</v>
      </c>
      <c r="G14" s="2561">
        <v>47483</v>
      </c>
      <c r="H14" s="2562" t="str">
        <f t="shared" ca="1" si="1"/>
        <v>刘俊财（注册号：96010063）</v>
      </c>
    </row>
    <row r="15" spans="1:8" ht="24" customHeight="1">
      <c r="A15" s="1472"/>
      <c r="B15" s="1472"/>
      <c r="C15" s="2563"/>
      <c r="D15" s="2559" t="str">
        <f t="shared" si="0"/>
        <v>（注册号：）</v>
      </c>
      <c r="E15" s="2560" t="s">
        <v>2899</v>
      </c>
      <c r="F15" s="1472">
        <f ca="1">IF(G15&lt;B2,"已过期",2011110090)</f>
        <v>2011110090</v>
      </c>
      <c r="G15" s="2561">
        <v>48302</v>
      </c>
      <c r="H15" s="2562" t="str">
        <f t="shared" ca="1" si="1"/>
        <v>赵雯（注册号：2011110090）</v>
      </c>
    </row>
    <row r="16" spans="1:8" s="2565" customFormat="1" ht="24" customHeight="1">
      <c r="A16" s="1472"/>
      <c r="B16" s="1472"/>
      <c r="C16" s="1472"/>
      <c r="D16" s="2559" t="str">
        <f>A16&amp;"（注册号："&amp;B16&amp;"）"</f>
        <v>（注册号：）</v>
      </c>
      <c r="E16" s="2560"/>
      <c r="F16" s="1472"/>
      <c r="G16" s="1472"/>
      <c r="H16" s="2564" t="str">
        <f t="shared" si="1"/>
        <v>（注册号：）</v>
      </c>
    </row>
    <row r="17" spans="1:8" ht="24" customHeight="1">
      <c r="A17" s="3301" t="s">
        <v>2900</v>
      </c>
      <c r="B17" s="3301"/>
      <c r="C17" s="3301"/>
      <c r="D17" s="3301"/>
      <c r="E17" s="3301"/>
      <c r="F17" s="3301"/>
      <c r="G17" s="3301"/>
      <c r="H17" s="3301"/>
    </row>
    <row r="18" spans="1:8" ht="24" customHeight="1">
      <c r="A18" s="3302" t="s">
        <v>2901</v>
      </c>
      <c r="B18" s="3302"/>
      <c r="C18" s="3302"/>
      <c r="D18" s="2556"/>
      <c r="E18" s="3303" t="s">
        <v>2902</v>
      </c>
      <c r="F18" s="3302"/>
      <c r="G18" s="3302"/>
    </row>
    <row r="19" spans="1:8" s="2567" customFormat="1" ht="24" customHeight="1">
      <c r="A19" s="2566" t="s">
        <v>2903</v>
      </c>
      <c r="B19" s="2555" t="s">
        <v>2904</v>
      </c>
      <c r="C19" s="2555" t="s">
        <v>2883</v>
      </c>
      <c r="D19" s="2556"/>
      <c r="E19" s="2560" t="s">
        <v>2903</v>
      </c>
      <c r="F19" s="2555" t="s">
        <v>2904</v>
      </c>
      <c r="G19" s="2555" t="s">
        <v>2883</v>
      </c>
    </row>
    <row r="20" spans="1:8" s="2567" customFormat="1" ht="24" customHeight="1">
      <c r="A20" s="2568" t="s">
        <v>2905</v>
      </c>
      <c r="B20" s="2568" t="s">
        <v>2906</v>
      </c>
      <c r="C20" s="2561">
        <v>44820</v>
      </c>
      <c r="D20" s="2569"/>
      <c r="E20" s="2570" t="s">
        <v>2907</v>
      </c>
      <c r="F20" s="2568" t="s">
        <v>2908</v>
      </c>
      <c r="G20" s="2571">
        <v>44377</v>
      </c>
    </row>
    <row r="21" spans="1:8" s="2567" customFormat="1" ht="24" customHeight="1">
      <c r="A21" s="2568"/>
      <c r="B21" s="2568"/>
      <c r="C21" s="2572"/>
      <c r="D21" s="2573"/>
      <c r="E21" s="2570" t="s">
        <v>2909</v>
      </c>
      <c r="F21" s="2574" t="s">
        <v>2910</v>
      </c>
      <c r="G21" s="2575">
        <v>44012</v>
      </c>
    </row>
    <row r="22" spans="1:8" ht="24" customHeight="1">
      <c r="C22" s="2576"/>
      <c r="D22" s="2576"/>
      <c r="E22" s="2577"/>
      <c r="F22" s="2578"/>
      <c r="G22" s="257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0" priority="51">
      <formula>AND($C4-TODAY()&lt;30,TODAY()&lt;$C4)</formula>
    </cfRule>
  </conditionalFormatting>
  <conditionalFormatting sqref="C20:D20">
    <cfRule type="expression" dxfId="289" priority="50">
      <formula>AND($C20-TODAY()&lt;30,TODAY()&lt;$C20)</formula>
    </cfRule>
  </conditionalFormatting>
  <conditionalFormatting sqref="C20:D20 G4 C4:D5 C13:D13">
    <cfRule type="cellIs" dxfId="288" priority="52" stopIfTrue="1" operator="lessThan">
      <formula>$B$2</formula>
    </cfRule>
  </conditionalFormatting>
  <conditionalFormatting sqref="G5 G7 G9">
    <cfRule type="cellIs" dxfId="287" priority="49" stopIfTrue="1" operator="lessThan">
      <formula>$B$2</formula>
    </cfRule>
  </conditionalFormatting>
  <conditionalFormatting sqref="C6:D6 D14 D16">
    <cfRule type="expression" dxfId="286" priority="47">
      <formula>AND($C6-TODAY()&lt;30,TODAY()&lt;$C6)</formula>
    </cfRule>
  </conditionalFormatting>
  <conditionalFormatting sqref="G6 G8 G10 C6:D6 D7:D12 D14 D16">
    <cfRule type="cellIs" dxfId="285" priority="48" stopIfTrue="1" operator="lessThan">
      <formula>$B$2</formula>
    </cfRule>
  </conditionalFormatting>
  <conditionalFormatting sqref="D12">
    <cfRule type="expression" dxfId="284" priority="45">
      <formula>AND($C12-TODAY()&lt;30,TODAY()&lt;$C12)</formula>
    </cfRule>
  </conditionalFormatting>
  <conditionalFormatting sqref="D12">
    <cfRule type="cellIs" dxfId="283" priority="46" stopIfTrue="1" operator="lessThan">
      <formula>$B$2</formula>
    </cfRule>
  </conditionalFormatting>
  <conditionalFormatting sqref="C13:D13">
    <cfRule type="expression" dxfId="282" priority="43">
      <formula>AND($C13-TODAY()&lt;30,TODAY()&lt;$C13)</formula>
    </cfRule>
  </conditionalFormatting>
  <conditionalFormatting sqref="C13:D13">
    <cfRule type="cellIs" dxfId="281" priority="44" stopIfTrue="1" operator="lessThan">
      <formula>$B$2</formula>
    </cfRule>
  </conditionalFormatting>
  <conditionalFormatting sqref="D14">
    <cfRule type="expression" dxfId="280" priority="41">
      <formula>AND($C14-TODAY()&lt;30,TODAY()&lt;$C14)</formula>
    </cfRule>
  </conditionalFormatting>
  <conditionalFormatting sqref="D14">
    <cfRule type="cellIs" dxfId="279" priority="42" stopIfTrue="1" operator="lessThan">
      <formula>$B$2</formula>
    </cfRule>
  </conditionalFormatting>
  <conditionalFormatting sqref="G13">
    <cfRule type="cellIs" dxfId="278" priority="40" stopIfTrue="1" operator="lessThan">
      <formula>$B$2</formula>
    </cfRule>
  </conditionalFormatting>
  <conditionalFormatting sqref="B4:B11 F4:F11 B13 F13:F14">
    <cfRule type="cellIs" dxfId="277" priority="39" stopIfTrue="1" operator="equal">
      <formula>"已过期"</formula>
    </cfRule>
  </conditionalFormatting>
  <conditionalFormatting sqref="G20">
    <cfRule type="expression" dxfId="276" priority="37">
      <formula>AND($E20-TODAY()&lt;30,TODAY()&lt;$E20)</formula>
    </cfRule>
  </conditionalFormatting>
  <conditionalFormatting sqref="G20">
    <cfRule type="cellIs" dxfId="275" priority="38" stopIfTrue="1" operator="lessThan">
      <formula>$B$2</formula>
    </cfRule>
  </conditionalFormatting>
  <conditionalFormatting sqref="C7">
    <cfRule type="expression" dxfId="274" priority="35">
      <formula>AND($C7-TODAY()&lt;30,TODAY()&lt;$C7)</formula>
    </cfRule>
  </conditionalFormatting>
  <conditionalFormatting sqref="C7">
    <cfRule type="cellIs" dxfId="273" priority="36" stopIfTrue="1" operator="lessThan">
      <formula>$B$2</formula>
    </cfRule>
  </conditionalFormatting>
  <conditionalFormatting sqref="C8">
    <cfRule type="expression" dxfId="272" priority="33">
      <formula>AND($C8-TODAY()&lt;30,TODAY()&lt;$C8)</formula>
    </cfRule>
  </conditionalFormatting>
  <conditionalFormatting sqref="C8">
    <cfRule type="cellIs" dxfId="271" priority="34" stopIfTrue="1" operator="lessThan">
      <formula>$B$2</formula>
    </cfRule>
  </conditionalFormatting>
  <conditionalFormatting sqref="C11">
    <cfRule type="expression" dxfId="270" priority="31">
      <formula>AND($C11-TODAY()&lt;30,TODAY()&lt;$C11)</formula>
    </cfRule>
  </conditionalFormatting>
  <conditionalFormatting sqref="C11">
    <cfRule type="cellIs" dxfId="269" priority="32" stopIfTrue="1" operator="lessThan">
      <formula>$B$2</formula>
    </cfRule>
  </conditionalFormatting>
  <conditionalFormatting sqref="A16:C16">
    <cfRule type="cellIs" dxfId="268" priority="30" stopIfTrue="1" operator="equal">
      <formula>"已过期"</formula>
    </cfRule>
  </conditionalFormatting>
  <conditionalFormatting sqref="E16:G16">
    <cfRule type="cellIs" dxfId="267" priority="29" stopIfTrue="1" operator="equal">
      <formula>"已过期"</formula>
    </cfRule>
  </conditionalFormatting>
  <conditionalFormatting sqref="G11">
    <cfRule type="cellIs" dxfId="266" priority="28" stopIfTrue="1" operator="lessThan">
      <formula>$B$2</formula>
    </cfRule>
  </conditionalFormatting>
  <conditionalFormatting sqref="F12">
    <cfRule type="cellIs" dxfId="265" priority="27" stopIfTrue="1" operator="equal">
      <formula>"已过期"</formula>
    </cfRule>
  </conditionalFormatting>
  <conditionalFormatting sqref="G12">
    <cfRule type="cellIs" dxfId="264" priority="26" stopIfTrue="1" operator="lessThan">
      <formula>$B$2</formula>
    </cfRule>
  </conditionalFormatting>
  <conditionalFormatting sqref="C12">
    <cfRule type="cellIs" dxfId="263" priority="25" stopIfTrue="1" operator="lessThan">
      <formula>$B$2</formula>
    </cfRule>
  </conditionalFormatting>
  <conditionalFormatting sqref="C12">
    <cfRule type="expression" dxfId="262" priority="23">
      <formula>AND($C12-TODAY()&lt;30,TODAY()&lt;$C12)</formula>
    </cfRule>
  </conditionalFormatting>
  <conditionalFormatting sqref="C12">
    <cfRule type="cellIs" dxfId="261" priority="24" stopIfTrue="1" operator="lessThan">
      <formula>$B$2</formula>
    </cfRule>
  </conditionalFormatting>
  <conditionalFormatting sqref="B12">
    <cfRule type="cellIs" dxfId="260" priority="22" stopIfTrue="1" operator="equal">
      <formula>"已过期"</formula>
    </cfRule>
  </conditionalFormatting>
  <conditionalFormatting sqref="C9:C10">
    <cfRule type="expression" dxfId="259" priority="20">
      <formula>AND($C9-TODAY()&lt;30,TODAY()&lt;$C9)</formula>
    </cfRule>
  </conditionalFormatting>
  <conditionalFormatting sqref="C9:C10">
    <cfRule type="cellIs" dxfId="258" priority="21" stopIfTrue="1" operator="lessThan">
      <formula>$B$2</formula>
    </cfRule>
  </conditionalFormatting>
  <conditionalFormatting sqref="G21">
    <cfRule type="expression" dxfId="257" priority="18" stopIfTrue="1">
      <formula>AND(#REF!-TODAY()&lt;30,TODAY()&lt;#REF!)</formula>
    </cfRule>
  </conditionalFormatting>
  <conditionalFormatting sqref="G21">
    <cfRule type="cellIs" dxfId="256" priority="19" stopIfTrue="1" operator="lessThan">
      <formula>$B$2</formula>
    </cfRule>
  </conditionalFormatting>
  <conditionalFormatting sqref="C14">
    <cfRule type="expression" dxfId="255" priority="16">
      <formula>AND($C14-TODAY()&lt;30,TODAY()&lt;$C14)</formula>
    </cfRule>
  </conditionalFormatting>
  <conditionalFormatting sqref="C14">
    <cfRule type="cellIs" dxfId="254" priority="17" stopIfTrue="1" operator="lessThan">
      <formula>$B$2</formula>
    </cfRule>
  </conditionalFormatting>
  <conditionalFormatting sqref="C14">
    <cfRule type="expression" dxfId="253" priority="14">
      <formula>AND($C14-TODAY()&lt;30,TODAY()&lt;$C14)</formula>
    </cfRule>
  </conditionalFormatting>
  <conditionalFormatting sqref="C14">
    <cfRule type="cellIs" dxfId="252" priority="15" stopIfTrue="1" operator="lessThan">
      <formula>$B$2</formula>
    </cfRule>
  </conditionalFormatting>
  <conditionalFormatting sqref="B14">
    <cfRule type="cellIs" dxfId="251" priority="13" stopIfTrue="1" operator="equal">
      <formula>"已过期"</formula>
    </cfRule>
  </conditionalFormatting>
  <conditionalFormatting sqref="G14">
    <cfRule type="cellIs" dxfId="250" priority="12" stopIfTrue="1" operator="lessThan">
      <formula>$B$2</formula>
    </cfRule>
  </conditionalFormatting>
  <conditionalFormatting sqref="D15">
    <cfRule type="expression" dxfId="249" priority="10">
      <formula>AND($C15-TODAY()&lt;30,TODAY()&lt;$C15)</formula>
    </cfRule>
  </conditionalFormatting>
  <conditionalFormatting sqref="D15">
    <cfRule type="cellIs" dxfId="248" priority="11" stopIfTrue="1" operator="lessThan">
      <formula>$B$2</formula>
    </cfRule>
  </conditionalFormatting>
  <conditionalFormatting sqref="D15">
    <cfRule type="expression" dxfId="247" priority="8">
      <formula>AND($C15-TODAY()&lt;30,TODAY()&lt;$C15)</formula>
    </cfRule>
  </conditionalFormatting>
  <conditionalFormatting sqref="D15">
    <cfRule type="cellIs" dxfId="246" priority="9" stopIfTrue="1" operator="lessThan">
      <formula>$B$2</formula>
    </cfRule>
  </conditionalFormatting>
  <conditionalFormatting sqref="F15">
    <cfRule type="cellIs" dxfId="245" priority="7" stopIfTrue="1" operator="equal">
      <formula>"已过期"</formula>
    </cfRule>
  </conditionalFormatting>
  <conditionalFormatting sqref="C15">
    <cfRule type="expression" dxfId="244" priority="5">
      <formula>AND($C15-TODAY()&lt;30,TODAY()&lt;$C15)</formula>
    </cfRule>
  </conditionalFormatting>
  <conditionalFormatting sqref="C15">
    <cfRule type="cellIs" dxfId="243" priority="6" stopIfTrue="1" operator="lessThan">
      <formula>$B$2</formula>
    </cfRule>
  </conditionalFormatting>
  <conditionalFormatting sqref="C15">
    <cfRule type="expression" dxfId="242" priority="3">
      <formula>AND($C15-TODAY()&lt;30,TODAY()&lt;$C15)</formula>
    </cfRule>
  </conditionalFormatting>
  <conditionalFormatting sqref="C15">
    <cfRule type="cellIs" dxfId="241" priority="4" stopIfTrue="1" operator="lessThan">
      <formula>$B$2</formula>
    </cfRule>
  </conditionalFormatting>
  <conditionalFormatting sqref="B15">
    <cfRule type="cellIs" dxfId="240" priority="2" stopIfTrue="1" operator="equal">
      <formula>"已过期"</formula>
    </cfRule>
  </conditionalFormatting>
  <conditionalFormatting sqref="G15">
    <cfRule type="cellIs" dxfId="23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183</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首城国际结果表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结果一览表-库房</vt:lpstr>
      <vt:lpstr>成本法</vt:lpstr>
      <vt:lpstr>土地比较法-住宅、综合</vt:lpstr>
      <vt:lpstr>土地比较法-工业</vt:lpstr>
      <vt:lpstr>基准地价修正</vt:lpstr>
      <vt:lpstr>修正</vt:lpstr>
      <vt:lpstr>容积率修正</vt:lpstr>
      <vt:lpstr>基准地价（汇总）</vt:lpstr>
      <vt:lpstr>成本法 (元)</vt:lpstr>
      <vt:lpstr>比较法-仓储</vt:lpstr>
      <vt:lpstr>地价</vt:lpstr>
      <vt:lpstr>典型户型修正</vt:lpstr>
      <vt:lpstr>成本法（废）</vt:lpstr>
      <vt:lpstr>区片价</vt:lpstr>
      <vt:lpstr>因素修正幅度</vt:lpstr>
      <vt:lpstr>存贷款利率</vt:lpstr>
      <vt:lpstr>区片价（范围）</vt:lpstr>
      <vt:lpstr>收益法</vt:lpstr>
      <vt:lpstr>租金案例</vt:lpstr>
      <vt:lpstr>售价案例</vt:lpstr>
      <vt:lpstr>'比较法-办公'!Print_Area</vt:lpstr>
      <vt:lpstr>'比较法-仓储'!Print_Area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2022-08-01T07:07:08Z</cp:lastPrinted>
  <dcterms:created xsi:type="dcterms:W3CDTF">2015-07-13T07:17:23Z</dcterms:created>
  <dcterms:modified xsi:type="dcterms:W3CDTF">2022-08-24T02:20:42Z</dcterms:modified>
</cp:coreProperties>
</file>