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025" yWindow="150" windowWidth="14580" windowHeight="1230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r:id="rId20"/>
    <sheet name="假设开发法" sheetId="12" r:id="rId21"/>
    <sheet name="收益法" sheetId="15" r:id="rId22"/>
    <sheet name="收益法 (元)" sheetId="67" r:id="rId23"/>
    <sheet name="收益法-酒店模型" sheetId="77" r:id="rId24"/>
    <sheet name="收益法（汇总）" sheetId="70" r:id="rId25"/>
    <sheet name="比较法-住宅" sheetId="21" r:id="rId26"/>
    <sheet name="比较法-商业" sheetId="33" r:id="rId27"/>
    <sheet name="比较法-办公" sheetId="34" r:id="rId28"/>
    <sheet name="比较法-工业" sheetId="37" r:id="rId29"/>
    <sheet name="比较法-车位" sheetId="35" r:id="rId30"/>
    <sheet name="比较法-仓储" sheetId="36" r:id="rId31"/>
    <sheet name="土地比较法-住宅、综合" sheetId="39" r:id="rId32"/>
    <sheet name="土地比较法-工业" sheetId="40" r:id="rId33"/>
    <sheet name="典型户型修正" sheetId="31" r:id="rId34"/>
    <sheet name="基准地价（汇总）" sheetId="76"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r:id="rId44"/>
    <sheet name="存贷款利率" sheetId="73"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74" l="1"/>
  <c r="C5" i="74"/>
  <c r="G14" i="74"/>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D32" i="79" s="1"/>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D45" i="79" s="1"/>
  <c r="AB44" i="79"/>
  <c r="AA44" i="79"/>
  <c r="Z44" i="79"/>
  <c r="N44" i="79"/>
  <c r="U44" i="79" s="1"/>
  <c r="M44" i="79"/>
  <c r="L44" i="79"/>
  <c r="I44" i="79"/>
  <c r="AB43" i="79"/>
  <c r="AA43" i="79"/>
  <c r="Z43" i="79"/>
  <c r="N43" i="79"/>
  <c r="M43" i="79"/>
  <c r="L43" i="79"/>
  <c r="I43" i="79"/>
  <c r="AB42" i="79"/>
  <c r="AA42" i="79"/>
  <c r="Z42" i="79"/>
  <c r="N42" i="79"/>
  <c r="M42" i="79"/>
  <c r="L42" i="79"/>
  <c r="S42" i="79" s="1"/>
  <c r="I42" i="79"/>
  <c r="AB41" i="79"/>
  <c r="AA41" i="79"/>
  <c r="Z41" i="79"/>
  <c r="N41" i="79"/>
  <c r="M41" i="79"/>
  <c r="L41" i="79"/>
  <c r="I41" i="79"/>
  <c r="AD41" i="79" s="1"/>
  <c r="AB40" i="79"/>
  <c r="AA40" i="79"/>
  <c r="Z40" i="79"/>
  <c r="N40" i="79"/>
  <c r="U40" i="79" s="1"/>
  <c r="M40" i="79"/>
  <c r="L40" i="79"/>
  <c r="I40" i="79"/>
  <c r="AB39" i="79"/>
  <c r="AA39" i="79"/>
  <c r="Z39" i="79"/>
  <c r="N39" i="79"/>
  <c r="M39" i="79"/>
  <c r="T34" i="79" s="1"/>
  <c r="W34" i="79" s="1"/>
  <c r="L39" i="79"/>
  <c r="I39" i="79"/>
  <c r="AB33" i="79"/>
  <c r="AA33" i="79"/>
  <c r="AA28" i="79" s="1"/>
  <c r="AD28" i="79" s="1"/>
  <c r="Z33" i="79"/>
  <c r="N33" i="79"/>
  <c r="M33" i="79"/>
  <c r="L33" i="79"/>
  <c r="I33" i="79"/>
  <c r="N28"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Z3" i="79" s="1"/>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32" i="79" l="1"/>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6" i="79"/>
  <c r="W38" i="79"/>
  <c r="W37"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E83" i="21"/>
  <c r="F83" i="21" s="1"/>
  <c r="H1" i="69"/>
  <c r="AC25" i="40"/>
  <c r="W25" i="40"/>
  <c r="U25" i="40"/>
  <c r="U29" i="39"/>
  <c r="W29" i="39"/>
  <c r="W18" i="36"/>
  <c r="AB21" i="37"/>
  <c r="U21" i="37"/>
  <c r="S21" i="37"/>
  <c r="U21" i="34"/>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F44" i="34"/>
  <c r="AA44" i="34"/>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W31" i="34"/>
  <c r="S11" i="36"/>
  <c r="AB46" i="34"/>
  <c r="AA14" i="34"/>
  <c r="S45" i="33"/>
  <c r="AB45" i="33"/>
  <c r="AC28" i="21"/>
  <c r="S44" i="34"/>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W23" i="35"/>
  <c r="U39" i="37"/>
  <c r="U26" i="37"/>
  <c r="W47" i="34"/>
  <c r="AC36" i="34"/>
  <c r="AA13" i="33"/>
  <c r="AC31" i="33"/>
  <c r="AC45" i="33"/>
  <c r="W44" i="33"/>
  <c r="U11" i="33"/>
  <c r="U19" i="21"/>
  <c r="W44"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AZ16"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F29" i="6" s="1"/>
  <c r="BJ5" i="3"/>
  <c r="BH5" i="3"/>
  <c r="BF5" i="3"/>
  <c r="BD5" i="3"/>
  <c r="AZ325" i="3"/>
  <c r="AZ341" i="3"/>
  <c r="AC5" i="3"/>
  <c r="AZ506" i="3"/>
  <c r="AZ496" i="3"/>
  <c r="G548" i="3"/>
  <c r="G538" i="3"/>
  <c r="G520" i="3"/>
  <c r="G502" i="3"/>
  <c r="BS5" i="3"/>
  <c r="BP5" i="3"/>
  <c r="BN5" i="3"/>
  <c r="BK5" i="3"/>
  <c r="BI5" i="3"/>
  <c r="BG5" i="3"/>
  <c r="BE5" i="3"/>
  <c r="BC5" i="3"/>
  <c r="G17" i="3"/>
  <c r="BA17" i="3"/>
  <c r="BT5" i="3"/>
  <c r="AZ350" i="3"/>
  <c r="AZ356" i="3"/>
  <c r="AZ368" i="3"/>
  <c r="BA15" i="3"/>
  <c r="AZ15" i="3" s="1"/>
  <c r="BB5" i="3"/>
  <c r="BR5" i="3"/>
  <c r="AZ380" i="3"/>
  <c r="AZ392" i="3"/>
  <c r="AZ499" i="3"/>
  <c r="AZ509" i="3"/>
  <c r="G509" i="3"/>
  <c r="BL493" i="3"/>
  <c r="AZ491"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BL14" i="3"/>
  <c r="U30" i="33"/>
  <c r="AC13" i="34"/>
  <c r="AA47" i="34"/>
  <c r="W28" i="37"/>
  <c r="S19" i="39"/>
  <c r="F12" i="33"/>
  <c r="H12" i="39"/>
  <c r="AB12" i="39"/>
  <c r="F39" i="40"/>
  <c r="BA14" i="3"/>
  <c r="AZ14" i="3" s="1"/>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A18" i="62"/>
  <c r="B64" i="72" s="1"/>
  <c r="U32" i="39"/>
  <c r="AC32" i="39"/>
  <c r="W32" i="39"/>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H109" i="9"/>
  <c r="M49" i="9" s="1"/>
  <c r="H112" i="9"/>
  <c r="D21" i="53"/>
  <c r="B39" i="72" s="1"/>
  <c r="H111" i="9"/>
  <c r="D126" i="9" s="1"/>
  <c r="AD3" i="71"/>
  <c r="J1" i="73"/>
  <c r="H69" i="4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E2" i="69"/>
  <c r="C20" i="9"/>
  <c r="F8" i="15"/>
  <c r="E10" i="76"/>
  <c r="F7" i="15"/>
  <c r="M26" i="15"/>
  <c r="F40" i="15"/>
  <c r="M29" i="67"/>
  <c r="M8" i="15"/>
  <c r="D19" i="9"/>
  <c r="B10" i="76"/>
  <c r="F16" i="67"/>
  <c r="J15" i="15"/>
  <c r="F38" i="67"/>
  <c r="F9" i="15"/>
  <c r="M26" i="67"/>
  <c r="M8" i="67"/>
  <c r="D34" i="9"/>
  <c r="M22" i="15"/>
  <c r="M24" i="67"/>
  <c r="B8" i="76"/>
  <c r="F26" i="15"/>
  <c r="E12" i="76"/>
  <c r="F37" i="67"/>
  <c r="M9" i="15"/>
  <c r="AO13" i="1"/>
  <c r="F36" i="67"/>
  <c r="F6" i="15"/>
  <c r="F43" i="15"/>
  <c r="D35" i="9"/>
  <c r="F37" i="15"/>
  <c r="F36" i="15"/>
  <c r="B7" i="76"/>
  <c r="M6" i="67"/>
  <c r="M23" i="67"/>
  <c r="L47" i="67"/>
  <c r="F7" i="67"/>
  <c r="F5" i="73"/>
  <c r="F20" i="31"/>
  <c r="F42" i="67"/>
  <c r="L48" i="67"/>
  <c r="F13" i="15"/>
  <c r="B11" i="76"/>
  <c r="E11" i="76"/>
  <c r="M28" i="15"/>
  <c r="F26" i="67"/>
  <c r="F9" i="67"/>
  <c r="C76" i="15"/>
  <c r="F42" i="15"/>
  <c r="E7" i="76"/>
  <c r="B12" i="76"/>
  <c r="M23" i="15"/>
  <c r="D20" i="9"/>
  <c r="F43" i="67"/>
  <c r="F38" i="15"/>
  <c r="F6" i="67"/>
  <c r="B9" i="76"/>
  <c r="F3" i="73"/>
  <c r="F8" i="67"/>
  <c r="F40" i="67"/>
  <c r="M24" i="15"/>
  <c r="F13" i="67"/>
  <c r="M22" i="67"/>
  <c r="L48" i="15"/>
  <c r="C19" i="9"/>
  <c r="M29" i="15"/>
  <c r="E9" i="76"/>
  <c r="B13" i="76"/>
  <c r="M6" i="15"/>
  <c r="C76" i="67"/>
  <c r="J15" i="67"/>
  <c r="E13" i="76"/>
  <c r="M9" i="67"/>
  <c r="F6" i="73"/>
  <c r="E8" i="76"/>
  <c r="E2" i="68"/>
  <c r="M28" i="67"/>
  <c r="F16" i="15"/>
  <c r="F7" i="73"/>
  <c r="D6" i="73"/>
  <c r="F4" i="73"/>
  <c r="L47" i="15"/>
  <c r="S23" i="33" l="1"/>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O23" i="43"/>
  <c r="I18" i="43"/>
  <c r="E17" i="43" s="1"/>
  <c r="C17" i="43" s="1"/>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D103" i="9"/>
  <c r="C27" i="67"/>
  <c r="F71" i="67"/>
  <c r="C27" i="15"/>
  <c r="F65" i="15"/>
  <c r="G20" i="9"/>
  <c r="C103" i="9"/>
  <c r="N59" i="67"/>
  <c r="L59" i="67"/>
  <c r="L58" i="67"/>
  <c r="M59" i="67"/>
  <c r="B13" i="70"/>
  <c r="M7" i="67"/>
  <c r="J6" i="67" s="1"/>
  <c r="F50" i="67"/>
  <c r="F68" i="67"/>
  <c r="F64" i="67"/>
  <c r="F68" i="15"/>
  <c r="C36" i="68"/>
  <c r="D9" i="69"/>
  <c r="F27" i="69"/>
  <c r="C36" i="69"/>
  <c r="D9" i="68"/>
  <c r="C16" i="15"/>
  <c r="D4" i="73"/>
  <c r="D3" i="73"/>
  <c r="D7" i="73"/>
  <c r="C16" i="67"/>
  <c r="D5" i="73"/>
  <c r="J7" i="37" l="1"/>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AC6" i="3"/>
  <c r="H6" i="3"/>
  <c r="E58" i="40"/>
  <c r="E62" i="39"/>
  <c r="E3" i="6"/>
  <c r="M14" i="1"/>
  <c r="D5" i="43"/>
  <c r="J10" i="40"/>
  <c r="AC10" i="40" s="1"/>
  <c r="H10" i="39"/>
  <c r="U10" i="39" s="1"/>
  <c r="F10" i="40"/>
  <c r="S10" i="40" s="1"/>
  <c r="J10" i="39"/>
  <c r="W10" i="39" s="1"/>
  <c r="H10" i="40"/>
  <c r="AB10" i="40" s="1"/>
  <c r="D26" i="43"/>
  <c r="C25" i="43" s="1"/>
  <c r="C7" i="43"/>
  <c r="C5" i="43" s="1"/>
  <c r="D10" i="52"/>
  <c r="D125" i="9"/>
  <c r="D11" i="52" s="1"/>
  <c r="B7" i="74"/>
  <c r="C7" i="74" s="1"/>
  <c r="F67" i="39"/>
  <c r="E69" i="39"/>
  <c r="F59" i="67"/>
  <c r="H7" i="37"/>
  <c r="AB7" i="37" s="1"/>
  <c r="T42" i="37" s="1"/>
  <c r="G42" i="37" s="1"/>
  <c r="S10" i="39"/>
  <c r="AA10" i="39"/>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C32" i="9"/>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G1" i="73"/>
  <c r="F41" i="67"/>
  <c r="B40" i="1" l="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C35" i="9"/>
  <c r="M27" i="67"/>
  <c r="F41" i="15"/>
  <c r="M27" i="15"/>
  <c r="O36" i="43" l="1"/>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34" i="9"/>
  <c r="C66" i="67"/>
  <c r="C60" i="67"/>
  <c r="D10" i="69"/>
  <c r="C34" i="69"/>
  <c r="D10" i="68"/>
  <c r="C17" i="67"/>
  <c r="C17" i="15"/>
  <c r="C14" i="67"/>
  <c r="C16" i="71" l="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B6" i="76"/>
  <c r="C14" i="15"/>
  <c r="C15" i="71" l="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15"/>
  <c r="F35" i="67"/>
  <c r="F35" i="15"/>
  <c r="M21" i="67"/>
  <c r="AC7" i="35" l="1"/>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1" i="71" l="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0" i="71" l="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L51" i="15"/>
  <c r="D2" i="36"/>
  <c r="D2" i="35"/>
  <c r="D2" i="34"/>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9" i="1"/>
  <c r="AO12" i="1"/>
  <c r="AO7" i="1"/>
  <c r="AO8" i="1"/>
  <c r="AO6" i="1"/>
  <c r="AO11" i="1"/>
  <c r="C7" i="71" l="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7" i="71" l="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C81" i="9"/>
  <c r="C105" i="9"/>
  <c r="I4" i="52"/>
  <c r="P57" i="9"/>
  <c r="N58" i="9"/>
  <c r="D8" i="52"/>
  <c r="B53" i="72"/>
  <c r="B20" i="72"/>
  <c r="D123" i="9"/>
  <c r="D9" i="52"/>
  <c r="M54" i="9"/>
  <c r="H4" i="52"/>
  <c r="C104" i="9"/>
  <c r="B30" i="72"/>
  <c r="D52" i="9"/>
  <c r="D53" i="9"/>
  <c r="G4" i="52"/>
  <c r="B52" i="72"/>
  <c r="C80" i="9"/>
  <c r="E80" i="9"/>
  <c r="E81" i="9"/>
  <c r="F119" i="9"/>
  <c r="F5" i="52"/>
  <c r="D14" i="53"/>
  <c r="B32" i="72"/>
  <c r="C93" i="9"/>
  <c r="C86" i="9"/>
  <c r="C72" i="9"/>
  <c r="C79" i="9"/>
  <c r="M48" i="9"/>
  <c r="D13" i="53"/>
  <c r="D122" i="9"/>
  <c r="D119" i="9"/>
  <c r="D5" i="52"/>
  <c r="B49" i="72"/>
  <c r="H107" i="9"/>
  <c r="H108" i="9"/>
  <c r="D15" i="53"/>
  <c r="B31" i="72"/>
  <c r="D118" i="9"/>
  <c r="D4" i="52"/>
  <c r="B47" i="72"/>
  <c r="C78" i="9"/>
  <c r="C73" i="9"/>
  <c r="H102" i="9"/>
  <c r="D7" i="53"/>
  <c r="B21" i="72"/>
  <c r="N61" i="9"/>
  <c r="N59" i="9"/>
  <c r="N60" i="9"/>
  <c r="H119" i="9"/>
  <c r="H5" i="52"/>
  <c r="E118" i="9"/>
  <c r="E4" i="52"/>
  <c r="B48" i="72"/>
  <c r="D5" i="53"/>
  <c r="D6" i="53"/>
  <c r="B22" i="72"/>
  <c r="D55" i="9"/>
  <c r="M53" i="9"/>
  <c r="N57" i="9"/>
  <c r="C96" i="9"/>
  <c r="E96" i="9"/>
  <c r="E97" i="9"/>
  <c r="C68" i="9"/>
  <c r="D54" i="9"/>
  <c r="G118" i="9"/>
  <c r="F118" i="9"/>
  <c r="F4" i="52"/>
  <c r="B51" i="72"/>
  <c r="C85" i="9"/>
  <c r="C95" i="9"/>
  <c r="C97" i="9"/>
  <c r="D58" i="9"/>
  <c r="D56" i="9"/>
  <c r="C67" i="9"/>
  <c r="D59" i="9"/>
  <c r="M55" i="9"/>
  <c r="I118" i="9"/>
  <c r="H118" i="9"/>
  <c r="H101" i="9"/>
  <c r="D45" i="9"/>
  <c r="C64" i="9"/>
  <c r="C63"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<sst xmlns="http://schemas.openxmlformats.org/spreadsheetml/2006/main" count="7772" uniqueCount="3390">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</sst>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受贵公司委托，我公司对进行了预评估。</v>
      </c>
    </row>
    <row r="7" spans="1:2" s="1203" customFormat="1">
      <c r="A7" s="1201" t="s">
        <v>566</v>
      </c>
      <c r="B7" s="1202" t="e">
        <f>'预评函-1'!A7</f>
        <v>#DIV/0!</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e">
        <f>'预评函-1'!A10</f>
        <v>#DIV/0!</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2024年11月8日</v>
      </c>
    </row>
    <row r="13" spans="1:2" s="1203" customFormat="1">
      <c r="A13" s="1201" t="s">
        <v>529</v>
      </c>
      <c r="B13" s="1202" t="str">
        <f>'预评函-1'!A18</f>
        <v>本次估价的“房地产价值”是指在正常市场情况下，在价值时点2024年11月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本次评估采用的主估价方法为基准地价系数修正法和基准地价系数修正法。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房地产</v>
      </c>
    </row>
    <row r="42" spans="1:2" s="1203" customFormat="1">
      <c r="A42" s="1201" t="s">
        <v>590</v>
      </c>
      <c r="B42" s="1202" t="str">
        <f>'预评函-3'!B2</f>
        <v>建筑面积</v>
      </c>
    </row>
    <row r="43" spans="1:2" s="1203" customFormat="1">
      <c r="A43" s="1201" t="s">
        <v>591</v>
      </c>
      <c r="B43" s="1202">
        <f>'预评函-3'!B4</f>
        <v>0</v>
      </c>
    </row>
    <row r="44" spans="1:2" s="1203" customFormat="1">
      <c r="A44" s="1201" t="s">
        <v>575</v>
      </c>
      <c r="B44" s="1202" t="str">
        <f>'预评函-3'!C2</f>
        <v>(分摊)土地面积</v>
      </c>
    </row>
    <row r="45" spans="1:2" s="1203" customFormat="1">
      <c r="A45" s="1201" t="s">
        <v>547</v>
      </c>
      <c r="B45" s="1202" t="e">
        <f>'预评函-3'!C4</f>
        <v>#DIV/0!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49" t="str">
        <f>项目基本情况!B1</f>
        <v>预评估</v>
      </c>
      <c r="C37" s="3449"/>
      <c r="D37" s="3449"/>
      <c r="E37" s="3449"/>
      <c r="F37" s="3449"/>
      <c r="G37" s="3449"/>
      <c r="H37" s="3449"/>
      <c r="I37" s="344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受贵公司委托，我公司对进行了预评估。</v>
      </c>
    </row>
    <row r="5" spans="1:1" ht="18.75">
      <c r="A5" s="1481" t="s">
        <v>899</v>
      </c>
    </row>
    <row r="6" spans="1:1" ht="18.75">
      <c r="A6" s="1482" t="s">
        <v>900</v>
      </c>
    </row>
    <row r="7" spans="1:1" ht="18">
      <c r="A7" s="1480"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483" t="s">
        <v>901</v>
      </c>
    </row>
    <row r="9" spans="1:1" ht="18.75">
      <c r="A9" s="1482" t="s">
        <v>902</v>
      </c>
    </row>
    <row r="10" spans="1:1" ht="18">
      <c r="A10" s="1480"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2024年11月8日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本次评估采用的主估价方法为基准地价系数修正法和基准地价系数修正法。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4"/>
      <c r="C2" s="3454"/>
      <c r="D2" s="3454"/>
      <c r="E2" s="3454"/>
    </row>
    <row r="3" spans="1:5" ht="18">
      <c r="A3" s="3455" t="str">
        <f>IF(项目基本情况!B9="房地产市场价值","估价结果一览表（市场价值不需“结果表-1”）","估价结果一览表")</f>
        <v>估价结果一览表</v>
      </c>
      <c r="B3" s="3455"/>
      <c r="C3" s="3455"/>
      <c r="D3" s="3455"/>
      <c r="E3" s="3455"/>
    </row>
    <row r="4" spans="1:5" ht="19.5" thickBot="1">
      <c r="A4" s="1493"/>
      <c r="B4" s="3453" t="s">
        <v>917</v>
      </c>
      <c r="C4" s="3453"/>
      <c r="D4" s="3453"/>
      <c r="E4" s="1493"/>
    </row>
    <row r="5" spans="1:5" ht="16.5" thickTop="1">
      <c r="A5" s="1491"/>
      <c r="B5" s="3451" t="s">
        <v>909</v>
      </c>
      <c r="C5" s="1494" t="s">
        <v>910</v>
      </c>
      <c r="D5" s="850" t="e">
        <f ca="1">结果表!H101</f>
        <v>#REF!</v>
      </c>
      <c r="E5" s="1491"/>
    </row>
    <row r="6" spans="1:5" ht="15.75">
      <c r="A6" s="1491"/>
      <c r="B6" s="3451"/>
      <c r="C6" s="1494" t="s">
        <v>911</v>
      </c>
      <c r="D6" s="850" t="e">
        <f ca="1">NUMBERSTRING(INT(D5*10000),2)&amp;"元整"</f>
        <v>#REF!</v>
      </c>
      <c r="E6" s="1491"/>
    </row>
    <row r="7" spans="1:5" ht="15.75">
      <c r="A7" s="1491"/>
      <c r="B7" s="3456"/>
      <c r="C7" s="1495" t="s">
        <v>912</v>
      </c>
      <c r="D7" s="851" t="e">
        <f ca="1">结果表!H102</f>
        <v>#REF!</v>
      </c>
      <c r="E7" s="1491"/>
    </row>
    <row r="8" spans="1:5" ht="15.75">
      <c r="A8" s="1491"/>
      <c r="B8" s="3457" t="str">
        <f>结果表!E103</f>
        <v>2.估价师知悉的法定优先受偿款</v>
      </c>
      <c r="C8" s="1496" t="s">
        <v>913</v>
      </c>
      <c r="D8" s="851">
        <f>结果表!H103</f>
        <v>0</v>
      </c>
      <c r="E8" s="1491"/>
    </row>
    <row r="9" spans="1:5" ht="15.75">
      <c r="A9" s="1491"/>
      <c r="B9" s="345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0" t="str">
        <f>结果表!E107</f>
        <v>3.房地产抵押价值</v>
      </c>
      <c r="C13" s="1499" t="s">
        <v>910</v>
      </c>
      <c r="D13" s="853" t="e">
        <f ca="1">结果表!H107</f>
        <v>#REF!</v>
      </c>
      <c r="E13" s="1491"/>
    </row>
    <row r="14" spans="1:5" ht="15.75">
      <c r="A14" s="1491"/>
      <c r="B14" s="3451"/>
      <c r="C14" s="1494" t="s">
        <v>911</v>
      </c>
      <c r="D14" s="850" t="e">
        <f ca="1">NUMBERSTRING(INT(D13*10000),2)&amp;"元整"</f>
        <v>#REF!</v>
      </c>
      <c r="E14" s="1491"/>
    </row>
    <row r="15" spans="1:5" ht="15">
      <c r="A15" s="1491"/>
      <c r="B15" s="3456"/>
      <c r="C15" s="1495" t="s">
        <v>921</v>
      </c>
      <c r="D15" s="859" t="e">
        <f ca="1">结果表!H108</f>
        <v>#REF!</v>
      </c>
      <c r="E15" s="1491"/>
    </row>
    <row r="16" spans="1:5" ht="15">
      <c r="A16" s="1491"/>
      <c r="B16" s="3457" t="str">
        <f>结果表!E109</f>
        <v>——</v>
      </c>
      <c r="C16" s="1499" t="s">
        <v>922</v>
      </c>
      <c r="D16" s="1500" t="str">
        <f>结果表!H109</f>
        <v>——</v>
      </c>
      <c r="E16" s="1491"/>
    </row>
    <row r="17" spans="1:5" ht="15.75">
      <c r="A17" s="1491"/>
      <c r="B17" s="3458"/>
      <c r="C17" s="1494" t="s">
        <v>923</v>
      </c>
      <c r="D17" s="850" t="e">
        <f>NUMBERSTRING(INT(D16*10000),2)&amp;"元整"</f>
        <v>#VALUE!</v>
      </c>
      <c r="E17" s="1491"/>
    </row>
    <row r="18" spans="1:5" ht="15">
      <c r="A18" s="1491"/>
      <c r="B18" s="3459"/>
      <c r="C18" s="1495" t="s">
        <v>912</v>
      </c>
      <c r="D18" s="859" t="str">
        <f>结果表!H110</f>
        <v>——</v>
      </c>
      <c r="E18" s="1491"/>
    </row>
    <row r="19" spans="1:5" ht="15.75">
      <c r="A19" s="1491"/>
      <c r="B19" s="3450" t="str">
        <f>结果表!E111</f>
        <v>——</v>
      </c>
      <c r="C19" s="1499" t="s">
        <v>910</v>
      </c>
      <c r="D19" s="851" t="str">
        <f>结果表!H111</f>
        <v>——</v>
      </c>
      <c r="E19" s="1491"/>
    </row>
    <row r="20" spans="1:5" ht="15.75">
      <c r="A20" s="1491"/>
      <c r="B20" s="3451"/>
      <c r="C20" s="1494" t="s">
        <v>923</v>
      </c>
      <c r="D20" s="850" t="e">
        <f>NUMBERSTRING(INT(D19*10000),2)&amp;"元整"</f>
        <v>#VALUE!</v>
      </c>
      <c r="E20" s="1491"/>
    </row>
    <row r="21" spans="1:5" ht="15.75" thickBot="1">
      <c r="A21" s="1491"/>
      <c r="B21" s="345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7" t="str">
        <f>IF(项目基本情况!B9="房地产市场价值","估价结果一览表","结果表-2")</f>
        <v>结果表-2</v>
      </c>
      <c r="B1" s="3467"/>
      <c r="C1" s="3467"/>
      <c r="D1" s="3467"/>
      <c r="E1" s="3467"/>
      <c r="F1" s="3467"/>
      <c r="G1" s="3467"/>
      <c r="H1" s="3467"/>
      <c r="I1" s="3467"/>
    </row>
    <row r="2" spans="1:9" ht="30" customHeight="1" thickTop="1">
      <c r="A2" s="3468" t="s">
        <v>928</v>
      </c>
      <c r="B2" s="3468" t="s">
        <v>929</v>
      </c>
      <c r="C2" s="3468" t="s">
        <v>930</v>
      </c>
      <c r="D2" s="3468" t="str">
        <f>结果表!D116</f>
        <v>出让国有建设用地使用权价值</v>
      </c>
      <c r="E2" s="3468"/>
      <c r="F2" s="3468" t="str">
        <f>结果表!F116</f>
        <v>在建建筑物价值</v>
      </c>
      <c r="G2" s="3468"/>
      <c r="H2" s="3468" t="str">
        <f>IF(项目基本情况!B9="房地产市场价值","房地产市场价值","房地产价值")</f>
        <v>房地产价值</v>
      </c>
      <c r="I2" s="3468"/>
    </row>
    <row r="3" spans="1:9" ht="15">
      <c r="A3" s="3463"/>
      <c r="B3" s="3463"/>
      <c r="C3" s="3463"/>
      <c r="D3" s="854" t="s">
        <v>925</v>
      </c>
      <c r="E3" s="854" t="s">
        <v>931</v>
      </c>
      <c r="F3" s="854" t="s">
        <v>925</v>
      </c>
      <c r="G3" s="854" t="s">
        <v>926</v>
      </c>
      <c r="H3" s="854" t="s">
        <v>925</v>
      </c>
      <c r="I3" s="854" t="s">
        <v>926</v>
      </c>
    </row>
    <row r="4" spans="1:9" ht="15">
      <c r="A4" s="1505" t="str">
        <f>项目基本情况!S2</f>
        <v>房地产</v>
      </c>
      <c r="B4" s="854">
        <f>项目基本情况!C17</f>
        <v>0</v>
      </c>
      <c r="C4" s="854" t="e">
        <f>项目基本情况!C18</f>
        <v>#DIV/0!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63" t="s">
        <v>927</v>
      </c>
      <c r="B5" s="3463"/>
      <c r="C5" s="3463"/>
      <c r="D5" s="3463" t="e">
        <f ca="1">结果表!D119</f>
        <v>#REF!</v>
      </c>
      <c r="E5" s="3463"/>
      <c r="F5" s="3463" t="e">
        <f ca="1">结果表!F119</f>
        <v>#REF!</v>
      </c>
      <c r="G5" s="3463"/>
      <c r="H5" s="3463" t="e">
        <f ca="1">结果表!H119</f>
        <v>#REF!</v>
      </c>
      <c r="I5" s="3463"/>
    </row>
    <row r="6" spans="1:9" ht="15.75">
      <c r="A6" s="3462" t="str">
        <f>结果表!A120</f>
        <v>估价师知悉的法定优先受偿款</v>
      </c>
      <c r="B6" s="3462"/>
      <c r="C6" s="3462"/>
      <c r="D6" s="3462">
        <f>结果表!D120</f>
        <v>0</v>
      </c>
      <c r="E6" s="3462"/>
      <c r="F6" s="3462"/>
      <c r="G6" s="3462"/>
      <c r="H6" s="3462"/>
      <c r="I6" s="3462"/>
    </row>
    <row r="7" spans="1:9" ht="15">
      <c r="A7" s="3463" t="s">
        <v>927</v>
      </c>
      <c r="B7" s="3463"/>
      <c r="C7" s="3463"/>
      <c r="D7" s="3464" t="str">
        <f>结果表!D121</f>
        <v>零元整</v>
      </c>
      <c r="E7" s="3465"/>
      <c r="F7" s="3465"/>
      <c r="G7" s="3465"/>
      <c r="H7" s="3465"/>
      <c r="I7" s="3466"/>
    </row>
    <row r="8" spans="1:9" ht="15.75">
      <c r="A8" s="3462" t="str">
        <f>结果表!A122</f>
        <v>房地产抵押价值</v>
      </c>
      <c r="B8" s="3462"/>
      <c r="C8" s="3462"/>
      <c r="D8" s="3462" t="e">
        <f ca="1">结果表!D122</f>
        <v>#REF!</v>
      </c>
      <c r="E8" s="3462"/>
      <c r="F8" s="3462"/>
      <c r="G8" s="3462"/>
      <c r="H8" s="3462"/>
      <c r="I8" s="3462"/>
    </row>
    <row r="9" spans="1:9" ht="15">
      <c r="A9" s="3463" t="s">
        <v>927</v>
      </c>
      <c r="B9" s="3463"/>
      <c r="C9" s="3463"/>
      <c r="D9" s="3463" t="e">
        <f ca="1">结果表!D123</f>
        <v>#REF!</v>
      </c>
      <c r="E9" s="3463"/>
      <c r="F9" s="3463"/>
      <c r="G9" s="3463"/>
      <c r="H9" s="3463"/>
      <c r="I9" s="3463"/>
    </row>
    <row r="10" spans="1:9" ht="15.75">
      <c r="A10" s="3462" t="str">
        <f>结果表!A124</f>
        <v/>
      </c>
      <c r="B10" s="3462"/>
      <c r="C10" s="3462"/>
      <c r="D10" s="3462" t="str">
        <f>结果表!D124</f>
        <v>——</v>
      </c>
      <c r="E10" s="3462"/>
      <c r="F10" s="3462"/>
      <c r="G10" s="3462"/>
      <c r="H10" s="3462"/>
      <c r="I10" s="3462"/>
    </row>
    <row r="11" spans="1:9" ht="15">
      <c r="A11" s="3463" t="s">
        <v>927</v>
      </c>
      <c r="B11" s="3463"/>
      <c r="C11" s="3463"/>
      <c r="D11" s="3463" t="e">
        <f>结果表!D125</f>
        <v>#VALUE!</v>
      </c>
      <c r="E11" s="3463"/>
      <c r="F11" s="3463"/>
      <c r="G11" s="3463"/>
      <c r="H11" s="3463"/>
      <c r="I11" s="3463"/>
    </row>
    <row r="12" spans="1:9" ht="15.75">
      <c r="A12" s="3462" t="str">
        <f>结果表!A126</f>
        <v/>
      </c>
      <c r="B12" s="3462"/>
      <c r="C12" s="3462"/>
      <c r="D12" s="3462" t="str">
        <f>结果表!D126</f>
        <v>——</v>
      </c>
      <c r="E12" s="3462"/>
      <c r="F12" s="3462"/>
      <c r="G12" s="3462"/>
      <c r="H12" s="3462"/>
      <c r="I12" s="3462"/>
    </row>
    <row r="13" spans="1:9" ht="15.75" thickBot="1">
      <c r="A13" s="3460" t="s">
        <v>927</v>
      </c>
      <c r="B13" s="3460"/>
      <c r="C13" s="3460"/>
      <c r="D13" s="3460" t="e">
        <f>结果表!D127</f>
        <v>#VALUE!</v>
      </c>
      <c r="E13" s="3460"/>
      <c r="F13" s="3460"/>
      <c r="G13" s="3460"/>
      <c r="H13" s="3460"/>
      <c r="I13" s="3460"/>
    </row>
    <row r="14" spans="1:9" ht="15" thickTop="1">
      <c r="A14" s="3461" t="s">
        <v>932</v>
      </c>
      <c r="B14" s="3461"/>
      <c r="C14" s="3461"/>
      <c r="D14" s="3461"/>
      <c r="E14" s="3461"/>
      <c r="F14" s="3461"/>
      <c r="G14" s="3461"/>
      <c r="H14" s="3461"/>
      <c r="I14" s="346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5" t="s">
        <v>949</v>
      </c>
      <c r="B1" s="3475"/>
      <c r="C1" s="3475"/>
      <c r="D1" s="3475"/>
    </row>
    <row r="2" spans="1:4" ht="18">
      <c r="A2" s="3476" t="s">
        <v>933</v>
      </c>
      <c r="B2" s="3476"/>
      <c r="C2" s="3476"/>
      <c r="D2" s="3476"/>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6" t="s">
        <v>939</v>
      </c>
      <c r="B6" s="3476"/>
      <c r="C6" s="3476"/>
      <c r="D6" s="347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7" t="s">
        <v>942</v>
      </c>
      <c r="B11" s="3469"/>
      <c r="C11" s="3469"/>
      <c r="D11" s="3469"/>
    </row>
    <row r="12" spans="1:4" ht="15.75">
      <c r="A12" s="346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74"/>
      <c r="C12" s="3474"/>
      <c r="D12" s="3474"/>
    </row>
    <row r="13" spans="1:4" ht="30" customHeight="1">
      <c r="A13" s="3469" t="str">
        <f>IF(项目基本情况!B8="抵押","3.抵押双方在办理抵押登记手续时，应使用本公司出具的正式《房地产评估报告》，特提醒报告使用者注意。","——")</f>
        <v>——</v>
      </c>
      <c r="B13" s="3474"/>
      <c r="C13" s="3474"/>
      <c r="D13" s="3474"/>
    </row>
    <row r="14" spans="1:4" ht="15.75" customHeight="1">
      <c r="A14" s="3469" t="str">
        <f>IF(项目基本情况!B8="抵押","4.本次评估估价师所知悉的法定优先受偿款情况说明如下：","——")</f>
        <v>——</v>
      </c>
      <c r="B14" s="3474"/>
      <c r="C14" s="3474"/>
      <c r="D14" s="3474"/>
    </row>
    <row r="15" spans="1:4" ht="42" customHeight="1">
      <c r="A15" s="3469" t="str">
        <f>IF(项目基本情况!B8="抵押","（1）"&amp;CONCATENATE(项目基本情况!L20,项目基本情况!L21,项目基本情况!L22),"——")</f>
        <v>——</v>
      </c>
      <c r="B15" s="3469"/>
      <c r="C15" s="3469"/>
      <c r="D15" s="3469"/>
    </row>
    <row r="16" spans="1:4" ht="30" customHeight="1">
      <c r="A16" s="3471" t="s">
        <v>943</v>
      </c>
      <c r="B16" s="3471"/>
      <c r="C16" s="3471"/>
      <c r="D16" s="3471"/>
    </row>
    <row r="17" spans="1:4" ht="144" customHeight="1">
      <c r="A17" s="3471" t="s">
        <v>944</v>
      </c>
      <c r="B17" s="3471"/>
      <c r="C17" s="3471"/>
      <c r="D17" s="3471"/>
    </row>
    <row r="18" spans="1:4" ht="15.75" customHeight="1">
      <c r="A18" s="3469" t="str">
        <f>IF(项目基本情况!B8="抵押",结果表!K120,"——")</f>
        <v>——</v>
      </c>
      <c r="B18" s="3469"/>
      <c r="C18" s="3469"/>
      <c r="D18" s="3469"/>
    </row>
    <row r="19" spans="1:4" ht="46.5" customHeight="1">
      <c r="A19" s="346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69"/>
      <c r="C19" s="3469"/>
      <c r="D19" s="3469"/>
    </row>
    <row r="20" spans="1:4" ht="57.75" customHeight="1">
      <c r="A20" s="346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9"/>
      <c r="C20" s="3469"/>
      <c r="D20" s="3469"/>
    </row>
    <row r="21" spans="1:4" ht="57.75" customHeight="1">
      <c r="A21" s="347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2"/>
      <c r="C21" s="3472"/>
      <c r="D21" s="3472"/>
    </row>
    <row r="22" spans="1:4" ht="18.75" customHeight="1">
      <c r="A22" s="3473" t="s">
        <v>945</v>
      </c>
      <c r="B22" s="3473"/>
      <c r="C22" s="3473"/>
      <c r="D22" s="347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0">
        <v>42551</v>
      </c>
      <c r="D31" s="347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3" t="s">
        <v>956</v>
      </c>
      <c r="B15" s="3478" t="s">
        <v>109</v>
      </c>
      <c r="C15" s="3479"/>
    </row>
    <row r="16" spans="1:7" ht="13.5">
      <c r="A16" s="3484"/>
      <c r="B16" s="3478" t="s">
        <v>42</v>
      </c>
      <c r="C16" s="3479"/>
    </row>
    <row r="17" spans="1:3" ht="13.5">
      <c r="A17" s="3484"/>
      <c r="B17" s="3481" t="s">
        <v>957</v>
      </c>
      <c r="C17" s="1532" t="s">
        <v>956</v>
      </c>
    </row>
    <row r="18" spans="1:3" ht="13.5">
      <c r="A18" s="3484"/>
      <c r="B18" s="3481"/>
      <c r="C18" s="1532" t="s">
        <v>958</v>
      </c>
    </row>
    <row r="19" spans="1:3" ht="13.5">
      <c r="A19" s="3484"/>
      <c r="B19" s="3481"/>
      <c r="C19" s="1532" t="s">
        <v>959</v>
      </c>
    </row>
    <row r="20" spans="1:3" ht="13.5">
      <c r="A20" s="3485"/>
      <c r="B20" s="3480" t="s">
        <v>960</v>
      </c>
      <c r="C20" s="3479"/>
    </row>
    <row r="21" spans="1:3" ht="13.5">
      <c r="A21" s="1533" t="s">
        <v>961</v>
      </c>
      <c r="B21" s="1534"/>
      <c r="C21" s="1535"/>
    </row>
    <row r="22" spans="1:3" ht="13.5">
      <c r="A22" s="3482" t="s">
        <v>962</v>
      </c>
      <c r="B22" s="3480" t="s">
        <v>963</v>
      </c>
      <c r="C22" s="3479"/>
    </row>
    <row r="23" spans="1:3" ht="13.5">
      <c r="A23" s="3482"/>
      <c r="B23" s="3480" t="s">
        <v>964</v>
      </c>
      <c r="C23" s="3479"/>
    </row>
    <row r="24" spans="1:3" ht="13.5">
      <c r="A24" s="3482"/>
      <c r="B24" s="3480" t="s">
        <v>965</v>
      </c>
      <c r="C24" s="3479"/>
    </row>
    <row r="25" spans="1:3" ht="13.5">
      <c r="A25" s="3482"/>
      <c r="B25" s="3481" t="s">
        <v>966</v>
      </c>
      <c r="C25" s="1532" t="s">
        <v>967</v>
      </c>
    </row>
    <row r="26" spans="1:3" ht="13.5">
      <c r="A26" s="3482"/>
      <c r="B26" s="3481"/>
      <c r="C26" s="1532" t="s">
        <v>968</v>
      </c>
    </row>
    <row r="27" spans="1:3" ht="13.5">
      <c r="A27" s="3482"/>
      <c r="B27" s="3481"/>
      <c r="C27" s="1532" t="s">
        <v>969</v>
      </c>
    </row>
    <row r="28" spans="1:3" ht="13.5">
      <c r="A28" s="3482"/>
      <c r="B28" s="3481"/>
      <c r="C28" s="1532" t="s">
        <v>970</v>
      </c>
    </row>
    <row r="29" spans="1:3" ht="13.5">
      <c r="A29" s="3482"/>
      <c r="B29" s="3481"/>
      <c r="C29" s="1532" t="s">
        <v>971</v>
      </c>
    </row>
    <row r="30" spans="1:3" ht="13.5">
      <c r="A30" s="3482"/>
      <c r="B30" s="3481"/>
      <c r="C30" s="1532" t="s">
        <v>972</v>
      </c>
    </row>
    <row r="31" spans="1:3" ht="13.5">
      <c r="A31" s="3482"/>
      <c r="B31" s="3481"/>
      <c r="C31" s="1532" t="s">
        <v>973</v>
      </c>
    </row>
    <row r="32" spans="1:3" ht="13.5">
      <c r="A32" s="3482"/>
      <c r="B32" s="3481"/>
      <c r="C32" s="1532" t="s">
        <v>974</v>
      </c>
    </row>
    <row r="33" spans="1:3" ht="13.5">
      <c r="A33" s="3482"/>
      <c r="B33" s="348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45643</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t="str">
        <f ca="1">IF(C9&lt;B2,"已过期",1120060040)</f>
        <v>已过期</v>
      </c>
      <c r="C9" s="2350">
        <v>45592</v>
      </c>
      <c r="D9" s="2346" t="str">
        <f t="shared" ca="1" si="0"/>
        <v>陈颖（注册号：已过期）</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6" t="s">
        <v>2160</v>
      </c>
      <c r="B17" s="3486"/>
      <c r="C17" s="3486"/>
      <c r="D17" s="3486"/>
      <c r="E17" s="3486"/>
      <c r="F17" s="3486"/>
      <c r="G17" s="3486"/>
      <c r="H17" s="3486"/>
    </row>
    <row r="18" spans="1:8" ht="24" customHeight="1">
      <c r="A18" s="3487" t="s">
        <v>2161</v>
      </c>
      <c r="B18" s="3487"/>
      <c r="C18" s="3487"/>
      <c r="D18" s="2343"/>
      <c r="E18" s="3488" t="s">
        <v>2162</v>
      </c>
      <c r="F18" s="3487"/>
      <c r="G18" s="3487"/>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2579</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2580</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2293</v>
      </c>
      <c r="C17" s="1547"/>
    </row>
    <row r="18" spans="1:3">
      <c r="A18" s="1546" t="s">
        <v>1046</v>
      </c>
      <c r="B18" s="1546" t="s">
        <v>2435</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8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9"/>
      <c r="B54" s="1554" t="s">
        <v>385</v>
      </c>
      <c r="C54" s="1551" t="s">
        <v>583</v>
      </c>
    </row>
    <row r="55" spans="1:4">
      <c r="A55" s="3489"/>
      <c r="B55" s="1554" t="s">
        <v>386</v>
      </c>
      <c r="C55" s="1551" t="s">
        <v>584</v>
      </c>
    </row>
    <row r="56" spans="1:4">
      <c r="A56" s="3489"/>
      <c r="B56" s="1554" t="s">
        <v>387</v>
      </c>
      <c r="C56" s="1551" t="s">
        <v>588</v>
      </c>
    </row>
    <row r="57" spans="1:4">
      <c r="A57" s="348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2502</v>
      </c>
      <c r="B1" s="3014"/>
      <c r="C1" s="3014"/>
      <c r="D1" s="3014"/>
      <c r="E1" s="3014"/>
      <c r="F1" s="3015"/>
      <c r="I1" s="3437" t="s">
        <v>2595</v>
      </c>
      <c r="J1" s="3226"/>
      <c r="K1" s="3226"/>
      <c r="L1" s="3226"/>
      <c r="M1" s="3226"/>
      <c r="N1" s="3438"/>
      <c r="O1" s="3438"/>
      <c r="P1" s="3438"/>
      <c r="Q1" s="3438"/>
      <c r="R1" s="3438"/>
    </row>
    <row r="2" spans="1:18">
      <c r="A2" s="3017"/>
      <c r="B2" s="3018"/>
      <c r="C2" s="3018"/>
      <c r="D2" s="3018"/>
      <c r="E2" s="3018"/>
      <c r="F2" s="3019"/>
      <c r="I2" s="3490" t="s">
        <v>2582</v>
      </c>
      <c r="J2" s="3490"/>
      <c r="K2" s="3490"/>
      <c r="L2" s="3490"/>
      <c r="M2" s="3490"/>
      <c r="N2" s="3490"/>
      <c r="O2" s="3490"/>
      <c r="P2" s="3490"/>
      <c r="Q2" s="3490"/>
      <c r="R2" s="3490"/>
    </row>
    <row r="3" spans="1:18">
      <c r="A3" s="3020" t="s">
        <v>2503</v>
      </c>
      <c r="B3" s="3021">
        <f>项目基本情况!D3</f>
        <v>45604</v>
      </c>
      <c r="C3" s="3023"/>
      <c r="D3" s="3023"/>
      <c r="E3" s="3023"/>
      <c r="F3" s="3019"/>
      <c r="I3" s="3439"/>
      <c r="J3" s="3439" t="s">
        <v>2586</v>
      </c>
      <c r="K3" s="3439" t="s">
        <v>2587</v>
      </c>
      <c r="L3" s="3439" t="s">
        <v>2588</v>
      </c>
      <c r="M3" s="3439" t="s">
        <v>2589</v>
      </c>
      <c r="N3" s="3440" t="s">
        <v>2590</v>
      </c>
      <c r="O3" s="3440" t="s">
        <v>2591</v>
      </c>
      <c r="P3" s="3440" t="s">
        <v>2592</v>
      </c>
      <c r="Q3" s="3440" t="s">
        <v>2593</v>
      </c>
      <c r="R3" s="3440" t="s">
        <v>2594</v>
      </c>
    </row>
    <row r="4" spans="1:18">
      <c r="A4" s="3020" t="s">
        <v>2504</v>
      </c>
      <c r="B4" s="3023" t="s">
        <v>2505</v>
      </c>
      <c r="C4" s="3023" t="s">
        <v>2506</v>
      </c>
      <c r="D4" s="3023" t="s">
        <v>2507</v>
      </c>
      <c r="E4" s="3023" t="s">
        <v>2508</v>
      </c>
      <c r="F4" s="3019"/>
      <c r="I4" s="3439" t="s">
        <v>2583</v>
      </c>
      <c r="J4" s="3439">
        <v>80</v>
      </c>
      <c r="K4" s="3439">
        <v>70</v>
      </c>
      <c r="L4" s="3439">
        <v>20</v>
      </c>
      <c r="M4" s="3439">
        <v>30</v>
      </c>
      <c r="N4" s="3023">
        <v>45</v>
      </c>
      <c r="O4" s="3023">
        <v>60</v>
      </c>
      <c r="P4" s="3023">
        <v>50</v>
      </c>
      <c r="Q4" s="3023">
        <v>20</v>
      </c>
      <c r="R4" s="3023">
        <v>375</v>
      </c>
    </row>
    <row r="5" spans="1:18">
      <c r="A5" s="3024">
        <v>40</v>
      </c>
      <c r="B5" s="3021">
        <v>46375</v>
      </c>
      <c r="C5" s="3023">
        <f>ROUNDDOWN(MIN((B5-B3)/365,A5),2)</f>
        <v>2.11</v>
      </c>
      <c r="D5" s="3025">
        <f>IF(ISERROR(ROUND(POWER(1+E5,A5-C5)*(POWER(1+E5,C5)-1)/(POWER(1+E5,A5)-1),3)),0,ROUND(POWER(1+E5,A5-C5)*(POWER(1+E5,C5)-1)/(POWER(1+E5,A5)-1),4))</f>
        <v>0.1003</v>
      </c>
      <c r="E5" s="3026">
        <v>0.04</v>
      </c>
      <c r="F5" s="3019"/>
      <c r="I5" s="3439" t="s">
        <v>2584</v>
      </c>
      <c r="J5" s="3439">
        <v>70</v>
      </c>
      <c r="K5" s="3439">
        <v>60</v>
      </c>
      <c r="L5" s="3439">
        <v>15</v>
      </c>
      <c r="M5" s="3439">
        <v>25</v>
      </c>
      <c r="N5" s="3023">
        <v>40</v>
      </c>
      <c r="O5" s="3023">
        <v>50</v>
      </c>
      <c r="P5" s="3023">
        <v>40</v>
      </c>
      <c r="Q5" s="3023">
        <v>15</v>
      </c>
      <c r="R5" s="3023">
        <v>315</v>
      </c>
    </row>
    <row r="6" spans="1:18">
      <c r="A6" s="3024">
        <v>50</v>
      </c>
      <c r="B6" s="3021">
        <v>50028</v>
      </c>
      <c r="C6" s="3023">
        <f>ROUNDDOWN(MIN((B6-B3)/365,A6),2)</f>
        <v>12.12</v>
      </c>
      <c r="D6" s="3025">
        <f>IF(ISERROR(ROUND(POWER(1+E6,A6-C6)*(POWER(1+E6,C6)-1)/(POWER(1+E6,A6)-1),3)),0,ROUND(POWER(1+E6,A6-C6)*(POWER(1+E6,C6)-1)/(POWER(1+E6,A6)-1),4))</f>
        <v>0.44030000000000002</v>
      </c>
      <c r="E6" s="3026">
        <v>0.04</v>
      </c>
      <c r="F6" s="3019"/>
      <c r="I6" s="3439" t="s">
        <v>2585</v>
      </c>
      <c r="J6" s="3439">
        <v>60</v>
      </c>
      <c r="K6" s="3439">
        <v>50</v>
      </c>
      <c r="L6" s="3439">
        <v>10</v>
      </c>
      <c r="M6" s="3439">
        <v>20</v>
      </c>
      <c r="N6" s="3023">
        <v>35</v>
      </c>
      <c r="O6" s="3023">
        <v>40</v>
      </c>
      <c r="P6" s="3023">
        <v>30</v>
      </c>
      <c r="Q6" s="3023">
        <v>10</v>
      </c>
      <c r="R6" s="3023">
        <v>255</v>
      </c>
    </row>
    <row r="7" spans="1:18">
      <c r="A7" s="3024">
        <v>70</v>
      </c>
      <c r="B7" s="3021">
        <v>57333</v>
      </c>
      <c r="C7" s="3023">
        <f>ROUNDDOWN(MIN((B7-B3)/365,A7),2)</f>
        <v>32.130000000000003</v>
      </c>
      <c r="D7" s="3025">
        <f>IF(ISERROR(ROUND(POWER(1+E7,A7-C7)*(POWER(1+E7,C7)-1)/(POWER(1+E7,A7)-1),3)),0,ROUND(POWER(1+E7,A7-C7)*(POWER(1+E7,C7)-1)/(POWER(1+E7,A7)-1),4))</f>
        <v>0.76559999999999995</v>
      </c>
      <c r="E7" s="3026">
        <v>0.04</v>
      </c>
      <c r="F7" s="3019"/>
    </row>
    <row r="8" spans="1:18">
      <c r="A8" s="3017"/>
      <c r="B8" s="3018"/>
      <c r="C8" s="3018"/>
      <c r="D8" s="3018"/>
      <c r="E8" s="3018"/>
      <c r="F8" s="3019"/>
    </row>
    <row r="9" spans="1:18">
      <c r="A9" s="3020" t="s">
        <v>2509</v>
      </c>
      <c r="B9" s="3023"/>
      <c r="C9" s="3023"/>
      <c r="D9" s="3023"/>
      <c r="E9" s="3023"/>
      <c r="F9" s="3027"/>
    </row>
    <row r="10" spans="1:18">
      <c r="A10" s="3020" t="s">
        <v>2510</v>
      </c>
      <c r="B10" s="3023"/>
      <c r="C10" s="3023"/>
      <c r="D10" s="3023" t="s">
        <v>2508</v>
      </c>
      <c r="E10" s="3023"/>
      <c r="F10" s="3027" t="s">
        <v>2507</v>
      </c>
    </row>
    <row r="11" spans="1:18">
      <c r="A11" s="3020" t="s">
        <v>2511</v>
      </c>
      <c r="B11" s="3028">
        <v>70</v>
      </c>
      <c r="C11" s="3023" t="s">
        <v>2512</v>
      </c>
      <c r="D11" s="3029">
        <v>4.4999999999999998E-2</v>
      </c>
      <c r="E11" s="3023" t="s">
        <v>2513</v>
      </c>
      <c r="F11" s="3030">
        <f>ROUND(1-(1/(POWER(1+D11,B11))),4)</f>
        <v>0.95409999999999995</v>
      </c>
    </row>
    <row r="12" spans="1:18">
      <c r="A12" s="3020" t="s">
        <v>2514</v>
      </c>
      <c r="B12" s="3028">
        <v>40</v>
      </c>
      <c r="C12" s="3023" t="s">
        <v>2515</v>
      </c>
      <c r="D12" s="3029">
        <v>4.4999999999999998E-2</v>
      </c>
      <c r="E12" s="3023" t="s">
        <v>2516</v>
      </c>
      <c r="F12" s="3030">
        <f>ROUND(1-(1/(POWER(1+D12,B12))),4)</f>
        <v>0.82809999999999995</v>
      </c>
    </row>
    <row r="13" spans="1:18">
      <c r="A13" s="3020" t="s">
        <v>2517</v>
      </c>
      <c r="B13" s="3023"/>
      <c r="C13" s="3023"/>
      <c r="D13" s="3018"/>
      <c r="E13" s="3018"/>
      <c r="F13" s="3019"/>
    </row>
    <row r="14" spans="1:18">
      <c r="A14" s="3020" t="s">
        <v>2518</v>
      </c>
      <c r="B14" s="3028">
        <v>5000</v>
      </c>
      <c r="C14" s="3022"/>
      <c r="D14" s="3018"/>
      <c r="E14" s="3018"/>
      <c r="F14" s="3019"/>
    </row>
    <row r="15" spans="1:18">
      <c r="A15" s="3020" t="s">
        <v>2519</v>
      </c>
      <c r="B15" s="3023">
        <f>ROUND(B14*F12/F11,2)</f>
        <v>4339.6899999999996</v>
      </c>
      <c r="C15" s="3023">
        <f>ROUND(F12/F11,4)</f>
        <v>0.8679</v>
      </c>
      <c r="D15" s="3018"/>
      <c r="E15" s="3018"/>
      <c r="F15" s="3019"/>
    </row>
    <row r="16" spans="1:18">
      <c r="A16" s="3020" t="s">
        <v>2520</v>
      </c>
      <c r="B16" s="3023"/>
      <c r="C16" s="3023"/>
      <c r="D16" s="3018"/>
      <c r="E16" s="3018"/>
      <c r="F16" s="3019"/>
    </row>
    <row r="17" spans="1:13">
      <c r="A17" s="3020" t="s">
        <v>2519</v>
      </c>
      <c r="B17" s="3029">
        <v>4810</v>
      </c>
      <c r="C17" s="3022"/>
      <c r="D17" s="3018"/>
      <c r="E17" s="3018"/>
      <c r="F17" s="3019"/>
    </row>
    <row r="18" spans="1:13" ht="14.25" thickBot="1">
      <c r="A18" s="3031" t="s">
        <v>2518</v>
      </c>
      <c r="B18" s="3032">
        <f>ROUND(B17*F11/F12,2)</f>
        <v>5541.87</v>
      </c>
      <c r="C18" s="3032">
        <f>ROUND(F11/F12,4)</f>
        <v>1.1521999999999999</v>
      </c>
      <c r="D18" s="3033"/>
      <c r="E18" s="3033"/>
      <c r="F18" s="3034"/>
    </row>
    <row r="19" spans="1:13" ht="14.25" thickBot="1"/>
    <row r="20" spans="1:13" s="3069" customFormat="1" ht="14.25" thickTop="1">
      <c r="A20" s="3066" t="s">
        <v>2521</v>
      </c>
      <c r="B20" s="3067"/>
      <c r="C20" s="3067"/>
      <c r="D20" s="3067"/>
      <c r="E20" s="3067"/>
      <c r="F20" s="3067"/>
      <c r="G20" s="3068"/>
      <c r="I20" s="3070" t="s">
        <v>2566</v>
      </c>
      <c r="J20" s="3070" t="s">
        <v>2571</v>
      </c>
      <c r="K20" s="3070"/>
      <c r="L20" s="3070"/>
      <c r="M20" s="3070"/>
    </row>
    <row r="21" spans="1:13">
      <c r="A21" s="3035"/>
      <c r="B21" s="3036" t="s">
        <v>2522</v>
      </c>
      <c r="C21" s="3036" t="s">
        <v>2523</v>
      </c>
      <c r="D21" s="3036" t="s">
        <v>2524</v>
      </c>
      <c r="E21" s="3036" t="s">
        <v>2525</v>
      </c>
      <c r="F21" s="3036" t="s">
        <v>2526</v>
      </c>
      <c r="G21" s="3037" t="s">
        <v>2527</v>
      </c>
      <c r="I21" s="3058">
        <v>5</v>
      </c>
      <c r="J21" s="3058">
        <v>54.2</v>
      </c>
    </row>
    <row r="22" spans="1:13">
      <c r="A22" s="3035" t="s">
        <v>2528</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2529</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2569</v>
      </c>
      <c r="M23" s="3058" t="s">
        <v>2570</v>
      </c>
    </row>
    <row r="24" spans="1:13">
      <c r="A24" s="3035" t="s">
        <v>2530</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2568</v>
      </c>
      <c r="M24" s="3058">
        <v>10</v>
      </c>
    </row>
    <row r="25" spans="1:13">
      <c r="A25" s="3035" t="s">
        <v>2531</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2572</v>
      </c>
      <c r="M25" s="3058">
        <v>8</v>
      </c>
    </row>
    <row r="26" spans="1:13">
      <c r="A26" s="3040"/>
      <c r="B26" s="3041"/>
      <c r="C26" s="3041"/>
      <c r="D26" s="3041"/>
      <c r="E26" s="3041"/>
      <c r="F26" s="3041"/>
      <c r="G26" s="3042"/>
      <c r="I26" s="3058">
        <v>30</v>
      </c>
      <c r="J26" s="3058">
        <v>90.5</v>
      </c>
      <c r="K26" s="3058">
        <f t="shared" si="2"/>
        <v>4.2000000000000028</v>
      </c>
      <c r="L26" s="3058" t="s">
        <v>2573</v>
      </c>
      <c r="M26" s="3058">
        <v>5</v>
      </c>
    </row>
    <row r="27" spans="1:13">
      <c r="A27" s="3040" t="s">
        <v>2532</v>
      </c>
      <c r="B27" s="3041"/>
      <c r="C27" s="3041"/>
      <c r="D27" s="3041"/>
      <c r="E27" s="3041"/>
      <c r="F27" s="3041"/>
      <c r="G27" s="3042"/>
      <c r="I27" s="3058">
        <v>35</v>
      </c>
      <c r="J27" s="3058">
        <v>93.8</v>
      </c>
      <c r="K27" s="3058">
        <f t="shared" si="2"/>
        <v>3.2999999999999972</v>
      </c>
      <c r="L27" s="3058" t="s">
        <v>2574</v>
      </c>
      <c r="M27" s="3058">
        <v>3</v>
      </c>
    </row>
    <row r="28" spans="1:13">
      <c r="A28" s="3040" t="s">
        <v>2533</v>
      </c>
      <c r="B28" s="3041"/>
      <c r="C28" s="3041"/>
      <c r="D28" s="3041"/>
      <c r="E28" s="3041"/>
      <c r="F28" s="3041"/>
      <c r="G28" s="3042"/>
      <c r="I28" s="3058">
        <v>40</v>
      </c>
      <c r="J28" s="3058">
        <v>96.4</v>
      </c>
      <c r="K28" s="3058">
        <f t="shared" si="2"/>
        <v>2.6000000000000085</v>
      </c>
      <c r="L28" s="3058" t="s">
        <v>2575</v>
      </c>
      <c r="M28" s="3058">
        <v>2</v>
      </c>
    </row>
    <row r="29" spans="1:13">
      <c r="A29" s="3040" t="s">
        <v>2534</v>
      </c>
      <c r="B29" s="3041"/>
      <c r="C29" s="3041"/>
      <c r="D29" s="3041"/>
      <c r="E29" s="3041"/>
      <c r="F29" s="3041"/>
      <c r="G29" s="3042"/>
      <c r="I29" s="3058">
        <v>45</v>
      </c>
      <c r="J29" s="3058">
        <v>98.4</v>
      </c>
      <c r="K29" s="3058">
        <f t="shared" si="2"/>
        <v>2</v>
      </c>
    </row>
    <row r="30" spans="1:13">
      <c r="A30" s="3040" t="s">
        <v>2535</v>
      </c>
      <c r="B30" s="3041"/>
      <c r="C30" s="3041"/>
      <c r="D30" s="3041"/>
      <c r="E30" s="3041"/>
      <c r="F30" s="3041"/>
      <c r="G30" s="3042"/>
      <c r="I30" s="3058">
        <v>50</v>
      </c>
      <c r="J30" s="3058">
        <v>100</v>
      </c>
      <c r="K30" s="3058">
        <f t="shared" si="2"/>
        <v>1.5999999999999943</v>
      </c>
    </row>
    <row r="31" spans="1:13">
      <c r="A31" s="3040" t="s">
        <v>2536</v>
      </c>
      <c r="B31" s="3041"/>
      <c r="C31" s="3041"/>
      <c r="D31" s="3041"/>
      <c r="E31" s="3041"/>
      <c r="F31" s="3041"/>
      <c r="G31" s="3042"/>
      <c r="I31" s="3058" t="s">
        <v>2567</v>
      </c>
    </row>
    <row r="32" spans="1:13">
      <c r="A32" s="3040" t="s">
        <v>2537</v>
      </c>
      <c r="B32" s="3041"/>
      <c r="C32" s="3041"/>
      <c r="D32" s="3041"/>
      <c r="E32" s="3041"/>
      <c r="F32" s="3041"/>
      <c r="G32" s="3042"/>
    </row>
    <row r="33" spans="1:13">
      <c r="A33" s="3040" t="s">
        <v>2538</v>
      </c>
      <c r="B33" s="3041"/>
      <c r="C33" s="3041"/>
      <c r="D33" s="3041"/>
      <c r="E33" s="3041"/>
      <c r="F33" s="3041"/>
      <c r="G33" s="3042"/>
      <c r="I33" s="3058" t="s">
        <v>2566</v>
      </c>
      <c r="J33" s="3058" t="s">
        <v>2576</v>
      </c>
    </row>
    <row r="34" spans="1:13">
      <c r="A34" s="3040" t="s">
        <v>2539</v>
      </c>
      <c r="B34" s="3041"/>
      <c r="C34" s="3041"/>
      <c r="D34" s="3041"/>
      <c r="E34" s="3041"/>
      <c r="F34" s="3041"/>
      <c r="G34" s="3042"/>
      <c r="I34" s="3058">
        <v>5</v>
      </c>
      <c r="J34" s="3058">
        <v>55.1</v>
      </c>
    </row>
    <row r="35" spans="1:13">
      <c r="A35" s="3040" t="s">
        <v>2540</v>
      </c>
      <c r="B35" s="3041"/>
      <c r="C35" s="3041"/>
      <c r="D35" s="3041"/>
      <c r="E35" s="3041"/>
      <c r="F35" s="3041"/>
      <c r="G35" s="3042"/>
      <c r="I35" s="3058">
        <v>10</v>
      </c>
      <c r="J35" s="3058">
        <v>67</v>
      </c>
      <c r="K35" s="3058">
        <f>J35-J34</f>
        <v>11.899999999999999</v>
      </c>
    </row>
    <row r="36" spans="1:13">
      <c r="A36" s="3040" t="s">
        <v>2541</v>
      </c>
      <c r="B36" s="3041"/>
      <c r="C36" s="3041"/>
      <c r="D36" s="3041"/>
      <c r="E36" s="3041"/>
      <c r="F36" s="3041"/>
      <c r="G36" s="3042"/>
      <c r="I36" s="3058">
        <v>15</v>
      </c>
      <c r="J36" s="3058">
        <v>76.3</v>
      </c>
      <c r="K36" s="3058">
        <f t="shared" ref="K36:K41" si="3">J36-J35</f>
        <v>9.2999999999999972</v>
      </c>
      <c r="L36" s="3058" t="s">
        <v>2569</v>
      </c>
      <c r="M36" s="3058" t="s">
        <v>2570</v>
      </c>
    </row>
    <row r="37" spans="1:13">
      <c r="A37" s="3040" t="s">
        <v>2542</v>
      </c>
      <c r="B37" s="3041"/>
      <c r="C37" s="3041"/>
      <c r="D37" s="3041"/>
      <c r="E37" s="3041"/>
      <c r="F37" s="3041"/>
      <c r="G37" s="3042"/>
      <c r="I37" s="3058">
        <v>20</v>
      </c>
      <c r="J37" s="3058">
        <v>83.6</v>
      </c>
      <c r="K37" s="3058">
        <f t="shared" si="3"/>
        <v>7.2999999999999972</v>
      </c>
      <c r="L37" s="3058" t="s">
        <v>2568</v>
      </c>
      <c r="M37" s="3058">
        <v>10</v>
      </c>
    </row>
    <row r="38" spans="1:13">
      <c r="A38" s="3040" t="s">
        <v>2543</v>
      </c>
      <c r="B38" s="3041"/>
      <c r="C38" s="3041"/>
      <c r="D38" s="3041"/>
      <c r="E38" s="3041"/>
      <c r="F38" s="3041"/>
      <c r="G38" s="3042"/>
      <c r="I38" s="3058">
        <v>25</v>
      </c>
      <c r="J38" s="3058">
        <v>89.3</v>
      </c>
      <c r="K38" s="3058">
        <f t="shared" si="3"/>
        <v>5.7000000000000028</v>
      </c>
      <c r="L38" s="3058" t="s">
        <v>2572</v>
      </c>
      <c r="M38" s="3058">
        <v>8</v>
      </c>
    </row>
    <row r="39" spans="1:13">
      <c r="A39" s="3040"/>
      <c r="B39" s="3041"/>
      <c r="C39" s="3041"/>
      <c r="D39" s="3041"/>
      <c r="E39" s="3041"/>
      <c r="F39" s="3041"/>
      <c r="G39" s="3042"/>
      <c r="I39" s="3058">
        <v>30</v>
      </c>
      <c r="J39" s="3058">
        <v>93.8</v>
      </c>
      <c r="K39" s="3058">
        <f t="shared" si="3"/>
        <v>4.5</v>
      </c>
      <c r="L39" s="3058" t="s">
        <v>2573</v>
      </c>
      <c r="M39" s="3058">
        <v>6</v>
      </c>
    </row>
    <row r="40" spans="1:13">
      <c r="A40" s="3043" t="s">
        <v>2544</v>
      </c>
      <c r="B40" s="3044"/>
      <c r="C40" s="3044"/>
      <c r="D40" s="3044"/>
      <c r="E40" s="3044"/>
      <c r="F40" s="3044"/>
      <c r="G40" s="3045"/>
      <c r="I40" s="3058">
        <v>35</v>
      </c>
      <c r="J40" s="3058">
        <v>97.2</v>
      </c>
      <c r="K40" s="3058">
        <f t="shared" si="3"/>
        <v>3.4000000000000057</v>
      </c>
      <c r="L40" s="3058" t="s">
        <v>2574</v>
      </c>
      <c r="M40" s="3058">
        <v>3</v>
      </c>
    </row>
    <row r="41" spans="1:13">
      <c r="A41" s="3046" t="s">
        <v>2545</v>
      </c>
      <c r="B41" s="3047" t="s">
        <v>2546</v>
      </c>
      <c r="C41" s="3048" t="s">
        <v>2547</v>
      </c>
      <c r="D41" s="3048" t="s">
        <v>2548</v>
      </c>
      <c r="E41" s="3049"/>
      <c r="F41" s="3050"/>
      <c r="G41" s="3051"/>
      <c r="I41" s="3058">
        <v>40</v>
      </c>
      <c r="J41" s="3058">
        <v>100</v>
      </c>
      <c r="K41" s="3058">
        <f t="shared" si="3"/>
        <v>2.7999999999999972</v>
      </c>
    </row>
    <row r="42" spans="1:13">
      <c r="A42" s="3046" t="s">
        <v>2549</v>
      </c>
      <c r="B42" s="3047" t="s">
        <v>2550</v>
      </c>
      <c r="C42" s="3048" t="s">
        <v>2551</v>
      </c>
      <c r="D42" s="3052" t="s">
        <v>2552</v>
      </c>
      <c r="E42" s="3044" t="s">
        <v>2553</v>
      </c>
      <c r="F42" s="3044"/>
      <c r="G42" s="3045"/>
    </row>
    <row r="43" spans="1:13">
      <c r="A43" s="3046" t="s">
        <v>2554</v>
      </c>
      <c r="B43" s="3047" t="s">
        <v>2555</v>
      </c>
      <c r="C43" s="3048" t="s">
        <v>2556</v>
      </c>
      <c r="D43" s="3048" t="s">
        <v>2557</v>
      </c>
      <c r="E43" s="3049" t="s">
        <v>2558</v>
      </c>
      <c r="F43" s="3050"/>
      <c r="G43" s="3051"/>
      <c r="I43" s="3058" t="s">
        <v>2566</v>
      </c>
      <c r="J43" s="3058" t="s">
        <v>2577</v>
      </c>
    </row>
    <row r="44" spans="1:13">
      <c r="A44" s="3046" t="s">
        <v>2559</v>
      </c>
      <c r="B44" s="3047" t="s">
        <v>2560</v>
      </c>
      <c r="C44" s="3048" t="s">
        <v>2561</v>
      </c>
      <c r="D44" s="3052">
        <v>0.5</v>
      </c>
      <c r="E44" s="3049" t="s">
        <v>2562</v>
      </c>
      <c r="F44" s="3050"/>
      <c r="G44" s="3051"/>
      <c r="I44" s="3058">
        <v>30</v>
      </c>
      <c r="J44" s="3058">
        <v>81.7</v>
      </c>
    </row>
    <row r="45" spans="1:13" ht="14.25" thickBot="1">
      <c r="A45" s="3053" t="s">
        <v>2563</v>
      </c>
      <c r="B45" s="3054" t="s">
        <v>2550</v>
      </c>
      <c r="C45" s="3055" t="s">
        <v>2550</v>
      </c>
      <c r="D45" s="3055" t="s">
        <v>2564</v>
      </c>
      <c r="E45" s="3056" t="s">
        <v>2565</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4" sqref="D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9" t="str">
        <f>IF(B10="北京市","北京市",C10)&amp;F10&amp;IF(结果表!G1="在建","出让国有建设用地使用权及在建建筑物",IF(结果表!G1="土地","出让国有建设用地使用权",))&amp;B9&amp;"预评估"</f>
        <v>预评估</v>
      </c>
      <c r="C1" s="3500"/>
      <c r="D1" s="3500"/>
      <c r="E1" s="3500"/>
      <c r="F1" s="3500"/>
      <c r="G1" s="3500"/>
      <c r="H1" s="3500"/>
      <c r="I1" s="3501"/>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房地产</v>
      </c>
      <c r="T2" s="1745"/>
      <c r="U2" s="1745"/>
      <c r="V2" s="1745"/>
      <c r="W2" s="1745"/>
      <c r="X2" s="1745"/>
      <c r="Y2" s="1745"/>
      <c r="Z2" s="1745"/>
      <c r="AA2" s="1745"/>
      <c r="AB2" s="1745"/>
    </row>
    <row r="3" spans="1:30">
      <c r="A3" s="302" t="s">
        <v>2170</v>
      </c>
      <c r="B3" s="2373"/>
      <c r="C3" s="2374" t="s">
        <v>2171</v>
      </c>
      <c r="D3" s="2373">
        <v>45604</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c r="C8" s="2390"/>
      <c r="D8" s="3502" t="s">
        <v>2177</v>
      </c>
      <c r="E8" s="2391"/>
      <c r="F8" s="2392"/>
      <c r="G8" s="2663"/>
      <c r="H8" s="2663"/>
      <c r="I8" s="2663"/>
      <c r="J8" s="2439"/>
      <c r="K8" s="2614"/>
      <c r="L8" s="2613"/>
      <c r="M8" s="2613"/>
      <c r="N8" s="2439"/>
      <c r="O8" s="2450"/>
      <c r="P8" s="2439"/>
      <c r="Q8" s="2439"/>
      <c r="R8" s="2439"/>
    </row>
    <row r="9" spans="1:30" ht="13.5" thickBot="1">
      <c r="A9" s="2393" t="s">
        <v>2178</v>
      </c>
      <c r="B9" s="2394"/>
      <c r="C9" s="2395"/>
      <c r="D9" s="3503"/>
      <c r="E9" s="2394"/>
      <c r="F9" s="2396"/>
      <c r="G9" s="2665"/>
      <c r="H9" s="2665"/>
      <c r="I9" s="2665"/>
      <c r="J9" s="2439"/>
      <c r="K9" s="2616"/>
      <c r="L9" s="2613"/>
      <c r="M9" s="2613"/>
      <c r="N9" s="2439"/>
      <c r="O9" s="2450"/>
      <c r="P9" s="2439"/>
      <c r="Q9" s="2439"/>
      <c r="R9" s="2439"/>
    </row>
    <row r="10" spans="1:30" ht="13.5" thickTop="1">
      <c r="A10" s="2397" t="s">
        <v>2179</v>
      </c>
      <c r="B10" s="2398"/>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2578</v>
      </c>
      <c r="J12" s="3062"/>
      <c r="K12" s="2613"/>
      <c r="L12" s="2613"/>
      <c r="M12" s="2439"/>
      <c r="N12" s="2450"/>
      <c r="O12" s="2439"/>
      <c r="P12" s="2439"/>
      <c r="Q12" s="2439"/>
      <c r="AD12" s="1745"/>
    </row>
    <row r="13" spans="1:30">
      <c r="A13" s="3423" t="s">
        <v>3334</v>
      </c>
      <c r="B13" s="2407" t="s">
        <v>2190</v>
      </c>
      <c r="C13" s="856"/>
      <c r="D13" s="856"/>
      <c r="E13" s="856"/>
      <c r="F13" s="856"/>
      <c r="G13" s="856"/>
      <c r="H13" s="856"/>
      <c r="I13" s="856"/>
      <c r="J13" s="3062"/>
      <c r="K13" s="2613"/>
      <c r="L13" s="2613"/>
      <c r="M13" s="2439"/>
      <c r="N13" s="2450"/>
      <c r="O13" s="2439"/>
      <c r="P13" s="2439"/>
      <c r="Q13" s="2439"/>
      <c r="AD13" s="1745"/>
    </row>
    <row r="14" spans="1:30">
      <c r="A14" s="1081"/>
      <c r="B14" s="2407" t="s">
        <v>2191</v>
      </c>
      <c r="C14" s="2408"/>
      <c r="D14" s="2408"/>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09"/>
      <c r="C16" s="3510"/>
      <c r="D16" s="3511"/>
      <c r="E16" s="2413" t="s">
        <v>2194</v>
      </c>
      <c r="F16" s="3512"/>
      <c r="G16" s="3513"/>
      <c r="H16" s="3513"/>
      <c r="I16" s="3514"/>
      <c r="J16" s="2439"/>
      <c r="K16" s="2617"/>
      <c r="L16" s="2451"/>
      <c r="M16" s="2451"/>
      <c r="N16" s="2509"/>
      <c r="O16" s="2451"/>
      <c r="P16" s="2509"/>
      <c r="Q16" s="2439"/>
      <c r="R16" s="2439"/>
    </row>
    <row r="17" spans="1:28">
      <c r="A17" s="313" t="s">
        <v>2195</v>
      </c>
      <c r="B17" s="302" t="s">
        <v>2196</v>
      </c>
      <c r="C17" s="8">
        <f>'数据-汇总表'!E3</f>
        <v>0</v>
      </c>
      <c r="D17" s="2322" t="s">
        <v>2197</v>
      </c>
      <c r="E17" s="3515" t="s">
        <v>2198</v>
      </c>
      <c r="F17" s="3516"/>
      <c r="G17" s="3516"/>
      <c r="H17" s="3516"/>
      <c r="I17" s="3517"/>
      <c r="J17" s="2439"/>
      <c r="K17" s="2618"/>
      <c r="L17" s="2451"/>
      <c r="M17" s="2451"/>
      <c r="N17" s="2509"/>
      <c r="O17" s="2451"/>
      <c r="P17" s="2509"/>
      <c r="Q17" s="2439"/>
      <c r="R17" s="2439"/>
      <c r="S17" s="2439"/>
      <c r="T17" s="2439"/>
      <c r="U17" s="2439"/>
      <c r="V17" s="2439"/>
    </row>
    <row r="18" spans="1:28" ht="24.75" thickBot="1">
      <c r="A18" s="2414" t="s">
        <v>2199</v>
      </c>
      <c r="B18" s="1090" t="s">
        <v>2200</v>
      </c>
      <c r="C18" s="2415" t="e">
        <f>'数据-汇总表'!D3</f>
        <v>#DIV/0!</v>
      </c>
      <c r="D18" s="1092" t="s">
        <v>2201</v>
      </c>
      <c r="E18" s="3518" t="s">
        <v>2202</v>
      </c>
      <c r="F18" s="3519"/>
      <c r="G18" s="3519"/>
      <c r="H18" s="3519"/>
      <c r="I18" s="3520"/>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5" t="s">
        <v>2206</v>
      </c>
      <c r="C20" s="3506"/>
      <c r="D20" s="3507" t="s">
        <v>2207</v>
      </c>
      <c r="E20" s="3508"/>
      <c r="F20" s="2647" t="s">
        <v>1056</v>
      </c>
      <c r="G20" s="2664"/>
      <c r="H20" s="2664"/>
      <c r="I20" s="2664"/>
      <c r="J20" s="2439"/>
      <c r="K20" s="350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2"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2"/>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2"/>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3"/>
      <c r="B30" s="302" t="s">
        <v>2218</v>
      </c>
      <c r="C30" s="3494"/>
      <c r="D30" s="3495"/>
      <c r="E30" s="2664"/>
      <c r="F30" s="2664"/>
      <c r="G30" s="2664"/>
      <c r="H30" s="2664"/>
      <c r="I30" s="2664"/>
      <c r="J30" s="2439"/>
      <c r="K30" s="2616"/>
      <c r="L30" s="2613"/>
      <c r="M30" s="2613"/>
      <c r="N30" s="2439"/>
      <c r="O30" s="2450"/>
      <c r="P30" s="2439"/>
      <c r="Q30" s="2439"/>
      <c r="R30" s="2439"/>
      <c r="S30" s="2439"/>
      <c r="T30" s="2439"/>
      <c r="U30" s="2439"/>
      <c r="V30" s="2439"/>
    </row>
    <row r="31" spans="1:28">
      <c r="A31" s="3496"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497"/>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497"/>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1" t="s">
        <v>2228</v>
      </c>
      <c r="T34" s="2428" t="str">
        <f>NUMBERSTRING(7-K34,1)&amp;"通"</f>
        <v>七通</v>
      </c>
      <c r="U34" s="2439"/>
      <c r="V34" s="2439"/>
    </row>
    <row r="35" spans="1:30">
      <c r="A35" s="2429"/>
      <c r="B35" s="3498" t="s">
        <v>2229</v>
      </c>
      <c r="C35" s="3498"/>
      <c r="D35" s="3498"/>
      <c r="E35" s="3498"/>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1"/>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2581</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7" sqref="I1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0</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0</v>
      </c>
      <c r="H5" s="13">
        <f t="shared" ref="H5:AT5" si="0">SUM(H13:H656)</f>
        <v>0</v>
      </c>
      <c r="I5" s="13">
        <f t="shared" si="0"/>
        <v>0</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0</v>
      </c>
      <c r="BA5" s="15">
        <f t="shared" si="1"/>
        <v>0</v>
      </c>
      <c r="BB5" s="15">
        <f t="shared" si="1"/>
        <v>0</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t="e">
        <f>H6+AC6+AT6</f>
        <v>#DIV/0!</v>
      </c>
      <c r="F6" s="13" t="s">
        <v>0</v>
      </c>
      <c r="G6" s="13" t="s">
        <v>1</v>
      </c>
      <c r="H6" s="17" t="e">
        <f>SUMIF(I$12:AB$12,"总值",I6:AB6)</f>
        <v>#DIV/0!</v>
      </c>
      <c r="I6" s="13" t="e">
        <f t="shared" ref="I6:AB6" si="2">ROUND($A$3*I5/$B$3,2)</f>
        <v>#DIV/0!</v>
      </c>
      <c r="J6" s="13" t="e">
        <f t="shared" si="2"/>
        <v>#DIV/0!</v>
      </c>
      <c r="K6" s="13" t="e">
        <f t="shared" si="2"/>
        <v>#DIV/0!</v>
      </c>
      <c r="L6" s="13" t="e">
        <f t="shared" si="2"/>
        <v>#DIV/0!</v>
      </c>
      <c r="M6" s="13" t="e">
        <f t="shared" si="2"/>
        <v>#DIV/0!</v>
      </c>
      <c r="N6" s="13" t="e">
        <f t="shared" si="2"/>
        <v>#DIV/0!</v>
      </c>
      <c r="O6" s="13" t="e">
        <f t="shared" si="2"/>
        <v>#DIV/0!</v>
      </c>
      <c r="P6" s="13" t="e">
        <f t="shared" si="2"/>
        <v>#DIV/0!</v>
      </c>
      <c r="Q6" s="13" t="e">
        <f t="shared" si="2"/>
        <v>#DIV/0!</v>
      </c>
      <c r="R6" s="13" t="e">
        <f t="shared" si="2"/>
        <v>#DIV/0!</v>
      </c>
      <c r="S6" s="13" t="e">
        <f t="shared" si="2"/>
        <v>#DIV/0!</v>
      </c>
      <c r="T6" s="13" t="e">
        <f t="shared" si="2"/>
        <v>#DIV/0!</v>
      </c>
      <c r="U6" s="13" t="e">
        <f t="shared" si="2"/>
        <v>#DIV/0!</v>
      </c>
      <c r="V6" s="13" t="e">
        <f t="shared" si="2"/>
        <v>#DIV/0!</v>
      </c>
      <c r="W6" s="13" t="e">
        <f t="shared" si="2"/>
        <v>#DIV/0!</v>
      </c>
      <c r="X6" s="13" t="e">
        <f t="shared" si="2"/>
        <v>#DIV/0!</v>
      </c>
      <c r="Y6" s="13" t="e">
        <f t="shared" si="2"/>
        <v>#DIV/0!</v>
      </c>
      <c r="Z6" s="13" t="e">
        <f t="shared" si="2"/>
        <v>#DIV/0!</v>
      </c>
      <c r="AA6" s="13" t="e">
        <f t="shared" si="2"/>
        <v>#DIV/0!</v>
      </c>
      <c r="AB6" s="13" t="e">
        <f t="shared" si="2"/>
        <v>#DIV/0!</v>
      </c>
      <c r="AC6" s="17" t="e">
        <f>SUMIF(AD$12:AS$12,"总值",AD6:AS6)</f>
        <v>#DIV/0!</v>
      </c>
      <c r="AD6" s="13" t="e">
        <f t="shared" ref="AD6:AS6" si="3">ROUND($A$3*AD5/$B$3,2)</f>
        <v>#DIV/0!</v>
      </c>
      <c r="AE6" s="13" t="e">
        <f t="shared" si="3"/>
        <v>#DIV/0!</v>
      </c>
      <c r="AF6" s="13" t="e">
        <f t="shared" si="3"/>
        <v>#DIV/0!</v>
      </c>
      <c r="AG6" s="13" t="e">
        <f t="shared" si="3"/>
        <v>#DIV/0!</v>
      </c>
      <c r="AH6" s="13" t="e">
        <f t="shared" si="3"/>
        <v>#DIV/0!</v>
      </c>
      <c r="AI6" s="13" t="e">
        <f t="shared" si="3"/>
        <v>#DIV/0!</v>
      </c>
      <c r="AJ6" s="13" t="e">
        <f t="shared" si="3"/>
        <v>#DIV/0!</v>
      </c>
      <c r="AK6" s="13" t="e">
        <f t="shared" si="3"/>
        <v>#DIV/0!</v>
      </c>
      <c r="AL6" s="13" t="e">
        <f t="shared" si="3"/>
        <v>#DIV/0!</v>
      </c>
      <c r="AM6" s="13" t="e">
        <f t="shared" si="3"/>
        <v>#DIV/0!</v>
      </c>
      <c r="AN6" s="13" t="e">
        <f t="shared" si="3"/>
        <v>#DIV/0!</v>
      </c>
      <c r="AO6" s="13" t="e">
        <f t="shared" si="3"/>
        <v>#DIV/0!</v>
      </c>
      <c r="AP6" s="13" t="e">
        <f t="shared" si="3"/>
        <v>#DIV/0!</v>
      </c>
      <c r="AQ6" s="13" t="e">
        <f t="shared" si="3"/>
        <v>#DIV/0!</v>
      </c>
      <c r="AR6" s="13" t="e">
        <f t="shared" si="3"/>
        <v>#DIV/0!</v>
      </c>
      <c r="AS6" s="13" t="e">
        <f t="shared" si="3"/>
        <v>#DIV/0!</v>
      </c>
      <c r="AT6" s="17">
        <f>IF(C3="是",ROUND($A$3*AT5/$B$3,2),0)</f>
        <v>0</v>
      </c>
      <c r="AU6" s="1588"/>
      <c r="AV6" s="12" t="s">
        <v>1072</v>
      </c>
      <c r="AW6" s="1586"/>
      <c r="AX6" s="1586"/>
      <c r="AY6" s="18" t="e">
        <f>IF(AY3&gt;0,AY3,ROUND($A$3*AZ5/$B$3,2))</f>
        <v>#DIV/0!</v>
      </c>
      <c r="AZ6" s="13" t="s">
        <v>2</v>
      </c>
      <c r="BA6" s="13" t="e">
        <f>ROUND($AY$6*BA5/$AZ$5,2)</f>
        <v>#DIV/0!</v>
      </c>
      <c r="BB6" s="13" t="e">
        <f>ROUND($AY$6*BB5/$AZ$5,2)</f>
        <v>#DIV/0!</v>
      </c>
      <c r="BC6" s="13" t="e">
        <f t="shared" ref="BC6:BH6" si="4">ROUND($AY$6*BC5/$AZ$5,2)</f>
        <v>#DIV/0!</v>
      </c>
      <c r="BD6" s="13" t="e">
        <f t="shared" si="4"/>
        <v>#DIV/0!</v>
      </c>
      <c r="BE6" s="13" t="e">
        <f t="shared" si="4"/>
        <v>#DIV/0!</v>
      </c>
      <c r="BF6" s="13" t="e">
        <f t="shared" si="4"/>
        <v>#DIV/0!</v>
      </c>
      <c r="BG6" s="13" t="e">
        <f t="shared" si="4"/>
        <v>#DIV/0!</v>
      </c>
      <c r="BH6" s="13" t="e">
        <f t="shared" si="4"/>
        <v>#DIV/0!</v>
      </c>
      <c r="BI6" s="13" t="e">
        <f t="shared" ref="BI6:BT6" si="5">ROUND($AY$6*BI5/$AZ$5,2)</f>
        <v>#DIV/0!</v>
      </c>
      <c r="BJ6" s="13" t="e">
        <f t="shared" si="5"/>
        <v>#DIV/0!</v>
      </c>
      <c r="BK6" s="13" t="e">
        <f t="shared" si="5"/>
        <v>#DIV/0!</v>
      </c>
      <c r="BL6" s="13" t="e">
        <f t="shared" si="5"/>
        <v>#DIV/0!</v>
      </c>
      <c r="BM6" s="13" t="e">
        <f t="shared" si="5"/>
        <v>#DIV/0!</v>
      </c>
      <c r="BN6" s="13" t="e">
        <f t="shared" si="5"/>
        <v>#DIV/0!</v>
      </c>
      <c r="BO6" s="13" t="e">
        <f t="shared" si="5"/>
        <v>#DIV/0!</v>
      </c>
      <c r="BP6" s="13" t="e">
        <f t="shared" si="5"/>
        <v>#DIV/0!</v>
      </c>
      <c r="BQ6" s="13" t="e">
        <f t="shared" si="5"/>
        <v>#DIV/0!</v>
      </c>
      <c r="BR6" s="13" t="e">
        <f t="shared" si="5"/>
        <v>#DIV/0!</v>
      </c>
      <c r="BS6" s="13" t="e">
        <f t="shared" si="5"/>
        <v>#DIV/0!</v>
      </c>
      <c r="BT6" s="19" t="e">
        <f t="shared" si="5"/>
        <v>#DIV/0!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f>I9</f>
        <v>0</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f>I10</f>
        <v>0</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c r="E13" s="13" t="e">
        <f>IF($C$3="是",ROUND($A$3*G13/$B$3,2),ROUND($A$3*(G13-AT13)/$B$3,2))</f>
        <v>#DIV/0!</v>
      </c>
      <c r="F13" s="29"/>
      <c r="G13" s="30">
        <f>H13+AC13+AT13</f>
        <v>0</v>
      </c>
      <c r="H13" s="17">
        <f>SUMIF(I$12:AB$12,"总值",I13:AB13)</f>
        <v>0</v>
      </c>
      <c r="I13" s="1626"/>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t="e">
        <f>ROUND($AY$6*AZ13/$AZ$5,2)</f>
        <v>#DIV/0!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t="e">
        <f>IF($C$3="是",ROUND($A$3*G14/$B$3,2),ROUND($A$3*(G14-AT14)/$B$3,2))</f>
        <v>#DIV/0!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t="e">
        <f>ROUND($AY$6*AZ14/$AZ$5,2)</f>
        <v>#DIV/0!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t="e">
        <f>IF($C$3="是",ROUND($A$3*G15/$B$3,2),ROUND($A$3*(G15-AT15)/$B$3,2))</f>
        <v>#DIV/0!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t="e">
        <f>ROUND($AY$6*AZ15/$AZ$5,2)</f>
        <v>#DIV/0!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t="e">
        <f>IF($C$3="是",ROUND($A$3*G16/$B$3,2),ROUND($A$3*(G16-AT16)/$B$3,2))</f>
        <v>#DIV/0!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t="e">
        <f>ROUND($AY$6*AZ16/$AZ$5,2)</f>
        <v>#DIV/0!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t="e">
        <f>IF($C$3="是",ROUND($A$3*G17/$B$3,2),ROUND($A$3*(G17-AT17)/$B$3,2))</f>
        <v>#DIV/0!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t="e">
        <f>ROUND($AY$6*AZ17/$AZ$5,2)</f>
        <v>#DIV/0!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t="e">
        <f t="shared" ref="E18:E112" si="7">IF($C$3="是",ROUND($A$3*G18/$B$3,2),ROUND($A$3*(G18-AT18)/$B$3,2))</f>
        <v>#DIV/0!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t="e">
        <f t="shared" ref="AY18:AY109" si="14">ROUND($AY$6*AZ18/$AZ$5,2)</f>
        <v>#DIV/0!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t="e">
        <f t="shared" si="7"/>
        <v>#DIV/0!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t="e">
        <f t="shared" si="14"/>
        <v>#DIV/0!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t="e">
        <f t="shared" si="7"/>
        <v>#DIV/0!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t="e">
        <f t="shared" si="14"/>
        <v>#DIV/0!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t="e">
        <f t="shared" si="7"/>
        <v>#DIV/0!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t="e">
        <f t="shared" si="14"/>
        <v>#DIV/0!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t="e">
        <f t="shared" si="7"/>
        <v>#DIV/0!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t="e">
        <f t="shared" si="14"/>
        <v>#DIV/0!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t="e">
        <f t="shared" si="7"/>
        <v>#DIV/0!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t="e">
        <f t="shared" si="14"/>
        <v>#DIV/0!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t="e">
        <f t="shared" si="7"/>
        <v>#DIV/0!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t="e">
        <f t="shared" si="14"/>
        <v>#DIV/0!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t="e">
        <f t="shared" si="7"/>
        <v>#DIV/0!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t="e">
        <f t="shared" si="14"/>
        <v>#DIV/0!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t="e">
        <f t="shared" si="7"/>
        <v>#DIV/0!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t="e">
        <f t="shared" si="14"/>
        <v>#DIV/0!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t="e">
        <f t="shared" si="7"/>
        <v>#DIV/0!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t="e">
        <f t="shared" si="14"/>
        <v>#DIV/0!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t="e">
        <f t="shared" si="7"/>
        <v>#DIV/0!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t="e">
        <f t="shared" si="14"/>
        <v>#DIV/0!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t="e">
        <f t="shared" si="7"/>
        <v>#DIV/0!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t="e">
        <f t="shared" si="14"/>
        <v>#DIV/0!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t="e">
        <f t="shared" si="7"/>
        <v>#DIV/0!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t="e">
        <f t="shared" si="14"/>
        <v>#DIV/0!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t="e">
        <f t="shared" si="7"/>
        <v>#DIV/0!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t="e">
        <f t="shared" si="14"/>
        <v>#DIV/0!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t="e">
        <f t="shared" si="7"/>
        <v>#DIV/0!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t="e">
        <f t="shared" si="14"/>
        <v>#DIV/0!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t="e">
        <f t="shared" si="7"/>
        <v>#DIV/0!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t="e">
        <f t="shared" si="14"/>
        <v>#DIV/0!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t="e">
        <f t="shared" si="7"/>
        <v>#DIV/0!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t="e">
        <f t="shared" si="14"/>
        <v>#DIV/0!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t="e">
        <f t="shared" si="7"/>
        <v>#DIV/0!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t="e">
        <f t="shared" si="14"/>
        <v>#DIV/0!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t="e">
        <f t="shared" si="7"/>
        <v>#DIV/0!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t="e">
        <f t="shared" si="14"/>
        <v>#DIV/0!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t="e">
        <f t="shared" si="7"/>
        <v>#DIV/0!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t="e">
        <f t="shared" si="14"/>
        <v>#DIV/0!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t="e">
        <f t="shared" si="7"/>
        <v>#DIV/0!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t="e">
        <f t="shared" si="14"/>
        <v>#DIV/0!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t="e">
        <f t="shared" si="7"/>
        <v>#DIV/0!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t="e">
        <f t="shared" si="14"/>
        <v>#DIV/0!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t="e">
        <f t="shared" si="7"/>
        <v>#DIV/0!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t="e">
        <f t="shared" si="14"/>
        <v>#DIV/0!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t="e">
        <f t="shared" si="7"/>
        <v>#DIV/0!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t="e">
        <f t="shared" si="14"/>
        <v>#DIV/0!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t="e">
        <f t="shared" si="7"/>
        <v>#DIV/0!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t="e">
        <f t="shared" si="14"/>
        <v>#DIV/0!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t="e">
        <f t="shared" si="7"/>
        <v>#DIV/0!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t="e">
        <f t="shared" si="14"/>
        <v>#DIV/0!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t="e">
        <f t="shared" si="7"/>
        <v>#DIV/0!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t="e">
        <f t="shared" si="14"/>
        <v>#DIV/0!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t="e">
        <f t="shared" si="7"/>
        <v>#DIV/0!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t="e">
        <f t="shared" si="14"/>
        <v>#DIV/0!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t="e">
        <f t="shared" si="7"/>
        <v>#DIV/0!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t="e">
        <f t="shared" si="14"/>
        <v>#DIV/0!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t="e">
        <f t="shared" si="7"/>
        <v>#DIV/0!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t="e">
        <f t="shared" si="14"/>
        <v>#DIV/0!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t="e">
        <f t="shared" si="7"/>
        <v>#DIV/0!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t="e">
        <f t="shared" si="14"/>
        <v>#DIV/0!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t="e">
        <f t="shared" si="7"/>
        <v>#DIV/0!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t="e">
        <f t="shared" si="14"/>
        <v>#DIV/0!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t="e">
        <f t="shared" si="7"/>
        <v>#DIV/0!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t="e">
        <f t="shared" si="14"/>
        <v>#DIV/0!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t="e">
        <f t="shared" si="7"/>
        <v>#DIV/0!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t="e">
        <f t="shared" si="14"/>
        <v>#DIV/0!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t="e">
        <f t="shared" si="7"/>
        <v>#DIV/0!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t="e">
        <f t="shared" si="14"/>
        <v>#DIV/0!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t="e">
        <f t="shared" si="7"/>
        <v>#DIV/0!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t="e">
        <f t="shared" si="14"/>
        <v>#DIV/0!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t="e">
        <f t="shared" si="7"/>
        <v>#DIV/0!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t="e">
        <f t="shared" si="14"/>
        <v>#DIV/0!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t="e">
        <f t="shared" si="7"/>
        <v>#DIV/0!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t="e">
        <f t="shared" si="14"/>
        <v>#DIV/0!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t="e">
        <f t="shared" si="7"/>
        <v>#DIV/0!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t="e">
        <f t="shared" si="14"/>
        <v>#DIV/0!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t="e">
        <f t="shared" si="7"/>
        <v>#DIV/0!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t="e">
        <f t="shared" si="14"/>
        <v>#DIV/0!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t="e">
        <f t="shared" si="7"/>
        <v>#DIV/0!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t="e">
        <f t="shared" si="14"/>
        <v>#DIV/0!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t="e">
        <f t="shared" si="7"/>
        <v>#DIV/0!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t="e">
        <f t="shared" si="14"/>
        <v>#DIV/0!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t="e">
        <f t="shared" si="7"/>
        <v>#DIV/0!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t="e">
        <f t="shared" si="14"/>
        <v>#DIV/0!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t="e">
        <f t="shared" si="7"/>
        <v>#DIV/0!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t="e">
        <f t="shared" si="14"/>
        <v>#DIV/0!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t="e">
        <f t="shared" si="7"/>
        <v>#DIV/0!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t="e">
        <f t="shared" si="14"/>
        <v>#DIV/0!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t="e">
        <f t="shared" si="7"/>
        <v>#DIV/0!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t="e">
        <f t="shared" si="14"/>
        <v>#DIV/0!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t="e">
        <f t="shared" si="7"/>
        <v>#DIV/0!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t="e">
        <f t="shared" si="14"/>
        <v>#DIV/0!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t="e">
        <f t="shared" si="7"/>
        <v>#DIV/0!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t="e">
        <f t="shared" si="14"/>
        <v>#DIV/0!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t="e">
        <f t="shared" si="7"/>
        <v>#DIV/0!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t="e">
        <f t="shared" si="14"/>
        <v>#DIV/0!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t="e">
        <f t="shared" si="7"/>
        <v>#DIV/0!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t="e">
        <f t="shared" si="14"/>
        <v>#DIV/0!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t="e">
        <f t="shared" si="7"/>
        <v>#DIV/0!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t="e">
        <f t="shared" si="14"/>
        <v>#DIV/0!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t="e">
        <f t="shared" si="7"/>
        <v>#DIV/0!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t="e">
        <f t="shared" si="14"/>
        <v>#DIV/0!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t="e">
        <f t="shared" si="7"/>
        <v>#DIV/0!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t="e">
        <f t="shared" si="14"/>
        <v>#DIV/0!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t="e">
        <f t="shared" si="7"/>
        <v>#DIV/0!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t="e">
        <f t="shared" si="14"/>
        <v>#DIV/0!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t="e">
        <f t="shared" si="7"/>
        <v>#DIV/0!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t="e">
        <f t="shared" si="14"/>
        <v>#DIV/0!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t="e">
        <f t="shared" si="7"/>
        <v>#DIV/0!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t="e">
        <f t="shared" si="14"/>
        <v>#DIV/0!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t="e">
        <f t="shared" si="7"/>
        <v>#DIV/0!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t="e">
        <f t="shared" si="14"/>
        <v>#DIV/0!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t="e">
        <f t="shared" si="7"/>
        <v>#DIV/0!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t="e">
        <f t="shared" si="14"/>
        <v>#DIV/0!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t="e">
        <f t="shared" si="7"/>
        <v>#DIV/0!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t="e">
        <f t="shared" si="14"/>
        <v>#DIV/0!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t="e">
        <f t="shared" si="7"/>
        <v>#DIV/0!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t="e">
        <f t="shared" si="14"/>
        <v>#DIV/0!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t="e">
        <f t="shared" si="7"/>
        <v>#DIV/0!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t="e">
        <f t="shared" si="14"/>
        <v>#DIV/0!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t="e">
        <f t="shared" si="7"/>
        <v>#DIV/0!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t="e">
        <f t="shared" si="14"/>
        <v>#DIV/0!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t="e">
        <f t="shared" si="7"/>
        <v>#DIV/0!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t="e">
        <f t="shared" si="14"/>
        <v>#DIV/0!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t="e">
        <f t="shared" si="7"/>
        <v>#DIV/0!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t="e">
        <f t="shared" si="14"/>
        <v>#DIV/0!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t="e">
        <f t="shared" si="7"/>
        <v>#DIV/0!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t="e">
        <f t="shared" si="14"/>
        <v>#DIV/0!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t="e">
        <f t="shared" si="7"/>
        <v>#DIV/0!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t="e">
        <f t="shared" si="14"/>
        <v>#DIV/0!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t="e">
        <f t="shared" si="7"/>
        <v>#DIV/0!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t="e">
        <f t="shared" si="14"/>
        <v>#DIV/0!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t="e">
        <f t="shared" si="7"/>
        <v>#DIV/0!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t="e">
        <f t="shared" si="14"/>
        <v>#DIV/0!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t="e">
        <f t="shared" si="7"/>
        <v>#DIV/0!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t="e">
        <f t="shared" si="14"/>
        <v>#DIV/0!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t="e">
        <f t="shared" si="7"/>
        <v>#DIV/0!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t="e">
        <f t="shared" si="14"/>
        <v>#DIV/0!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t="e">
        <f t="shared" si="7"/>
        <v>#DIV/0!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t="e">
        <f t="shared" si="14"/>
        <v>#DIV/0!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t="e">
        <f t="shared" si="7"/>
        <v>#DIV/0!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t="e">
        <f t="shared" si="14"/>
        <v>#DIV/0!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t="e">
        <f t="shared" si="7"/>
        <v>#DIV/0!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t="e">
        <f t="shared" si="14"/>
        <v>#DIV/0!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t="e">
        <f t="shared" si="7"/>
        <v>#DIV/0!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t="e">
        <f t="shared" si="14"/>
        <v>#DIV/0!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t="e">
        <f t="shared" si="7"/>
        <v>#DIV/0!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t="e">
        <f t="shared" si="14"/>
        <v>#DIV/0!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t="e">
        <f t="shared" si="7"/>
        <v>#DIV/0!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t="e">
        <f t="shared" si="14"/>
        <v>#DIV/0!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t="e">
        <f t="shared" si="7"/>
        <v>#DIV/0!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t="e">
        <f t="shared" si="14"/>
        <v>#DIV/0!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t="e">
        <f t="shared" si="7"/>
        <v>#DIV/0!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t="e">
        <f t="shared" si="14"/>
        <v>#DIV/0!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t="e">
        <f t="shared" si="7"/>
        <v>#DIV/0!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t="e">
        <f t="shared" si="14"/>
        <v>#DIV/0!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t="e">
        <f t="shared" si="7"/>
        <v>#DIV/0!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t="e">
        <f t="shared" si="14"/>
        <v>#DIV/0!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t="e">
        <f t="shared" si="7"/>
        <v>#DIV/0!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t="e">
        <f t="shared" si="14"/>
        <v>#DIV/0!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t="e">
        <f t="shared" si="7"/>
        <v>#DIV/0!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t="e">
        <f t="shared" si="14"/>
        <v>#DIV/0!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t="e">
        <f t="shared" si="7"/>
        <v>#DIV/0!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t="e">
        <f t="shared" si="14"/>
        <v>#DIV/0!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t="e">
        <f t="shared" si="7"/>
        <v>#DIV/0!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t="e">
        <f t="shared" si="14"/>
        <v>#DIV/0!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t="e">
        <f t="shared" si="7"/>
        <v>#DIV/0!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t="e">
        <f t="shared" si="14"/>
        <v>#DIV/0!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t="e">
        <f t="shared" si="7"/>
        <v>#DIV/0!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t="e">
        <f t="shared" si="14"/>
        <v>#DIV/0!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t="e">
        <f t="shared" si="7"/>
        <v>#DIV/0!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t="e">
        <f t="shared" si="14"/>
        <v>#DIV/0!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t="e">
        <f t="shared" si="7"/>
        <v>#DIV/0!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t="e">
        <f t="shared" si="14"/>
        <v>#DIV/0!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t="e">
        <f t="shared" si="7"/>
        <v>#DIV/0!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t="e">
        <f t="shared" si="14"/>
        <v>#DIV/0!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t="e">
        <f t="shared" si="7"/>
        <v>#DIV/0!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t="e">
        <f t="shared" si="14"/>
        <v>#DIV/0!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t="e">
        <f t="shared" si="7"/>
        <v>#DIV/0!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t="e">
        <f t="shared" si="14"/>
        <v>#DIV/0!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t="e">
        <f t="shared" si="7"/>
        <v>#DIV/0!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t="e">
        <f t="shared" si="14"/>
        <v>#DIV/0!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t="e">
        <f t="shared" si="7"/>
        <v>#DIV/0!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t="e">
        <f t="shared" ref="AY110:AY141" si="39">ROUND($AY$6*AZ110/$AZ$5,2)</f>
        <v>#DIV/0!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t="e">
        <f t="shared" si="7"/>
        <v>#DIV/0!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t="e">
        <f t="shared" si="39"/>
        <v>#DIV/0!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t="e">
        <f t="shared" si="7"/>
        <v>#DIV/0!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t="e">
        <f t="shared" si="39"/>
        <v>#DIV/0!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t="e">
        <f t="shared" ref="E113:E144" si="61">IF($C$3="是",ROUND($A$3*G113/$B$3,2),ROUND($A$3*(G113-AT113)/$B$3,2))</f>
        <v>#DIV/0!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t="e">
        <f t="shared" si="39"/>
        <v>#DIV/0!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t="e">
        <f t="shared" si="61"/>
        <v>#DIV/0!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t="e">
        <f t="shared" si="39"/>
        <v>#DIV/0!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t="e">
        <f t="shared" si="61"/>
        <v>#DIV/0!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t="e">
        <f t="shared" si="39"/>
        <v>#DIV/0!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t="e">
        <f t="shared" si="61"/>
        <v>#DIV/0!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t="e">
        <f t="shared" si="39"/>
        <v>#DIV/0!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t="e">
        <f t="shared" si="61"/>
        <v>#DIV/0!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t="e">
        <f t="shared" si="39"/>
        <v>#DIV/0!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t="e">
        <f t="shared" si="61"/>
        <v>#DIV/0!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t="e">
        <f t="shared" si="39"/>
        <v>#DIV/0!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t="e">
        <f t="shared" si="61"/>
        <v>#DIV/0!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t="e">
        <f t="shared" si="39"/>
        <v>#DIV/0!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t="e">
        <f t="shared" si="61"/>
        <v>#DIV/0!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t="e">
        <f t="shared" si="39"/>
        <v>#DIV/0!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t="e">
        <f t="shared" si="61"/>
        <v>#DIV/0!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t="e">
        <f t="shared" si="39"/>
        <v>#DIV/0!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t="e">
        <f t="shared" si="61"/>
        <v>#DIV/0!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t="e">
        <f t="shared" si="39"/>
        <v>#DIV/0!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t="e">
        <f t="shared" si="61"/>
        <v>#DIV/0!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t="e">
        <f t="shared" si="39"/>
        <v>#DIV/0!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t="e">
        <f t="shared" si="61"/>
        <v>#DIV/0!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t="e">
        <f t="shared" si="39"/>
        <v>#DIV/0!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t="e">
        <f t="shared" si="61"/>
        <v>#DIV/0!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t="e">
        <f t="shared" si="39"/>
        <v>#DIV/0!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t="e">
        <f t="shared" si="61"/>
        <v>#DIV/0!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t="e">
        <f t="shared" si="39"/>
        <v>#DIV/0!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t="e">
        <f t="shared" si="61"/>
        <v>#DIV/0!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t="e">
        <f t="shared" si="39"/>
        <v>#DIV/0!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t="e">
        <f t="shared" si="61"/>
        <v>#DIV/0!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t="e">
        <f t="shared" si="39"/>
        <v>#DIV/0!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t="e">
        <f t="shared" si="61"/>
        <v>#DIV/0!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t="e">
        <f t="shared" si="39"/>
        <v>#DIV/0!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t="e">
        <f t="shared" si="61"/>
        <v>#DIV/0!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t="e">
        <f t="shared" si="39"/>
        <v>#DIV/0!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t="e">
        <f t="shared" si="61"/>
        <v>#DIV/0!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t="e">
        <f t="shared" si="39"/>
        <v>#DIV/0!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t="e">
        <f t="shared" si="61"/>
        <v>#DIV/0!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t="e">
        <f t="shared" si="39"/>
        <v>#DIV/0!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t="e">
        <f t="shared" si="61"/>
        <v>#DIV/0!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t="e">
        <f t="shared" si="39"/>
        <v>#DIV/0!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t="e">
        <f t="shared" si="61"/>
        <v>#DIV/0!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t="e">
        <f t="shared" si="39"/>
        <v>#DIV/0!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t="e">
        <f t="shared" si="61"/>
        <v>#DIV/0!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t="e">
        <f t="shared" si="39"/>
        <v>#DIV/0!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t="e">
        <f t="shared" si="61"/>
        <v>#DIV/0!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t="e">
        <f t="shared" si="39"/>
        <v>#DIV/0!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t="e">
        <f t="shared" si="61"/>
        <v>#DIV/0!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t="e">
        <f t="shared" si="39"/>
        <v>#DIV/0!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t="e">
        <f t="shared" si="61"/>
        <v>#DIV/0!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t="e">
        <f t="shared" si="39"/>
        <v>#DIV/0!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t="e">
        <f t="shared" si="61"/>
        <v>#DIV/0!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t="e">
        <f t="shared" si="39"/>
        <v>#DIV/0!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t="e">
        <f t="shared" si="61"/>
        <v>#DIV/0!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t="e">
        <f t="shared" si="39"/>
        <v>#DIV/0!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t="e">
        <f t="shared" si="61"/>
        <v>#DIV/0!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t="e">
        <f t="shared" si="39"/>
        <v>#DIV/0!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t="e">
        <f t="shared" si="61"/>
        <v>#DIV/0!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t="e">
        <f t="shared" ref="AY142:AY173" si="68">ROUND($AY$6*AZ142/$AZ$5,2)</f>
        <v>#DIV/0!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t="e">
        <f t="shared" si="61"/>
        <v>#DIV/0!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t="e">
        <f t="shared" si="68"/>
        <v>#DIV/0!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t="e">
        <f t="shared" si="61"/>
        <v>#DIV/0!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t="e">
        <f t="shared" si="68"/>
        <v>#DIV/0!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t="e">
        <f t="shared" ref="E145:E176" si="90">IF($C$3="是",ROUND($A$3*G145/$B$3,2),ROUND($A$3*(G145-AT145)/$B$3,2))</f>
        <v>#DIV/0!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t="e">
        <f t="shared" si="68"/>
        <v>#DIV/0!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t="e">
        <f t="shared" si="90"/>
        <v>#DIV/0!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t="e">
        <f t="shared" si="68"/>
        <v>#DIV/0!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t="e">
        <f t="shared" si="90"/>
        <v>#DIV/0!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t="e">
        <f t="shared" si="68"/>
        <v>#DIV/0!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t="e">
        <f t="shared" si="90"/>
        <v>#DIV/0!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t="e">
        <f t="shared" si="68"/>
        <v>#DIV/0!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t="e">
        <f t="shared" si="90"/>
        <v>#DIV/0!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t="e">
        <f t="shared" si="68"/>
        <v>#DIV/0!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t="e">
        <f t="shared" si="90"/>
        <v>#DIV/0!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t="e">
        <f t="shared" si="68"/>
        <v>#DIV/0!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t="e">
        <f t="shared" si="90"/>
        <v>#DIV/0!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t="e">
        <f t="shared" si="68"/>
        <v>#DIV/0!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t="e">
        <f t="shared" si="90"/>
        <v>#DIV/0!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t="e">
        <f t="shared" si="68"/>
        <v>#DIV/0!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t="e">
        <f t="shared" si="90"/>
        <v>#DIV/0!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t="e">
        <f t="shared" si="68"/>
        <v>#DIV/0!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t="e">
        <f t="shared" si="90"/>
        <v>#DIV/0!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t="e">
        <f t="shared" si="68"/>
        <v>#DIV/0!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t="e">
        <f t="shared" si="90"/>
        <v>#DIV/0!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t="e">
        <f t="shared" si="68"/>
        <v>#DIV/0!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t="e">
        <f t="shared" si="90"/>
        <v>#DIV/0!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t="e">
        <f t="shared" si="68"/>
        <v>#DIV/0!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t="e">
        <f t="shared" si="90"/>
        <v>#DIV/0!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t="e">
        <f t="shared" si="68"/>
        <v>#DIV/0!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t="e">
        <f t="shared" si="90"/>
        <v>#DIV/0!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t="e">
        <f t="shared" si="68"/>
        <v>#DIV/0!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t="e">
        <f t="shared" si="90"/>
        <v>#DIV/0!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t="e">
        <f t="shared" si="68"/>
        <v>#DIV/0!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t="e">
        <f t="shared" si="90"/>
        <v>#DIV/0!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t="e">
        <f t="shared" si="68"/>
        <v>#DIV/0!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t="e">
        <f t="shared" si="90"/>
        <v>#DIV/0!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t="e">
        <f t="shared" si="68"/>
        <v>#DIV/0!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t="e">
        <f t="shared" si="90"/>
        <v>#DIV/0!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t="e">
        <f t="shared" si="68"/>
        <v>#DIV/0!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t="e">
        <f t="shared" si="90"/>
        <v>#DIV/0!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t="e">
        <f t="shared" si="68"/>
        <v>#DIV/0!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t="e">
        <f t="shared" si="90"/>
        <v>#DIV/0!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t="e">
        <f t="shared" si="68"/>
        <v>#DIV/0!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t="e">
        <f t="shared" si="90"/>
        <v>#DIV/0!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t="e">
        <f t="shared" si="68"/>
        <v>#DIV/0!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t="e">
        <f t="shared" si="90"/>
        <v>#DIV/0!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t="e">
        <f t="shared" si="68"/>
        <v>#DIV/0!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t="e">
        <f t="shared" si="90"/>
        <v>#DIV/0!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t="e">
        <f t="shared" si="68"/>
        <v>#DIV/0!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t="e">
        <f t="shared" si="90"/>
        <v>#DIV/0!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t="e">
        <f t="shared" si="68"/>
        <v>#DIV/0!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t="e">
        <f t="shared" si="90"/>
        <v>#DIV/0!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t="e">
        <f t="shared" si="68"/>
        <v>#DIV/0!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t="e">
        <f t="shared" si="90"/>
        <v>#DIV/0!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t="e">
        <f t="shared" si="68"/>
        <v>#DIV/0!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t="e">
        <f t="shared" si="90"/>
        <v>#DIV/0!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t="e">
        <f t="shared" si="68"/>
        <v>#DIV/0!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t="e">
        <f t="shared" si="90"/>
        <v>#DIV/0!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t="e">
        <f t="shared" si="68"/>
        <v>#DIV/0!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t="e">
        <f t="shared" si="90"/>
        <v>#DIV/0!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t="e">
        <f t="shared" si="68"/>
        <v>#DIV/0!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t="e">
        <f t="shared" si="90"/>
        <v>#DIV/0!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t="e">
        <f t="shared" ref="AY174:AY205" si="97">ROUND($AY$6*AZ174/$AZ$5,2)</f>
        <v>#DIV/0!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t="e">
        <f t="shared" si="90"/>
        <v>#DIV/0!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t="e">
        <f t="shared" si="97"/>
        <v>#DIV/0!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t="e">
        <f t="shared" si="90"/>
        <v>#DIV/0!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t="e">
        <f t="shared" si="97"/>
        <v>#DIV/0!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t="e">
        <f t="shared" ref="E177:E207" si="119">IF($C$3="是",ROUND($A$3*G177/$B$3,2),ROUND($A$3*(G177-AT177)/$B$3,2))</f>
        <v>#DIV/0!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t="e">
        <f t="shared" si="97"/>
        <v>#DIV/0!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t="e">
        <f t="shared" si="119"/>
        <v>#DIV/0!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t="e">
        <f t="shared" si="97"/>
        <v>#DIV/0!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t="e">
        <f t="shared" si="119"/>
        <v>#DIV/0!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t="e">
        <f t="shared" si="97"/>
        <v>#DIV/0!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t="e">
        <f t="shared" si="119"/>
        <v>#DIV/0!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t="e">
        <f t="shared" si="97"/>
        <v>#DIV/0!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t="e">
        <f t="shared" si="119"/>
        <v>#DIV/0!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t="e">
        <f t="shared" si="97"/>
        <v>#DIV/0!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t="e">
        <f t="shared" si="119"/>
        <v>#DIV/0!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t="e">
        <f t="shared" si="97"/>
        <v>#DIV/0!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t="e">
        <f t="shared" si="119"/>
        <v>#DIV/0!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t="e">
        <f t="shared" si="97"/>
        <v>#DIV/0!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t="e">
        <f t="shared" si="119"/>
        <v>#DIV/0!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t="e">
        <f t="shared" si="97"/>
        <v>#DIV/0!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t="e">
        <f t="shared" si="119"/>
        <v>#DIV/0!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t="e">
        <f t="shared" si="97"/>
        <v>#DIV/0!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t="e">
        <f t="shared" si="119"/>
        <v>#DIV/0!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t="e">
        <f t="shared" si="97"/>
        <v>#DIV/0!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t="e">
        <f t="shared" si="119"/>
        <v>#DIV/0!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t="e">
        <f t="shared" si="97"/>
        <v>#DIV/0!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t="e">
        <f t="shared" si="119"/>
        <v>#DIV/0!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t="e">
        <f t="shared" si="97"/>
        <v>#DIV/0!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t="e">
        <f t="shared" si="119"/>
        <v>#DIV/0!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t="e">
        <f t="shared" si="97"/>
        <v>#DIV/0!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t="e">
        <f t="shared" si="119"/>
        <v>#DIV/0!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t="e">
        <f t="shared" si="97"/>
        <v>#DIV/0!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t="e">
        <f t="shared" si="119"/>
        <v>#DIV/0!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t="e">
        <f t="shared" si="97"/>
        <v>#DIV/0!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t="e">
        <f t="shared" si="119"/>
        <v>#DIV/0!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t="e">
        <f t="shared" si="97"/>
        <v>#DIV/0!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t="e">
        <f t="shared" si="119"/>
        <v>#DIV/0!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t="e">
        <f t="shared" si="97"/>
        <v>#DIV/0!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t="e">
        <f t="shared" si="119"/>
        <v>#DIV/0!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t="e">
        <f t="shared" si="97"/>
        <v>#DIV/0!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t="e">
        <f t="shared" si="119"/>
        <v>#DIV/0!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t="e">
        <f t="shared" si="97"/>
        <v>#DIV/0!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t="e">
        <f t="shared" si="119"/>
        <v>#DIV/0!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t="e">
        <f t="shared" si="97"/>
        <v>#DIV/0!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t="e">
        <f t="shared" si="119"/>
        <v>#DIV/0!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t="e">
        <f t="shared" si="97"/>
        <v>#DIV/0!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t="e">
        <f t="shared" si="119"/>
        <v>#DIV/0!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t="e">
        <f t="shared" si="97"/>
        <v>#DIV/0!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t="e">
        <f t="shared" si="119"/>
        <v>#DIV/0!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t="e">
        <f t="shared" si="97"/>
        <v>#DIV/0!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t="e">
        <f t="shared" si="119"/>
        <v>#DIV/0!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t="e">
        <f t="shared" si="97"/>
        <v>#DIV/0!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t="e">
        <f t="shared" si="119"/>
        <v>#DIV/0!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t="e">
        <f t="shared" si="97"/>
        <v>#DIV/0!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t="e">
        <f t="shared" si="119"/>
        <v>#DIV/0!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t="e">
        <f t="shared" si="97"/>
        <v>#DIV/0!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t="e">
        <f t="shared" si="119"/>
        <v>#DIV/0!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t="e">
        <f t="shared" si="97"/>
        <v>#DIV/0!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t="e">
        <f t="shared" si="119"/>
        <v>#DIV/0!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t="e">
        <f t="shared" si="97"/>
        <v>#DIV/0!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t="e">
        <f t="shared" si="119"/>
        <v>#DIV/0!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t="e">
        <f t="shared" si="97"/>
        <v>#DIV/0!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t="e">
        <f t="shared" si="119"/>
        <v>#DIV/0!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t="e">
        <f>ROUND($AY$6*AZ206/$AZ$5,2)</f>
        <v>#DIV/0!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t="e">
        <f t="shared" si="119"/>
        <v>#DIV/0!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t="e">
        <f>ROUND($AY$6*AZ207/$AZ$5,2)</f>
        <v>#DIV/0!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t="e">
        <f t="shared" ref="E208:E302" si="123">IF($C$3="是",ROUND($A$3*G208/$B$3,2),ROUND($A$3*(G208-AT208)/$B$3,2))</f>
        <v>#DIV/0!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t="e">
        <f t="shared" ref="AY208:AY299" si="130">ROUND($AY$6*AZ208/$AZ$5,2)</f>
        <v>#DIV/0!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t="e">
        <f t="shared" si="123"/>
        <v>#DIV/0!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t="e">
        <f t="shared" si="130"/>
        <v>#DIV/0!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t="e">
        <f t="shared" si="123"/>
        <v>#DIV/0!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t="e">
        <f t="shared" si="130"/>
        <v>#DIV/0!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t="e">
        <f t="shared" si="123"/>
        <v>#DIV/0!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t="e">
        <f t="shared" si="130"/>
        <v>#DIV/0!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t="e">
        <f t="shared" si="123"/>
        <v>#DIV/0!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t="e">
        <f t="shared" si="130"/>
        <v>#DIV/0!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t="e">
        <f t="shared" si="123"/>
        <v>#DIV/0!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t="e">
        <f t="shared" si="130"/>
        <v>#DIV/0!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t="e">
        <f t="shared" si="123"/>
        <v>#DIV/0!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t="e">
        <f t="shared" si="130"/>
        <v>#DIV/0!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t="e">
        <f t="shared" si="123"/>
        <v>#DIV/0!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t="e">
        <f t="shared" si="130"/>
        <v>#DIV/0!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t="e">
        <f t="shared" si="123"/>
        <v>#DIV/0!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t="e">
        <f t="shared" si="130"/>
        <v>#DIV/0!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t="e">
        <f t="shared" si="123"/>
        <v>#DIV/0!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t="e">
        <f t="shared" si="130"/>
        <v>#DIV/0!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t="e">
        <f t="shared" si="123"/>
        <v>#DIV/0!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t="e">
        <f t="shared" si="130"/>
        <v>#DIV/0!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t="e">
        <f t="shared" si="123"/>
        <v>#DIV/0!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t="e">
        <f t="shared" si="130"/>
        <v>#DIV/0!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t="e">
        <f t="shared" si="123"/>
        <v>#DIV/0!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t="e">
        <f t="shared" si="130"/>
        <v>#DIV/0!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t="e">
        <f t="shared" si="123"/>
        <v>#DIV/0!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t="e">
        <f t="shared" si="130"/>
        <v>#DIV/0!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t="e">
        <f t="shared" si="123"/>
        <v>#DIV/0!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t="e">
        <f t="shared" si="130"/>
        <v>#DIV/0!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t="e">
        <f t="shared" si="123"/>
        <v>#DIV/0!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t="e">
        <f t="shared" si="130"/>
        <v>#DIV/0!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t="e">
        <f t="shared" si="123"/>
        <v>#DIV/0!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t="e">
        <f t="shared" si="130"/>
        <v>#DIV/0!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t="e">
        <f t="shared" si="123"/>
        <v>#DIV/0!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t="e">
        <f t="shared" si="130"/>
        <v>#DIV/0!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t="e">
        <f t="shared" si="123"/>
        <v>#DIV/0!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t="e">
        <f t="shared" si="130"/>
        <v>#DIV/0!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t="e">
        <f t="shared" si="123"/>
        <v>#DIV/0!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t="e">
        <f t="shared" si="130"/>
        <v>#DIV/0!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t="e">
        <f t="shared" si="123"/>
        <v>#DIV/0!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t="e">
        <f t="shared" si="130"/>
        <v>#DIV/0!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t="e">
        <f t="shared" si="123"/>
        <v>#DIV/0!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t="e">
        <f t="shared" si="130"/>
        <v>#DIV/0!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t="e">
        <f t="shared" si="123"/>
        <v>#DIV/0!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t="e">
        <f t="shared" si="130"/>
        <v>#DIV/0!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t="e">
        <f t="shared" si="123"/>
        <v>#DIV/0!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t="e">
        <f t="shared" si="130"/>
        <v>#DIV/0!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t="e">
        <f t="shared" si="123"/>
        <v>#DIV/0!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t="e">
        <f t="shared" si="130"/>
        <v>#DIV/0!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t="e">
        <f t="shared" si="123"/>
        <v>#DIV/0!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t="e">
        <f t="shared" si="130"/>
        <v>#DIV/0!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t="e">
        <f t="shared" si="123"/>
        <v>#DIV/0!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t="e">
        <f t="shared" si="130"/>
        <v>#DIV/0!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t="e">
        <f t="shared" si="123"/>
        <v>#DIV/0!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t="e">
        <f t="shared" si="130"/>
        <v>#DIV/0!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t="e">
        <f t="shared" si="123"/>
        <v>#DIV/0!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t="e">
        <f t="shared" si="130"/>
        <v>#DIV/0!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t="e">
        <f t="shared" si="123"/>
        <v>#DIV/0!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t="e">
        <f t="shared" si="130"/>
        <v>#DIV/0!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t="e">
        <f t="shared" si="123"/>
        <v>#DIV/0!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t="e">
        <f t="shared" si="130"/>
        <v>#DIV/0!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t="e">
        <f t="shared" si="123"/>
        <v>#DIV/0!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t="e">
        <f t="shared" si="130"/>
        <v>#DIV/0!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t="e">
        <f t="shared" si="123"/>
        <v>#DIV/0!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t="e">
        <f t="shared" si="130"/>
        <v>#DIV/0!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t="e">
        <f t="shared" si="123"/>
        <v>#DIV/0!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t="e">
        <f t="shared" si="130"/>
        <v>#DIV/0!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t="e">
        <f t="shared" si="123"/>
        <v>#DIV/0!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t="e">
        <f t="shared" si="130"/>
        <v>#DIV/0!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t="e">
        <f t="shared" si="123"/>
        <v>#DIV/0!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t="e">
        <f t="shared" si="130"/>
        <v>#DIV/0!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t="e">
        <f t="shared" si="123"/>
        <v>#DIV/0!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t="e">
        <f t="shared" si="130"/>
        <v>#DIV/0!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t="e">
        <f t="shared" si="123"/>
        <v>#DIV/0!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t="e">
        <f t="shared" si="130"/>
        <v>#DIV/0!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t="e">
        <f t="shared" si="123"/>
        <v>#DIV/0!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t="e">
        <f t="shared" si="130"/>
        <v>#DIV/0!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t="e">
        <f t="shared" si="123"/>
        <v>#DIV/0!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t="e">
        <f t="shared" si="130"/>
        <v>#DIV/0!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t="e">
        <f t="shared" si="123"/>
        <v>#DIV/0!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t="e">
        <f t="shared" si="130"/>
        <v>#DIV/0!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t="e">
        <f t="shared" si="123"/>
        <v>#DIV/0!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t="e">
        <f t="shared" si="130"/>
        <v>#DIV/0!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t="e">
        <f t="shared" si="123"/>
        <v>#DIV/0!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t="e">
        <f t="shared" si="130"/>
        <v>#DIV/0!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t="e">
        <f t="shared" si="123"/>
        <v>#DIV/0!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t="e">
        <f t="shared" si="130"/>
        <v>#DIV/0!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t="e">
        <f t="shared" si="123"/>
        <v>#DIV/0!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t="e">
        <f t="shared" si="130"/>
        <v>#DIV/0!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t="e">
        <f t="shared" si="123"/>
        <v>#DIV/0!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t="e">
        <f t="shared" si="130"/>
        <v>#DIV/0!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t="e">
        <f t="shared" si="123"/>
        <v>#DIV/0!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t="e">
        <f t="shared" si="130"/>
        <v>#DIV/0!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t="e">
        <f t="shared" si="123"/>
        <v>#DIV/0!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t="e">
        <f t="shared" si="130"/>
        <v>#DIV/0!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t="e">
        <f t="shared" si="123"/>
        <v>#DIV/0!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t="e">
        <f t="shared" si="130"/>
        <v>#DIV/0!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t="e">
        <f t="shared" si="123"/>
        <v>#DIV/0!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t="e">
        <f t="shared" si="130"/>
        <v>#DIV/0!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t="e">
        <f t="shared" si="123"/>
        <v>#DIV/0!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t="e">
        <f t="shared" si="130"/>
        <v>#DIV/0!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t="e">
        <f t="shared" si="123"/>
        <v>#DIV/0!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t="e">
        <f t="shared" si="130"/>
        <v>#DIV/0!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t="e">
        <f t="shared" si="123"/>
        <v>#DIV/0!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t="e">
        <f t="shared" si="130"/>
        <v>#DIV/0!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t="e">
        <f t="shared" si="123"/>
        <v>#DIV/0!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t="e">
        <f t="shared" si="130"/>
        <v>#DIV/0!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t="e">
        <f t="shared" si="123"/>
        <v>#DIV/0!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t="e">
        <f t="shared" si="130"/>
        <v>#DIV/0!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t="e">
        <f t="shared" si="123"/>
        <v>#DIV/0!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t="e">
        <f t="shared" si="130"/>
        <v>#DIV/0!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t="e">
        <f t="shared" si="123"/>
        <v>#DIV/0!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t="e">
        <f t="shared" si="130"/>
        <v>#DIV/0!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t="e">
        <f t="shared" si="123"/>
        <v>#DIV/0!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t="e">
        <f t="shared" si="130"/>
        <v>#DIV/0!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t="e">
        <f t="shared" si="123"/>
        <v>#DIV/0!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t="e">
        <f t="shared" si="130"/>
        <v>#DIV/0!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t="e">
        <f t="shared" si="123"/>
        <v>#DIV/0!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t="e">
        <f t="shared" si="130"/>
        <v>#DIV/0!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t="e">
        <f t="shared" si="123"/>
        <v>#DIV/0!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t="e">
        <f t="shared" si="130"/>
        <v>#DIV/0!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t="e">
        <f t="shared" si="123"/>
        <v>#DIV/0!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t="e">
        <f t="shared" si="130"/>
        <v>#DIV/0!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t="e">
        <f t="shared" si="123"/>
        <v>#DIV/0!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t="e">
        <f t="shared" si="130"/>
        <v>#DIV/0!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t="e">
        <f t="shared" si="123"/>
        <v>#DIV/0!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t="e">
        <f t="shared" si="130"/>
        <v>#DIV/0!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t="e">
        <f t="shared" si="123"/>
        <v>#DIV/0!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t="e">
        <f t="shared" si="130"/>
        <v>#DIV/0!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t="e">
        <f t="shared" si="123"/>
        <v>#DIV/0!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t="e">
        <f t="shared" si="130"/>
        <v>#DIV/0!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t="e">
        <f t="shared" si="123"/>
        <v>#DIV/0!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t="e">
        <f t="shared" si="130"/>
        <v>#DIV/0!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t="e">
        <f t="shared" si="123"/>
        <v>#DIV/0!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t="e">
        <f t="shared" si="130"/>
        <v>#DIV/0!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t="e">
        <f t="shared" si="123"/>
        <v>#DIV/0!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t="e">
        <f t="shared" si="130"/>
        <v>#DIV/0!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t="e">
        <f t="shared" si="123"/>
        <v>#DIV/0!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t="e">
        <f t="shared" si="130"/>
        <v>#DIV/0!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t="e">
        <f t="shared" si="123"/>
        <v>#DIV/0!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t="e">
        <f t="shared" si="130"/>
        <v>#DIV/0!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t="e">
        <f t="shared" si="123"/>
        <v>#DIV/0!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t="e">
        <f t="shared" si="130"/>
        <v>#DIV/0!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t="e">
        <f t="shared" si="123"/>
        <v>#DIV/0!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t="e">
        <f t="shared" si="130"/>
        <v>#DIV/0!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t="e">
        <f t="shared" si="123"/>
        <v>#DIV/0!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t="e">
        <f t="shared" si="130"/>
        <v>#DIV/0!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t="e">
        <f t="shared" si="123"/>
        <v>#DIV/0!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t="e">
        <f t="shared" si="130"/>
        <v>#DIV/0!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t="e">
        <f t="shared" si="123"/>
        <v>#DIV/0!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t="e">
        <f t="shared" si="130"/>
        <v>#DIV/0!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t="e">
        <f t="shared" si="123"/>
        <v>#DIV/0!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t="e">
        <f t="shared" si="130"/>
        <v>#DIV/0!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t="e">
        <f t="shared" si="123"/>
        <v>#DIV/0!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t="e">
        <f t="shared" si="130"/>
        <v>#DIV/0!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t="e">
        <f t="shared" si="123"/>
        <v>#DIV/0!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t="e">
        <f t="shared" si="130"/>
        <v>#DIV/0!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t="e">
        <f t="shared" si="123"/>
        <v>#DIV/0!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t="e">
        <f t="shared" si="130"/>
        <v>#DIV/0!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t="e">
        <f t="shared" si="123"/>
        <v>#DIV/0!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t="e">
        <f t="shared" si="130"/>
        <v>#DIV/0!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t="e">
        <f t="shared" si="123"/>
        <v>#DIV/0!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t="e">
        <f t="shared" si="130"/>
        <v>#DIV/0!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t="e">
        <f t="shared" si="123"/>
        <v>#DIV/0!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t="e">
        <f t="shared" si="130"/>
        <v>#DIV/0!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t="e">
        <f t="shared" si="123"/>
        <v>#DIV/0!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t="e">
        <f t="shared" si="130"/>
        <v>#DIV/0!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t="e">
        <f t="shared" si="123"/>
        <v>#DIV/0!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t="e">
        <f t="shared" si="130"/>
        <v>#DIV/0!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t="e">
        <f t="shared" si="123"/>
        <v>#DIV/0!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t="e">
        <f t="shared" si="130"/>
        <v>#DIV/0!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t="e">
        <f t="shared" si="123"/>
        <v>#DIV/0!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t="e">
        <f t="shared" si="130"/>
        <v>#DIV/0!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t="e">
        <f t="shared" si="123"/>
        <v>#DIV/0!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t="e">
        <f t="shared" si="130"/>
        <v>#DIV/0!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t="e">
        <f t="shared" si="123"/>
        <v>#DIV/0!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t="e">
        <f t="shared" si="130"/>
        <v>#DIV/0!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t="e">
        <f t="shared" si="123"/>
        <v>#DIV/0!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t="e">
        <f t="shared" si="130"/>
        <v>#DIV/0!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t="e">
        <f t="shared" si="123"/>
        <v>#DIV/0!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t="e">
        <f t="shared" si="130"/>
        <v>#DIV/0!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t="e">
        <f t="shared" si="123"/>
        <v>#DIV/0!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t="e">
        <f t="shared" si="130"/>
        <v>#DIV/0!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t="e">
        <f t="shared" si="123"/>
        <v>#DIV/0!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t="e">
        <f t="shared" ref="AY300:AY331" si="155">ROUND($AY$6*AZ300/$AZ$5,2)</f>
        <v>#DIV/0!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t="e">
        <f t="shared" si="123"/>
        <v>#DIV/0!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t="e">
        <f t="shared" si="155"/>
        <v>#DIV/0!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t="e">
        <f t="shared" si="123"/>
        <v>#DIV/0!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t="e">
        <f t="shared" si="155"/>
        <v>#DIV/0!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t="e">
        <f t="shared" ref="E303:E334" si="177">IF($C$3="是",ROUND($A$3*G303/$B$3,2),ROUND($A$3*(G303-AT303)/$B$3,2))</f>
        <v>#DIV/0!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t="e">
        <f t="shared" si="155"/>
        <v>#DIV/0!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t="e">
        <f t="shared" si="177"/>
        <v>#DIV/0!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t="e">
        <f t="shared" si="155"/>
        <v>#DIV/0!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t="e">
        <f t="shared" si="177"/>
        <v>#DIV/0!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t="e">
        <f t="shared" si="155"/>
        <v>#DIV/0!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t="e">
        <f t="shared" si="177"/>
        <v>#DIV/0!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t="e">
        <f t="shared" si="155"/>
        <v>#DIV/0!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t="e">
        <f t="shared" si="177"/>
        <v>#DIV/0!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t="e">
        <f t="shared" si="155"/>
        <v>#DIV/0!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t="e">
        <f t="shared" si="177"/>
        <v>#DIV/0!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t="e">
        <f t="shared" si="155"/>
        <v>#DIV/0!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t="e">
        <f t="shared" si="177"/>
        <v>#DIV/0!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t="e">
        <f t="shared" si="155"/>
        <v>#DIV/0!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t="e">
        <f t="shared" si="177"/>
        <v>#DIV/0!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t="e">
        <f t="shared" si="155"/>
        <v>#DIV/0!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t="e">
        <f t="shared" si="177"/>
        <v>#DIV/0!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t="e">
        <f t="shared" si="155"/>
        <v>#DIV/0!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t="e">
        <f t="shared" si="177"/>
        <v>#DIV/0!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t="e">
        <f t="shared" si="155"/>
        <v>#DIV/0!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t="e">
        <f t="shared" si="177"/>
        <v>#DIV/0!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t="e">
        <f t="shared" si="155"/>
        <v>#DIV/0!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t="e">
        <f t="shared" si="177"/>
        <v>#DIV/0!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t="e">
        <f t="shared" si="155"/>
        <v>#DIV/0!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t="e">
        <f t="shared" si="177"/>
        <v>#DIV/0!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t="e">
        <f t="shared" si="155"/>
        <v>#DIV/0!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t="e">
        <f t="shared" si="177"/>
        <v>#DIV/0!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t="e">
        <f t="shared" si="155"/>
        <v>#DIV/0!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t="e">
        <f t="shared" si="177"/>
        <v>#DIV/0!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t="e">
        <f t="shared" si="155"/>
        <v>#DIV/0!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t="e">
        <f t="shared" si="177"/>
        <v>#DIV/0!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t="e">
        <f t="shared" si="155"/>
        <v>#DIV/0!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t="e">
        <f t="shared" si="177"/>
        <v>#DIV/0!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t="e">
        <f t="shared" si="155"/>
        <v>#DIV/0!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t="e">
        <f t="shared" si="177"/>
        <v>#DIV/0!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t="e">
        <f t="shared" si="155"/>
        <v>#DIV/0!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t="e">
        <f t="shared" si="177"/>
        <v>#DIV/0!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t="e">
        <f t="shared" si="155"/>
        <v>#DIV/0!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t="e">
        <f t="shared" si="177"/>
        <v>#DIV/0!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t="e">
        <f t="shared" si="155"/>
        <v>#DIV/0!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t="e">
        <f t="shared" si="177"/>
        <v>#DIV/0!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t="e">
        <f t="shared" si="155"/>
        <v>#DIV/0!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t="e">
        <f t="shared" si="177"/>
        <v>#DIV/0!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t="e">
        <f t="shared" si="155"/>
        <v>#DIV/0!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t="e">
        <f t="shared" si="177"/>
        <v>#DIV/0!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t="e">
        <f t="shared" si="155"/>
        <v>#DIV/0!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t="e">
        <f t="shared" si="177"/>
        <v>#DIV/0!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t="e">
        <f t="shared" si="155"/>
        <v>#DIV/0!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t="e">
        <f t="shared" si="177"/>
        <v>#DIV/0!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t="e">
        <f t="shared" si="155"/>
        <v>#DIV/0!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t="e">
        <f t="shared" si="177"/>
        <v>#DIV/0!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t="e">
        <f t="shared" si="155"/>
        <v>#DIV/0!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t="e">
        <f t="shared" si="177"/>
        <v>#DIV/0!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t="e">
        <f t="shared" si="155"/>
        <v>#DIV/0!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t="e">
        <f t="shared" si="177"/>
        <v>#DIV/0!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t="e">
        <f t="shared" si="155"/>
        <v>#DIV/0!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t="e">
        <f t="shared" si="177"/>
        <v>#DIV/0!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t="e">
        <f t="shared" si="155"/>
        <v>#DIV/0!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t="e">
        <f t="shared" si="177"/>
        <v>#DIV/0!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t="e">
        <f t="shared" ref="AY332:AY363" si="184">ROUND($AY$6*AZ332/$AZ$5,2)</f>
        <v>#DIV/0!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t="e">
        <f t="shared" si="177"/>
        <v>#DIV/0!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t="e">
        <f t="shared" si="184"/>
        <v>#DIV/0!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t="e">
        <f t="shared" si="177"/>
        <v>#DIV/0!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t="e">
        <f t="shared" si="184"/>
        <v>#DIV/0!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t="e">
        <f t="shared" ref="E335:E366" si="206">IF($C$3="是",ROUND($A$3*G335/$B$3,2),ROUND($A$3*(G335-AT335)/$B$3,2))</f>
        <v>#DIV/0!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t="e">
        <f t="shared" si="184"/>
        <v>#DIV/0!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t="e">
        <f t="shared" si="206"/>
        <v>#DIV/0!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t="e">
        <f t="shared" si="184"/>
        <v>#DIV/0!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t="e">
        <f t="shared" si="206"/>
        <v>#DIV/0!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t="e">
        <f t="shared" si="184"/>
        <v>#DIV/0!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t="e">
        <f t="shared" si="206"/>
        <v>#DIV/0!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t="e">
        <f t="shared" si="184"/>
        <v>#DIV/0!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t="e">
        <f t="shared" si="206"/>
        <v>#DIV/0!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t="e">
        <f t="shared" si="184"/>
        <v>#DIV/0!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t="e">
        <f t="shared" si="206"/>
        <v>#DIV/0!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t="e">
        <f t="shared" si="184"/>
        <v>#DIV/0!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t="e">
        <f t="shared" si="206"/>
        <v>#DIV/0!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t="e">
        <f t="shared" si="184"/>
        <v>#DIV/0!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t="e">
        <f t="shared" si="206"/>
        <v>#DIV/0!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t="e">
        <f t="shared" si="184"/>
        <v>#DIV/0!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t="e">
        <f t="shared" si="206"/>
        <v>#DIV/0!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t="e">
        <f t="shared" si="184"/>
        <v>#DIV/0!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t="e">
        <f t="shared" si="206"/>
        <v>#DIV/0!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t="e">
        <f t="shared" si="184"/>
        <v>#DIV/0!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t="e">
        <f t="shared" si="206"/>
        <v>#DIV/0!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t="e">
        <f t="shared" si="184"/>
        <v>#DIV/0!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t="e">
        <f t="shared" si="206"/>
        <v>#DIV/0!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t="e">
        <f t="shared" si="184"/>
        <v>#DIV/0!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t="e">
        <f t="shared" si="206"/>
        <v>#DIV/0!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t="e">
        <f t="shared" si="184"/>
        <v>#DIV/0!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t="e">
        <f t="shared" si="206"/>
        <v>#DIV/0!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t="e">
        <f t="shared" si="184"/>
        <v>#DIV/0!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t="e">
        <f t="shared" si="206"/>
        <v>#DIV/0!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t="e">
        <f t="shared" si="184"/>
        <v>#DIV/0!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t="e">
        <f t="shared" si="206"/>
        <v>#DIV/0!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t="e">
        <f t="shared" si="184"/>
        <v>#DIV/0!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t="e">
        <f t="shared" si="206"/>
        <v>#DIV/0!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t="e">
        <f t="shared" si="184"/>
        <v>#DIV/0!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t="e">
        <f t="shared" si="206"/>
        <v>#DIV/0!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t="e">
        <f t="shared" si="184"/>
        <v>#DIV/0!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t="e">
        <f t="shared" si="206"/>
        <v>#DIV/0!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t="e">
        <f t="shared" si="184"/>
        <v>#DIV/0!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t="e">
        <f t="shared" si="206"/>
        <v>#DIV/0!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t="e">
        <f t="shared" si="184"/>
        <v>#DIV/0!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t="e">
        <f t="shared" si="206"/>
        <v>#DIV/0!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t="e">
        <f t="shared" si="184"/>
        <v>#DIV/0!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t="e">
        <f t="shared" si="206"/>
        <v>#DIV/0!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t="e">
        <f t="shared" si="184"/>
        <v>#DIV/0!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t="e">
        <f t="shared" si="206"/>
        <v>#DIV/0!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t="e">
        <f t="shared" si="184"/>
        <v>#DIV/0!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t="e">
        <f t="shared" si="206"/>
        <v>#DIV/0!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t="e">
        <f t="shared" si="184"/>
        <v>#DIV/0!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t="e">
        <f t="shared" si="206"/>
        <v>#DIV/0!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t="e">
        <f t="shared" si="184"/>
        <v>#DIV/0!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t="e">
        <f t="shared" si="206"/>
        <v>#DIV/0!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t="e">
        <f t="shared" si="184"/>
        <v>#DIV/0!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t="e">
        <f t="shared" si="206"/>
        <v>#DIV/0!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t="e">
        <f t="shared" si="184"/>
        <v>#DIV/0!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t="e">
        <f t="shared" si="206"/>
        <v>#DIV/0!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t="e">
        <f t="shared" si="184"/>
        <v>#DIV/0!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t="e">
        <f t="shared" si="206"/>
        <v>#DIV/0!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t="e">
        <f t="shared" si="184"/>
        <v>#DIV/0!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t="e">
        <f t="shared" si="206"/>
        <v>#DIV/0!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t="e">
        <f t="shared" ref="AY364:AY395" si="213">ROUND($AY$6*AZ364/$AZ$5,2)</f>
        <v>#DIV/0!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t="e">
        <f t="shared" si="206"/>
        <v>#DIV/0!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t="e">
        <f t="shared" si="213"/>
        <v>#DIV/0!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t="e">
        <f t="shared" si="206"/>
        <v>#DIV/0!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t="e">
        <f t="shared" si="213"/>
        <v>#DIV/0!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t="e">
        <f t="shared" ref="E367:E397" si="235">IF($C$3="是",ROUND($A$3*G367/$B$3,2),ROUND($A$3*(G367-AT367)/$B$3,2))</f>
        <v>#DIV/0!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t="e">
        <f t="shared" si="213"/>
        <v>#DIV/0!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t="e">
        <f t="shared" si="235"/>
        <v>#DIV/0!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t="e">
        <f t="shared" si="213"/>
        <v>#DIV/0!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t="e">
        <f t="shared" si="235"/>
        <v>#DIV/0!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t="e">
        <f t="shared" si="213"/>
        <v>#DIV/0!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t="e">
        <f t="shared" si="235"/>
        <v>#DIV/0!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t="e">
        <f t="shared" si="213"/>
        <v>#DIV/0!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t="e">
        <f t="shared" si="235"/>
        <v>#DIV/0!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t="e">
        <f t="shared" si="213"/>
        <v>#DIV/0!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t="e">
        <f t="shared" si="235"/>
        <v>#DIV/0!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t="e">
        <f t="shared" si="213"/>
        <v>#DIV/0!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t="e">
        <f t="shared" si="235"/>
        <v>#DIV/0!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t="e">
        <f t="shared" si="213"/>
        <v>#DIV/0!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t="e">
        <f t="shared" si="235"/>
        <v>#DIV/0!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t="e">
        <f t="shared" si="213"/>
        <v>#DIV/0!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t="e">
        <f t="shared" si="235"/>
        <v>#DIV/0!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t="e">
        <f t="shared" si="213"/>
        <v>#DIV/0!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t="e">
        <f t="shared" si="235"/>
        <v>#DIV/0!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t="e">
        <f t="shared" si="213"/>
        <v>#DIV/0!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t="e">
        <f t="shared" si="235"/>
        <v>#DIV/0!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t="e">
        <f t="shared" si="213"/>
        <v>#DIV/0!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t="e">
        <f t="shared" si="235"/>
        <v>#DIV/0!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t="e">
        <f t="shared" si="213"/>
        <v>#DIV/0!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t="e">
        <f t="shared" si="235"/>
        <v>#DIV/0!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t="e">
        <f t="shared" si="213"/>
        <v>#DIV/0!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t="e">
        <f t="shared" si="235"/>
        <v>#DIV/0!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t="e">
        <f t="shared" si="213"/>
        <v>#DIV/0!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t="e">
        <f t="shared" si="235"/>
        <v>#DIV/0!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t="e">
        <f t="shared" si="213"/>
        <v>#DIV/0!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t="e">
        <f t="shared" si="235"/>
        <v>#DIV/0!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t="e">
        <f t="shared" si="213"/>
        <v>#DIV/0!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t="e">
        <f t="shared" si="235"/>
        <v>#DIV/0!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t="e">
        <f t="shared" si="213"/>
        <v>#DIV/0!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t="e">
        <f t="shared" si="235"/>
        <v>#DIV/0!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t="e">
        <f t="shared" si="213"/>
        <v>#DIV/0!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t="e">
        <f t="shared" si="235"/>
        <v>#DIV/0!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t="e">
        <f t="shared" si="213"/>
        <v>#DIV/0!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t="e">
        <f t="shared" si="235"/>
        <v>#DIV/0!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t="e">
        <f t="shared" si="213"/>
        <v>#DIV/0!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t="e">
        <f t="shared" si="235"/>
        <v>#DIV/0!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t="e">
        <f t="shared" si="213"/>
        <v>#DIV/0!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t="e">
        <f t="shared" si="235"/>
        <v>#DIV/0!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t="e">
        <f t="shared" si="213"/>
        <v>#DIV/0!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t="e">
        <f t="shared" si="235"/>
        <v>#DIV/0!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t="e">
        <f t="shared" si="213"/>
        <v>#DIV/0!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t="e">
        <f t="shared" si="235"/>
        <v>#DIV/0!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t="e">
        <f t="shared" si="213"/>
        <v>#DIV/0!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t="e">
        <f t="shared" si="235"/>
        <v>#DIV/0!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t="e">
        <f t="shared" si="213"/>
        <v>#DIV/0!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t="e">
        <f t="shared" si="235"/>
        <v>#DIV/0!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t="e">
        <f t="shared" si="213"/>
        <v>#DIV/0!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t="e">
        <f t="shared" si="235"/>
        <v>#DIV/0!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t="e">
        <f t="shared" si="213"/>
        <v>#DIV/0!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t="e">
        <f t="shared" si="235"/>
        <v>#DIV/0!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t="e">
        <f t="shared" si="213"/>
        <v>#DIV/0!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t="e">
        <f t="shared" si="235"/>
        <v>#DIV/0!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t="e">
        <f t="shared" si="213"/>
        <v>#DIV/0!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t="e">
        <f t="shared" si="235"/>
        <v>#DIV/0!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t="e">
        <f>ROUND($AY$6*AZ396/$AZ$5,2)</f>
        <v>#DIV/0!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t="e">
        <f t="shared" si="235"/>
        <v>#DIV/0!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t="e">
        <f>ROUND($AY$6*AZ397/$AZ$5,2)</f>
        <v>#DIV/0!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t="e">
        <f t="shared" ref="E398:E492" si="239">IF($C$3="是",ROUND($A$3*G398/$B$3,2),ROUND($A$3*(G398-AT398)/$B$3,2))</f>
        <v>#DIV/0!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t="e">
        <f t="shared" ref="AY398:AY489" si="246">ROUND($AY$6*AZ398/$AZ$5,2)</f>
        <v>#DIV/0!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t="e">
        <f t="shared" si="239"/>
        <v>#DIV/0!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t="e">
        <f t="shared" si="246"/>
        <v>#DIV/0!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t="e">
        <f t="shared" si="239"/>
        <v>#DIV/0!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t="e">
        <f t="shared" si="246"/>
        <v>#DIV/0!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t="e">
        <f t="shared" si="239"/>
        <v>#DIV/0!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t="e">
        <f t="shared" si="246"/>
        <v>#DIV/0!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t="e">
        <f t="shared" si="239"/>
        <v>#DIV/0!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t="e">
        <f t="shared" si="246"/>
        <v>#DIV/0!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t="e">
        <f t="shared" si="239"/>
        <v>#DIV/0!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t="e">
        <f t="shared" si="246"/>
        <v>#DIV/0!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t="e">
        <f t="shared" si="239"/>
        <v>#DIV/0!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t="e">
        <f t="shared" si="246"/>
        <v>#DIV/0!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t="e">
        <f t="shared" si="239"/>
        <v>#DIV/0!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t="e">
        <f t="shared" si="246"/>
        <v>#DIV/0!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t="e">
        <f t="shared" si="239"/>
        <v>#DIV/0!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t="e">
        <f t="shared" si="246"/>
        <v>#DIV/0!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t="e">
        <f t="shared" si="239"/>
        <v>#DIV/0!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t="e">
        <f t="shared" si="246"/>
        <v>#DIV/0!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t="e">
        <f t="shared" si="239"/>
        <v>#DIV/0!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t="e">
        <f t="shared" si="246"/>
        <v>#DIV/0!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t="e">
        <f t="shared" si="239"/>
        <v>#DIV/0!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t="e">
        <f t="shared" si="246"/>
        <v>#DIV/0!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t="e">
        <f t="shared" si="239"/>
        <v>#DIV/0!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t="e">
        <f t="shared" si="246"/>
        <v>#DIV/0!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t="e">
        <f t="shared" si="239"/>
        <v>#DIV/0!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t="e">
        <f t="shared" si="246"/>
        <v>#DIV/0!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t="e">
        <f t="shared" si="239"/>
        <v>#DIV/0!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t="e">
        <f t="shared" si="246"/>
        <v>#DIV/0!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t="e">
        <f t="shared" si="239"/>
        <v>#DIV/0!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t="e">
        <f t="shared" si="246"/>
        <v>#DIV/0!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t="e">
        <f t="shared" si="239"/>
        <v>#DIV/0!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t="e">
        <f t="shared" si="246"/>
        <v>#DIV/0!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t="e">
        <f t="shared" si="239"/>
        <v>#DIV/0!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t="e">
        <f t="shared" si="246"/>
        <v>#DIV/0!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t="e">
        <f t="shared" si="239"/>
        <v>#DIV/0!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t="e">
        <f t="shared" si="246"/>
        <v>#DIV/0!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t="e">
        <f t="shared" si="239"/>
        <v>#DIV/0!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t="e">
        <f t="shared" si="246"/>
        <v>#DIV/0!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t="e">
        <f t="shared" si="239"/>
        <v>#DIV/0!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t="e">
        <f t="shared" si="246"/>
        <v>#DIV/0!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t="e">
        <f t="shared" si="239"/>
        <v>#DIV/0!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t="e">
        <f t="shared" si="246"/>
        <v>#DIV/0!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t="e">
        <f t="shared" si="239"/>
        <v>#DIV/0!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t="e">
        <f t="shared" si="246"/>
        <v>#DIV/0!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t="e">
        <f t="shared" si="239"/>
        <v>#DIV/0!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t="e">
        <f t="shared" si="246"/>
        <v>#DIV/0!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t="e">
        <f t="shared" si="239"/>
        <v>#DIV/0!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t="e">
        <f t="shared" si="246"/>
        <v>#DIV/0!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t="e">
        <f t="shared" si="239"/>
        <v>#DIV/0!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t="e">
        <f t="shared" si="246"/>
        <v>#DIV/0!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t="e">
        <f t="shared" si="239"/>
        <v>#DIV/0!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t="e">
        <f t="shared" si="246"/>
        <v>#DIV/0!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t="e">
        <f t="shared" si="239"/>
        <v>#DIV/0!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t="e">
        <f t="shared" si="246"/>
        <v>#DIV/0!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t="e">
        <f t="shared" si="239"/>
        <v>#DIV/0!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t="e">
        <f t="shared" si="246"/>
        <v>#DIV/0!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t="e">
        <f t="shared" si="239"/>
        <v>#DIV/0!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t="e">
        <f t="shared" si="246"/>
        <v>#DIV/0!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t="e">
        <f t="shared" si="239"/>
        <v>#DIV/0!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t="e">
        <f t="shared" si="246"/>
        <v>#DIV/0!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t="e">
        <f t="shared" si="239"/>
        <v>#DIV/0!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t="e">
        <f t="shared" si="246"/>
        <v>#DIV/0!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t="e">
        <f t="shared" si="239"/>
        <v>#DIV/0!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t="e">
        <f t="shared" si="246"/>
        <v>#DIV/0!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t="e">
        <f t="shared" si="239"/>
        <v>#DIV/0!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t="e">
        <f t="shared" si="246"/>
        <v>#DIV/0!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t="e">
        <f t="shared" si="239"/>
        <v>#DIV/0!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t="e">
        <f t="shared" si="246"/>
        <v>#DIV/0!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t="e">
        <f t="shared" si="239"/>
        <v>#DIV/0!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t="e">
        <f t="shared" si="246"/>
        <v>#DIV/0!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t="e">
        <f t="shared" si="239"/>
        <v>#DIV/0!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t="e">
        <f t="shared" si="246"/>
        <v>#DIV/0!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t="e">
        <f t="shared" si="239"/>
        <v>#DIV/0!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t="e">
        <f t="shared" si="246"/>
        <v>#DIV/0!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t="e">
        <f t="shared" si="239"/>
        <v>#DIV/0!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t="e">
        <f t="shared" si="246"/>
        <v>#DIV/0!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t="e">
        <f t="shared" si="239"/>
        <v>#DIV/0!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t="e">
        <f t="shared" si="246"/>
        <v>#DIV/0!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t="e">
        <f t="shared" si="239"/>
        <v>#DIV/0!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t="e">
        <f t="shared" si="246"/>
        <v>#DIV/0!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t="e">
        <f t="shared" si="239"/>
        <v>#DIV/0!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t="e">
        <f t="shared" si="246"/>
        <v>#DIV/0!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t="e">
        <f t="shared" si="239"/>
        <v>#DIV/0!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t="e">
        <f t="shared" si="246"/>
        <v>#DIV/0!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t="e">
        <f t="shared" si="239"/>
        <v>#DIV/0!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t="e">
        <f t="shared" si="246"/>
        <v>#DIV/0!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t="e">
        <f t="shared" si="239"/>
        <v>#DIV/0!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t="e">
        <f t="shared" si="246"/>
        <v>#DIV/0!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t="e">
        <f t="shared" si="239"/>
        <v>#DIV/0!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t="e">
        <f t="shared" si="246"/>
        <v>#DIV/0!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t="e">
        <f t="shared" si="239"/>
        <v>#DIV/0!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t="e">
        <f t="shared" si="246"/>
        <v>#DIV/0!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t="e">
        <f t="shared" si="239"/>
        <v>#DIV/0!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t="e">
        <f t="shared" si="246"/>
        <v>#DIV/0!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t="e">
        <f t="shared" si="239"/>
        <v>#DIV/0!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t="e">
        <f t="shared" si="246"/>
        <v>#DIV/0!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t="e">
        <f t="shared" si="239"/>
        <v>#DIV/0!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t="e">
        <f t="shared" si="246"/>
        <v>#DIV/0!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t="e">
        <f t="shared" si="239"/>
        <v>#DIV/0!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t="e">
        <f t="shared" si="246"/>
        <v>#DIV/0!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t="e">
        <f t="shared" si="239"/>
        <v>#DIV/0!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t="e">
        <f t="shared" si="246"/>
        <v>#DIV/0!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t="e">
        <f t="shared" si="239"/>
        <v>#DIV/0!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t="e">
        <f t="shared" si="246"/>
        <v>#DIV/0!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t="e">
        <f t="shared" si="239"/>
        <v>#DIV/0!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t="e">
        <f t="shared" si="246"/>
        <v>#DIV/0!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t="e">
        <f t="shared" si="239"/>
        <v>#DIV/0!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t="e">
        <f t="shared" si="246"/>
        <v>#DIV/0!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t="e">
        <f t="shared" si="239"/>
        <v>#DIV/0!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t="e">
        <f t="shared" si="246"/>
        <v>#DIV/0!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t="e">
        <f t="shared" si="239"/>
        <v>#DIV/0!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t="e">
        <f t="shared" si="246"/>
        <v>#DIV/0!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t="e">
        <f t="shared" si="239"/>
        <v>#DIV/0!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t="e">
        <f t="shared" si="246"/>
        <v>#DIV/0!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t="e">
        <f t="shared" si="239"/>
        <v>#DIV/0!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t="e">
        <f t="shared" si="246"/>
        <v>#DIV/0!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t="e">
        <f t="shared" si="239"/>
        <v>#DIV/0!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t="e">
        <f t="shared" si="246"/>
        <v>#DIV/0!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t="e">
        <f t="shared" si="239"/>
        <v>#DIV/0!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t="e">
        <f t="shared" si="246"/>
        <v>#DIV/0!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t="e">
        <f t="shared" si="239"/>
        <v>#DIV/0!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t="e">
        <f t="shared" si="246"/>
        <v>#DIV/0!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t="e">
        <f t="shared" si="239"/>
        <v>#DIV/0!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t="e">
        <f t="shared" si="246"/>
        <v>#DIV/0!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t="e">
        <f t="shared" si="239"/>
        <v>#DIV/0!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t="e">
        <f t="shared" si="246"/>
        <v>#DIV/0!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t="e">
        <f t="shared" si="239"/>
        <v>#DIV/0!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t="e">
        <f t="shared" si="246"/>
        <v>#DIV/0!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t="e">
        <f t="shared" si="239"/>
        <v>#DIV/0!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t="e">
        <f t="shared" si="246"/>
        <v>#DIV/0!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t="e">
        <f t="shared" si="239"/>
        <v>#DIV/0!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t="e">
        <f t="shared" si="246"/>
        <v>#DIV/0!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t="e">
        <f t="shared" si="239"/>
        <v>#DIV/0!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t="e">
        <f t="shared" si="246"/>
        <v>#DIV/0!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t="e">
        <f t="shared" si="239"/>
        <v>#DIV/0!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t="e">
        <f t="shared" si="246"/>
        <v>#DIV/0!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t="e">
        <f t="shared" si="239"/>
        <v>#DIV/0!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t="e">
        <f t="shared" si="246"/>
        <v>#DIV/0!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t="e">
        <f t="shared" si="239"/>
        <v>#DIV/0!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t="e">
        <f t="shared" si="246"/>
        <v>#DIV/0!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t="e">
        <f t="shared" si="239"/>
        <v>#DIV/0!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t="e">
        <f t="shared" si="246"/>
        <v>#DIV/0!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t="e">
        <f t="shared" si="239"/>
        <v>#DIV/0!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t="e">
        <f t="shared" si="246"/>
        <v>#DIV/0!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t="e">
        <f t="shared" si="239"/>
        <v>#DIV/0!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t="e">
        <f t="shared" si="246"/>
        <v>#DIV/0!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t="e">
        <f t="shared" si="239"/>
        <v>#DIV/0!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t="e">
        <f t="shared" si="246"/>
        <v>#DIV/0!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t="e">
        <f t="shared" si="239"/>
        <v>#DIV/0!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t="e">
        <f t="shared" si="246"/>
        <v>#DIV/0!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t="e">
        <f t="shared" si="239"/>
        <v>#DIV/0!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t="e">
        <f t="shared" si="246"/>
        <v>#DIV/0!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t="e">
        <f t="shared" si="239"/>
        <v>#DIV/0!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t="e">
        <f t="shared" si="246"/>
        <v>#DIV/0!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t="e">
        <f t="shared" si="239"/>
        <v>#DIV/0!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t="e">
        <f t="shared" si="246"/>
        <v>#DIV/0!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t="e">
        <f t="shared" si="239"/>
        <v>#DIV/0!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t="e">
        <f t="shared" si="246"/>
        <v>#DIV/0!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t="e">
        <f t="shared" si="239"/>
        <v>#DIV/0!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t="e">
        <f t="shared" si="246"/>
        <v>#DIV/0!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t="e">
        <f t="shared" si="239"/>
        <v>#DIV/0!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t="e">
        <f t="shared" si="246"/>
        <v>#DIV/0!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t="e">
        <f t="shared" si="239"/>
        <v>#DIV/0!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t="e">
        <f t="shared" si="246"/>
        <v>#DIV/0!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t="e">
        <f t="shared" si="239"/>
        <v>#DIV/0!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t="e">
        <f t="shared" si="246"/>
        <v>#DIV/0!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t="e">
        <f t="shared" si="239"/>
        <v>#DIV/0!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t="e">
        <f t="shared" si="246"/>
        <v>#DIV/0!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t="e">
        <f t="shared" si="239"/>
        <v>#DIV/0!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t="e">
        <f t="shared" si="246"/>
        <v>#DIV/0!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t="e">
        <f t="shared" si="239"/>
        <v>#DIV/0!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t="e">
        <f t="shared" si="246"/>
        <v>#DIV/0!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t="e">
        <f t="shared" si="239"/>
        <v>#DIV/0!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t="e">
        <f t="shared" si="246"/>
        <v>#DIV/0!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t="e">
        <f t="shared" si="239"/>
        <v>#DIV/0!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t="e">
        <f t="shared" si="246"/>
        <v>#DIV/0!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t="e">
        <f t="shared" si="239"/>
        <v>#DIV/0!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t="e">
        <f t="shared" si="246"/>
        <v>#DIV/0!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t="e">
        <f t="shared" si="239"/>
        <v>#DIV/0!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t="e">
        <f t="shared" si="246"/>
        <v>#DIV/0!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t="e">
        <f t="shared" si="239"/>
        <v>#DIV/0!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t="e">
        <f t="shared" si="246"/>
        <v>#DIV/0!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t="e">
        <f t="shared" si="239"/>
        <v>#DIV/0!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t="e">
        <f t="shared" ref="AY490:AY521" si="271">ROUND($AY$6*AZ490/$AZ$5,2)</f>
        <v>#DIV/0!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t="e">
        <f t="shared" si="239"/>
        <v>#DIV/0!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t="e">
        <f t="shared" si="271"/>
        <v>#DIV/0!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t="e">
        <f t="shared" si="239"/>
        <v>#DIV/0!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t="e">
        <f t="shared" si="271"/>
        <v>#DIV/0!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t="e">
        <f t="shared" ref="E493:E519" si="293">IF($C$3="是",ROUND($A$3*G493/$B$3,2),ROUND($A$3*(G493-AT493)/$B$3,2))</f>
        <v>#DIV/0!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t="e">
        <f t="shared" si="271"/>
        <v>#DIV/0!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t="e">
        <f t="shared" si="293"/>
        <v>#DIV/0!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t="e">
        <f t="shared" si="271"/>
        <v>#DIV/0!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t="e">
        <f t="shared" si="293"/>
        <v>#DIV/0!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t="e">
        <f t="shared" si="271"/>
        <v>#DIV/0!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t="e">
        <f t="shared" si="293"/>
        <v>#DIV/0!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t="e">
        <f t="shared" si="271"/>
        <v>#DIV/0!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t="e">
        <f t="shared" si="293"/>
        <v>#DIV/0!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t="e">
        <f t="shared" si="271"/>
        <v>#DIV/0!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t="e">
        <f t="shared" si="293"/>
        <v>#DIV/0!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t="e">
        <f t="shared" si="271"/>
        <v>#DIV/0!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t="e">
        <f t="shared" si="293"/>
        <v>#DIV/0!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t="e">
        <f t="shared" si="271"/>
        <v>#DIV/0!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t="e">
        <f t="shared" si="293"/>
        <v>#DIV/0!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t="e">
        <f t="shared" si="271"/>
        <v>#DIV/0!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t="e">
        <f t="shared" si="293"/>
        <v>#DIV/0!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t="e">
        <f t="shared" si="271"/>
        <v>#DIV/0!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t="e">
        <f t="shared" si="293"/>
        <v>#DIV/0!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t="e">
        <f t="shared" si="271"/>
        <v>#DIV/0!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t="e">
        <f t="shared" si="293"/>
        <v>#DIV/0!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t="e">
        <f t="shared" si="271"/>
        <v>#DIV/0!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t="e">
        <f t="shared" si="293"/>
        <v>#DIV/0!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t="e">
        <f t="shared" si="271"/>
        <v>#DIV/0!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t="e">
        <f t="shared" si="293"/>
        <v>#DIV/0!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t="e">
        <f t="shared" si="271"/>
        <v>#DIV/0!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t="e">
        <f t="shared" si="293"/>
        <v>#DIV/0!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t="e">
        <f t="shared" si="271"/>
        <v>#DIV/0!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t="e">
        <f t="shared" si="293"/>
        <v>#DIV/0!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t="e">
        <f t="shared" si="271"/>
        <v>#DIV/0!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t="e">
        <f t="shared" si="293"/>
        <v>#DIV/0!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t="e">
        <f t="shared" si="271"/>
        <v>#DIV/0!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t="e">
        <f t="shared" si="293"/>
        <v>#DIV/0!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t="e">
        <f t="shared" si="271"/>
        <v>#DIV/0!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t="e">
        <f t="shared" si="293"/>
        <v>#DIV/0!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t="e">
        <f t="shared" si="271"/>
        <v>#DIV/0!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t="e">
        <f t="shared" si="293"/>
        <v>#DIV/0!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t="e">
        <f t="shared" si="271"/>
        <v>#DIV/0!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t="e">
        <f t="shared" si="293"/>
        <v>#DIV/0!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t="e">
        <f t="shared" si="271"/>
        <v>#DIV/0!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t="e">
        <f t="shared" si="293"/>
        <v>#DIV/0!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t="e">
        <f t="shared" si="271"/>
        <v>#DIV/0!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t="e">
        <f t="shared" si="293"/>
        <v>#DIV/0!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t="e">
        <f t="shared" si="271"/>
        <v>#DIV/0!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t="e">
        <f t="shared" si="293"/>
        <v>#DIV/0!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t="e">
        <f t="shared" si="271"/>
        <v>#DIV/0!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t="e">
        <f t="shared" si="293"/>
        <v>#DIV/0!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t="e">
        <f t="shared" si="271"/>
        <v>#DIV/0!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t="e">
        <f t="shared" si="293"/>
        <v>#DIV/0!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t="e">
        <f t="shared" si="271"/>
        <v>#DIV/0!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t="e">
        <f t="shared" si="293"/>
        <v>#DIV/0!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t="e">
        <f t="shared" si="271"/>
        <v>#DIV/0!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t="e">
        <f t="shared" si="293"/>
        <v>#DIV/0!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t="e">
        <f t="shared" si="271"/>
        <v>#DIV/0!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t="e">
        <f t="shared" ref="E520:E551" si="297">IF($C$3="是",ROUND($A$3*G520/$B$3,2),ROUND($A$3*(G520-AT520)/$B$3,2))</f>
        <v>#DIV/0!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t="e">
        <f t="shared" si="271"/>
        <v>#DIV/0!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t="e">
        <f t="shared" si="297"/>
        <v>#DIV/0!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t="e">
        <f t="shared" si="271"/>
        <v>#DIV/0!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t="e">
        <f t="shared" si="297"/>
        <v>#DIV/0!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t="e">
        <f t="shared" ref="AY522:AY552" si="304">ROUND($AY$6*AZ522/$AZ$5,2)</f>
        <v>#DIV/0!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t="e">
        <f t="shared" si="297"/>
        <v>#DIV/0!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t="e">
        <f t="shared" si="304"/>
        <v>#DIV/0!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t="e">
        <f t="shared" si="297"/>
        <v>#DIV/0!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t="e">
        <f t="shared" si="304"/>
        <v>#DIV/0!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t="e">
        <f t="shared" si="297"/>
        <v>#DIV/0!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t="e">
        <f t="shared" si="304"/>
        <v>#DIV/0!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t="e">
        <f t="shared" si="297"/>
        <v>#DIV/0!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t="e">
        <f t="shared" si="304"/>
        <v>#DIV/0!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t="e">
        <f t="shared" si="297"/>
        <v>#DIV/0!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t="e">
        <f t="shared" si="304"/>
        <v>#DIV/0!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t="e">
        <f t="shared" si="297"/>
        <v>#DIV/0!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t="e">
        <f t="shared" si="304"/>
        <v>#DIV/0!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t="e">
        <f t="shared" si="297"/>
        <v>#DIV/0!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t="e">
        <f t="shared" si="304"/>
        <v>#DIV/0!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t="e">
        <f t="shared" si="297"/>
        <v>#DIV/0!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t="e">
        <f t="shared" si="304"/>
        <v>#DIV/0!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t="e">
        <f t="shared" si="297"/>
        <v>#DIV/0!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t="e">
        <f t="shared" si="304"/>
        <v>#DIV/0!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t="e">
        <f t="shared" si="297"/>
        <v>#DIV/0!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t="e">
        <f t="shared" si="304"/>
        <v>#DIV/0!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t="e">
        <f t="shared" si="297"/>
        <v>#DIV/0!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t="e">
        <f t="shared" si="304"/>
        <v>#DIV/0!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t="e">
        <f t="shared" si="297"/>
        <v>#DIV/0!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t="e">
        <f t="shared" si="304"/>
        <v>#DIV/0!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t="e">
        <f t="shared" si="297"/>
        <v>#DIV/0!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t="e">
        <f t="shared" si="304"/>
        <v>#DIV/0!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t="e">
        <f t="shared" si="297"/>
        <v>#DIV/0!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t="e">
        <f t="shared" si="304"/>
        <v>#DIV/0!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t="e">
        <f t="shared" si="297"/>
        <v>#DIV/0!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t="e">
        <f t="shared" si="304"/>
        <v>#DIV/0!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t="e">
        <f t="shared" si="297"/>
        <v>#DIV/0!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t="e">
        <f t="shared" si="304"/>
        <v>#DIV/0!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t="e">
        <f t="shared" si="297"/>
        <v>#DIV/0!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t="e">
        <f t="shared" si="304"/>
        <v>#DIV/0!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t="e">
        <f t="shared" si="297"/>
        <v>#DIV/0!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t="e">
        <f t="shared" si="304"/>
        <v>#DIV/0!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t="e">
        <f t="shared" si="297"/>
        <v>#DIV/0!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t="e">
        <f t="shared" si="304"/>
        <v>#DIV/0!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t="e">
        <f t="shared" si="297"/>
        <v>#DIV/0!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t="e">
        <f t="shared" si="304"/>
        <v>#DIV/0!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t="e">
        <f t="shared" si="297"/>
        <v>#DIV/0!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t="e">
        <f t="shared" si="304"/>
        <v>#DIV/0!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t="e">
        <f t="shared" si="297"/>
        <v>#DIV/0!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t="e">
        <f t="shared" si="304"/>
        <v>#DIV/0!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t="e">
        <f t="shared" si="297"/>
        <v>#DIV/0!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t="e">
        <f t="shared" si="304"/>
        <v>#DIV/0!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t="e">
        <f t="shared" si="297"/>
        <v>#DIV/0!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t="e">
        <f t="shared" si="304"/>
        <v>#DIV/0!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t="e">
        <f t="shared" si="297"/>
        <v>#DIV/0!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t="e">
        <f t="shared" si="304"/>
        <v>#DIV/0!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t="e">
        <f t="shared" si="297"/>
        <v>#DIV/0!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t="e">
        <f t="shared" si="304"/>
        <v>#DIV/0!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t="e">
        <f t="shared" si="297"/>
        <v>#DIV/0!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t="e">
        <f t="shared" si="304"/>
        <v>#DIV/0!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t="e">
        <f t="shared" si="297"/>
        <v>#DIV/0!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t="e">
        <f t="shared" si="304"/>
        <v>#DIV/0!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t="e">
        <f t="shared" si="297"/>
        <v>#DIV/0!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t="e">
        <f t="shared" si="304"/>
        <v>#DIV/0!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t="e">
        <f t="shared" ref="E552:E587" si="326">IF($C$3="是",ROUND($A$3*G552/$B$3,2),ROUND($A$3*(G552-AT552)/$B$3,2))</f>
        <v>#DIV/0!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t="e">
        <f t="shared" si="304"/>
        <v>#DIV/0!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t="e">
        <f t="shared" si="326"/>
        <v>#DIV/0!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t="e">
        <f t="shared" ref="AY553:AY584" si="333">ROUND($AY$6*AZ553/$AZ$5,2)</f>
        <v>#DIV/0!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t="e">
        <f t="shared" si="326"/>
        <v>#DIV/0!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t="e">
        <f t="shared" si="333"/>
        <v>#DIV/0!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t="e">
        <f t="shared" si="326"/>
        <v>#DIV/0!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t="e">
        <f t="shared" si="333"/>
        <v>#DIV/0!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t="e">
        <f t="shared" si="326"/>
        <v>#DIV/0!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t="e">
        <f t="shared" si="333"/>
        <v>#DIV/0!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t="e">
        <f t="shared" si="326"/>
        <v>#DIV/0!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t="e">
        <f t="shared" si="333"/>
        <v>#DIV/0!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t="e">
        <f t="shared" si="326"/>
        <v>#DIV/0!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t="e">
        <f t="shared" si="333"/>
        <v>#DIV/0!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t="e">
        <f t="shared" si="326"/>
        <v>#DIV/0!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t="e">
        <f t="shared" si="333"/>
        <v>#DIV/0!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t="e">
        <f t="shared" si="326"/>
        <v>#DIV/0!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t="e">
        <f t="shared" si="333"/>
        <v>#DIV/0!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t="e">
        <f t="shared" si="326"/>
        <v>#DIV/0!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t="e">
        <f t="shared" si="333"/>
        <v>#DIV/0!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t="e">
        <f t="shared" si="326"/>
        <v>#DIV/0!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t="e">
        <f t="shared" si="333"/>
        <v>#DIV/0!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t="e">
        <f t="shared" si="326"/>
        <v>#DIV/0!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t="e">
        <f t="shared" si="333"/>
        <v>#DIV/0!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t="e">
        <f t="shared" si="326"/>
        <v>#DIV/0!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t="e">
        <f t="shared" si="333"/>
        <v>#DIV/0!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t="e">
        <f t="shared" si="326"/>
        <v>#DIV/0!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t="e">
        <f t="shared" si="333"/>
        <v>#DIV/0!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t="e">
        <f t="shared" si="326"/>
        <v>#DIV/0!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t="e">
        <f t="shared" si="333"/>
        <v>#DIV/0!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t="e">
        <f t="shared" si="326"/>
        <v>#DIV/0!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t="e">
        <f t="shared" si="333"/>
        <v>#DIV/0!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t="e">
        <f t="shared" si="326"/>
        <v>#DIV/0!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t="e">
        <f t="shared" si="333"/>
        <v>#DIV/0!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t="e">
        <f t="shared" si="326"/>
        <v>#DIV/0!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t="e">
        <f t="shared" si="333"/>
        <v>#DIV/0!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t="e">
        <f t="shared" si="326"/>
        <v>#DIV/0!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t="e">
        <f t="shared" si="333"/>
        <v>#DIV/0!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t="e">
        <f t="shared" si="326"/>
        <v>#DIV/0!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t="e">
        <f t="shared" si="333"/>
        <v>#DIV/0!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t="e">
        <f t="shared" si="326"/>
        <v>#DIV/0!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t="e">
        <f t="shared" si="333"/>
        <v>#DIV/0!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t="e">
        <f t="shared" si="326"/>
        <v>#DIV/0!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t="e">
        <f t="shared" si="333"/>
        <v>#DIV/0!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t="e">
        <f t="shared" si="326"/>
        <v>#DIV/0!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t="e">
        <f t="shared" si="333"/>
        <v>#DIV/0!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t="e">
        <f t="shared" si="326"/>
        <v>#DIV/0!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t="e">
        <f t="shared" si="333"/>
        <v>#DIV/0!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t="e">
        <f t="shared" si="326"/>
        <v>#DIV/0!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t="e">
        <f t="shared" si="333"/>
        <v>#DIV/0!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t="e">
        <f t="shared" si="326"/>
        <v>#DIV/0!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t="e">
        <f t="shared" si="333"/>
        <v>#DIV/0!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t="e">
        <f t="shared" si="326"/>
        <v>#DIV/0!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t="e">
        <f t="shared" si="333"/>
        <v>#DIV/0!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t="e">
        <f t="shared" si="326"/>
        <v>#DIV/0!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t="e">
        <f t="shared" si="333"/>
        <v>#DIV/0!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t="e">
        <f t="shared" si="326"/>
        <v>#DIV/0!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t="e">
        <f t="shared" si="333"/>
        <v>#DIV/0!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t="e">
        <f t="shared" si="326"/>
        <v>#DIV/0!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t="e">
        <f t="shared" si="333"/>
        <v>#DIV/0!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t="e">
        <f t="shared" si="326"/>
        <v>#DIV/0!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t="e">
        <f t="shared" si="333"/>
        <v>#DIV/0!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t="e">
        <f t="shared" si="326"/>
        <v>#DIV/0!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t="e">
        <f t="shared" si="333"/>
        <v>#DIV/0!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t="e">
        <f t="shared" si="326"/>
        <v>#DIV/0!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t="e">
        <f t="shared" si="333"/>
        <v>#DIV/0!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t="e">
        <f t="shared" si="326"/>
        <v>#DIV/0!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t="e">
        <f>ROUND($AY$6*AZ585/$AZ$5,2)</f>
        <v>#DIV/0!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t="e">
        <f t="shared" si="326"/>
        <v>#DIV/0!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t="e">
        <f>ROUND($AY$6*AZ586/$AZ$5,2)</f>
        <v>#DIV/0!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t="e">
        <f t="shared" si="326"/>
        <v>#DIV/0!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t="e">
        <f>ROUND($AY$6*AZ587/$AZ$5,2)</f>
        <v>#DIV/0!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K44" sqref="K44"/>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0" t="s">
        <v>1131</v>
      </c>
      <c r="B2" s="3530"/>
      <c r="C2" s="3530"/>
      <c r="D2" s="796" t="s">
        <v>1107</v>
      </c>
      <c r="E2" s="1639" t="s">
        <v>1108</v>
      </c>
      <c r="F2" s="2659"/>
      <c r="G2" s="2650"/>
      <c r="H2" s="2651"/>
      <c r="I2" s="2325" t="s">
        <v>1132</v>
      </c>
      <c r="J2" s="2659"/>
      <c r="K2" s="2659"/>
      <c r="L2" s="2659"/>
      <c r="M2" s="2659"/>
      <c r="N2" s="2661"/>
      <c r="O2" s="2659"/>
      <c r="P2" s="2659"/>
    </row>
    <row r="3" spans="1:16" ht="15.75" thickBot="1">
      <c r="A3" s="3531" t="s">
        <v>1105</v>
      </c>
      <c r="B3" s="3531"/>
      <c r="C3" s="3531"/>
      <c r="D3" s="43" t="e">
        <f>'数据-基础表'!AY6</f>
        <v>#DIV/0!</v>
      </c>
      <c r="E3" s="43">
        <f>'数据-基础表'!AZ5</f>
        <v>0</v>
      </c>
      <c r="F3" s="2659"/>
      <c r="G3" s="1145"/>
      <c r="H3" s="1026" t="s">
        <v>1106</v>
      </c>
      <c r="I3" s="855" t="e">
        <f>ROUND('数据-基础表'!B3/'数据-基础表'!A3,2)</f>
        <v>#DIV/0!</v>
      </c>
      <c r="J3" s="2659"/>
      <c r="K3" s="2659"/>
      <c r="L3" s="2659"/>
      <c r="M3" s="2659"/>
      <c r="N3" s="2661"/>
      <c r="O3" s="2659"/>
      <c r="P3" s="2659"/>
    </row>
    <row r="4" spans="1:16" ht="15">
      <c r="A4" s="3532"/>
      <c r="B4" s="3533"/>
      <c r="C4" s="3534"/>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5" t="s">
        <v>1110</v>
      </c>
      <c r="C5" s="3535"/>
      <c r="D5" s="45" t="e">
        <f>ROUND($D$3*E5/$E$3,2)</f>
        <v>#DIV/0!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5" t="s">
        <v>1111</v>
      </c>
      <c r="C6" s="3535"/>
      <c r="D6" s="45" t="e">
        <f>ROUND($D$3*E6/$E$3,2)</f>
        <v>#DIV/0!</v>
      </c>
      <c r="E6" s="46">
        <f>E3-E5</f>
        <v>0</v>
      </c>
      <c r="F6" s="2659"/>
      <c r="G6" s="2653" t="s">
        <v>1112</v>
      </c>
      <c r="H6" s="1146" t="s">
        <v>1113</v>
      </c>
      <c r="I6" s="2654" t="e">
        <f>ROUND(F31/D31,2)</f>
        <v>#DIV/0!</v>
      </c>
      <c r="J6" s="2659"/>
      <c r="K6" s="2659"/>
      <c r="L6" s="2659"/>
      <c r="M6" s="2659"/>
      <c r="N6" s="2659"/>
      <c r="O6" s="2659"/>
      <c r="P6" s="2659"/>
    </row>
    <row r="7" spans="1:16" ht="15.75" thickBot="1">
      <c r="A7" s="3527"/>
      <c r="B7" s="3528"/>
      <c r="C7" s="3529"/>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t="e">
        <f t="shared" ref="D8:D15" si="0">ROUND($D$3*E8/$E$3,2)</f>
        <v>#DIV/0!</v>
      </c>
      <c r="E8" s="48">
        <f>SUMIF('数据-基础表'!BB10:BK10,"地上",'数据-基础表'!BB5:BK5)</f>
        <v>0</v>
      </c>
      <c r="F8" s="2659"/>
      <c r="G8" s="2660"/>
      <c r="H8" s="2660"/>
      <c r="I8" s="2659"/>
      <c r="J8" s="2659"/>
      <c r="K8" s="2659"/>
      <c r="L8" s="2659"/>
      <c r="M8" s="2659"/>
      <c r="N8" s="2659"/>
      <c r="O8" s="2659"/>
      <c r="P8" s="2659"/>
    </row>
    <row r="9" spans="1:16">
      <c r="A9" s="1646"/>
      <c r="B9" s="1647"/>
      <c r="C9" s="45" t="s">
        <v>1119</v>
      </c>
      <c r="D9" s="45" t="e">
        <f t="shared" si="0"/>
        <v>#DIV/0!</v>
      </c>
      <c r="E9" s="49">
        <v>0</v>
      </c>
      <c r="F9" s="2659"/>
      <c r="G9" s="2660"/>
      <c r="H9" s="2660"/>
      <c r="I9" s="2659"/>
      <c r="J9" s="2659"/>
      <c r="K9" s="2659"/>
      <c r="L9" s="2659"/>
      <c r="M9" s="2659"/>
      <c r="N9" s="2659"/>
      <c r="O9" s="2659"/>
      <c r="P9" s="2659"/>
    </row>
    <row r="10" spans="1:16">
      <c r="A10" s="1646"/>
      <c r="B10" s="1647"/>
      <c r="C10" s="45" t="s">
        <v>1128</v>
      </c>
      <c r="D10" s="45" t="e">
        <f t="shared" si="0"/>
        <v>#DIV/0!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t="e">
        <f t="shared" si="0"/>
        <v>#DIV/0!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t="e">
        <f t="shared" si="0"/>
        <v>#DIV/0!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t="e">
        <f t="shared" si="0"/>
        <v>#DIV/0!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t="e">
        <f t="shared" si="0"/>
        <v>#DIV/0!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t="e">
        <f t="shared" si="0"/>
        <v>#DIV/0!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t="e">
        <f>SUM(D8:D15)</f>
        <v>#DIV/0!</v>
      </c>
      <c r="E16" s="50">
        <f>SUM(E8:E15)</f>
        <v>0</v>
      </c>
      <c r="F16" s="2659"/>
      <c r="G16" s="2660"/>
      <c r="H16" s="1648" t="s">
        <v>1135</v>
      </c>
      <c r="I16" s="1649"/>
      <c r="J16" s="1139"/>
      <c r="K16" s="3524" t="s">
        <v>1135</v>
      </c>
      <c r="L16" s="3525"/>
      <c r="M16" s="3525"/>
      <c r="N16" s="3525"/>
      <c r="O16" s="3525"/>
      <c r="P16" s="3526"/>
    </row>
    <row r="17" spans="1:19" ht="15">
      <c r="A17" s="1650" t="s">
        <v>1136</v>
      </c>
      <c r="B17" s="1651" t="s">
        <v>1137</v>
      </c>
      <c r="C17" s="1652" t="s">
        <v>1138</v>
      </c>
      <c r="D17" s="1653" t="s">
        <v>1126</v>
      </c>
      <c r="E17" s="1654" t="s">
        <v>1127</v>
      </c>
      <c r="F17" s="1655"/>
      <c r="G17" s="1656"/>
      <c r="H17" s="1657" t="s">
        <v>1139</v>
      </c>
      <c r="I17" s="1658" t="s">
        <v>1124</v>
      </c>
      <c r="J17" s="1139"/>
      <c r="K17" s="3521" t="s">
        <v>1140</v>
      </c>
      <c r="L17" s="3522"/>
      <c r="M17" s="3523"/>
      <c r="N17" s="3521" t="s">
        <v>1141</v>
      </c>
      <c r="O17" s="3522"/>
      <c r="P17" s="352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c r="D19" s="45" t="e">
        <f>ROUND($D$3*E19/$E$3,2)</f>
        <v>#DIV/0!</v>
      </c>
      <c r="E19" s="53">
        <f t="shared" ref="E19:E26" si="1">SUM(F19:G19)</f>
        <v>0</v>
      </c>
      <c r="F19" s="2795"/>
      <c r="G19" s="2796"/>
      <c r="H19" s="670" t="e">
        <f>ROUND($D$3*I19/$E$3,2)</f>
        <v>#DIV/0!</v>
      </c>
      <c r="I19" s="48" t="e">
        <f t="shared" ref="I19:I26" si="2">IF($I$17="自定义",P19,M19)</f>
        <v>#DIV/0!</v>
      </c>
      <c r="J19" s="1139"/>
      <c r="K19" s="1138" t="e">
        <f t="shared" ref="K19:K26" si="3">ROUND(E$28*E19/E$27,2)</f>
        <v>#DIV/0!</v>
      </c>
      <c r="L19" s="1026">
        <f t="shared" ref="L19:L26" si="4">ROUND(IF(COUNTIF(C19,"*住宅*")&gt;0,E$29*E19/E$32,0),2)</f>
        <v>0</v>
      </c>
      <c r="M19" s="1150" t="e">
        <f>K19+L19</f>
        <v>#DIV/0!</v>
      </c>
      <c r="N19" s="1668"/>
      <c r="O19" s="1669"/>
      <c r="P19" s="1150">
        <f>N19+O19</f>
        <v>0</v>
      </c>
      <c r="R19" s="1026" t="e">
        <f t="shared" ref="R19:S26" si="5">D19+H19</f>
        <v>#DIV/0!</v>
      </c>
      <c r="S19" s="1027" t="e">
        <f t="shared" si="5"/>
        <v>#DIV/0!</v>
      </c>
    </row>
    <row r="20" spans="1:19">
      <c r="A20" s="1670"/>
      <c r="B20" s="47" t="s">
        <v>1153</v>
      </c>
      <c r="C20" s="3417"/>
      <c r="D20" s="45" t="e">
        <f t="shared" ref="D20:D26" si="6">ROUND($D$3*E20/$E$3,2)</f>
        <v>#DIV/0!</v>
      </c>
      <c r="E20" s="53">
        <f t="shared" si="1"/>
        <v>0</v>
      </c>
      <c r="F20" s="2795"/>
      <c r="G20" s="2796"/>
      <c r="H20" s="670" t="e">
        <f t="shared" ref="H20:H26" si="7">ROUND($D$3*I20/$E$3,2)</f>
        <v>#DIV/0!</v>
      </c>
      <c r="I20" s="48" t="e">
        <f t="shared" si="2"/>
        <v>#DIV/0!</v>
      </c>
      <c r="J20" s="1139"/>
      <c r="K20" s="1138" t="e">
        <f t="shared" si="3"/>
        <v>#DIV/0!</v>
      </c>
      <c r="L20" s="1026">
        <f t="shared" si="4"/>
        <v>0</v>
      </c>
      <c r="M20" s="1150" t="e">
        <f t="shared" ref="M20:M26" si="8">K20+L20</f>
        <v>#DIV/0!</v>
      </c>
      <c r="N20" s="1668"/>
      <c r="O20" s="1669"/>
      <c r="P20" s="1150">
        <f t="shared" ref="P20:P26" si="9">N20+O20</f>
        <v>0</v>
      </c>
      <c r="R20" s="1026" t="e">
        <f t="shared" si="5"/>
        <v>#DIV/0!</v>
      </c>
      <c r="S20" s="1027" t="e">
        <f t="shared" si="5"/>
        <v>#DIV/0!</v>
      </c>
    </row>
    <row r="21" spans="1:19">
      <c r="A21" s="1670"/>
      <c r="B21" s="47" t="s">
        <v>1153</v>
      </c>
      <c r="C21" s="3417"/>
      <c r="D21" s="45" t="e">
        <f t="shared" si="6"/>
        <v>#DIV/0!</v>
      </c>
      <c r="E21" s="53">
        <f t="shared" si="1"/>
        <v>0</v>
      </c>
      <c r="F21" s="2795"/>
      <c r="G21" s="2796"/>
      <c r="H21" s="670" t="e">
        <f t="shared" si="7"/>
        <v>#DIV/0!</v>
      </c>
      <c r="I21" s="48" t="e">
        <f t="shared" si="2"/>
        <v>#DIV/0!</v>
      </c>
      <c r="J21" s="1139"/>
      <c r="K21" s="1138" t="e">
        <f t="shared" si="3"/>
        <v>#DIV/0!</v>
      </c>
      <c r="L21" s="1026">
        <f t="shared" si="4"/>
        <v>0</v>
      </c>
      <c r="M21" s="1150" t="e">
        <f t="shared" si="8"/>
        <v>#DIV/0!</v>
      </c>
      <c r="N21" s="1668"/>
      <c r="O21" s="1669"/>
      <c r="P21" s="1150">
        <f t="shared" si="9"/>
        <v>0</v>
      </c>
      <c r="R21" s="1026" t="e">
        <f t="shared" si="5"/>
        <v>#DIV/0!</v>
      </c>
      <c r="S21" s="1027" t="e">
        <f t="shared" si="5"/>
        <v>#DIV/0!</v>
      </c>
    </row>
    <row r="22" spans="1:19">
      <c r="A22" s="1670"/>
      <c r="B22" s="47" t="s">
        <v>1153</v>
      </c>
      <c r="C22" s="3418"/>
      <c r="D22" s="45" t="e">
        <f t="shared" si="6"/>
        <v>#DIV/0!</v>
      </c>
      <c r="E22" s="53">
        <f t="shared" si="1"/>
        <v>0</v>
      </c>
      <c r="F22" s="2797"/>
      <c r="G22" s="2798"/>
      <c r="H22" s="670" t="e">
        <f t="shared" si="7"/>
        <v>#DIV/0!</v>
      </c>
      <c r="I22" s="48" t="e">
        <f t="shared" si="2"/>
        <v>#DIV/0!</v>
      </c>
      <c r="J22" s="1139"/>
      <c r="K22" s="1138" t="e">
        <f t="shared" si="3"/>
        <v>#DIV/0!</v>
      </c>
      <c r="L22" s="1026">
        <f t="shared" si="4"/>
        <v>0</v>
      </c>
      <c r="M22" s="1150" t="e">
        <f t="shared" si="8"/>
        <v>#DIV/0!</v>
      </c>
      <c r="N22" s="1668"/>
      <c r="O22" s="1669"/>
      <c r="P22" s="1150">
        <f t="shared" si="9"/>
        <v>0</v>
      </c>
      <c r="R22" s="1026" t="e">
        <f t="shared" si="5"/>
        <v>#DIV/0!</v>
      </c>
      <c r="S22" s="1027" t="e">
        <f t="shared" si="5"/>
        <v>#DIV/0!</v>
      </c>
    </row>
    <row r="23" spans="1:19">
      <c r="A23" s="1670"/>
      <c r="B23" s="47" t="s">
        <v>1153</v>
      </c>
      <c r="C23" s="3418"/>
      <c r="D23" s="45" t="e">
        <f>ROUND($D$3*E23/$E$3,2)</f>
        <v>#DIV/0!</v>
      </c>
      <c r="E23" s="53">
        <f>SUM(F23:G23)</f>
        <v>0</v>
      </c>
      <c r="F23" s="2797"/>
      <c r="G23" s="2798"/>
      <c r="H23" s="670" t="e">
        <f>ROUND($D$3*I23/$E$3,2)</f>
        <v>#DIV/0!</v>
      </c>
      <c r="I23" s="48" t="e">
        <f t="shared" si="2"/>
        <v>#DIV/0!</v>
      </c>
      <c r="J23" s="1139"/>
      <c r="K23" s="1138" t="e">
        <f t="shared" si="3"/>
        <v>#DIV/0!</v>
      </c>
      <c r="L23" s="1026">
        <f t="shared" si="4"/>
        <v>0</v>
      </c>
      <c r="M23" s="1150" t="e">
        <f t="shared" si="8"/>
        <v>#DIV/0!</v>
      </c>
      <c r="N23" s="1668"/>
      <c r="O23" s="1669"/>
      <c r="P23" s="1150">
        <f t="shared" si="9"/>
        <v>0</v>
      </c>
      <c r="R23" s="1026" t="e">
        <f t="shared" si="5"/>
        <v>#DIV/0!</v>
      </c>
      <c r="S23" s="1027" t="e">
        <f t="shared" si="5"/>
        <v>#DIV/0!</v>
      </c>
    </row>
    <row r="24" spans="1:19">
      <c r="A24" s="1670"/>
      <c r="B24" s="47" t="s">
        <v>1153</v>
      </c>
      <c r="C24" s="3418"/>
      <c r="D24" s="45" t="e">
        <f>ROUND($D$3*E24/$E$3,2)</f>
        <v>#DIV/0!</v>
      </c>
      <c r="E24" s="53">
        <f>SUM(F24:G24)</f>
        <v>0</v>
      </c>
      <c r="F24" s="2797"/>
      <c r="G24" s="2798"/>
      <c r="H24" s="670" t="e">
        <f>ROUND($D$3*I24/$E$3,2)</f>
        <v>#DIV/0!</v>
      </c>
      <c r="I24" s="48" t="e">
        <f t="shared" si="2"/>
        <v>#DIV/0!</v>
      </c>
      <c r="J24" s="1139"/>
      <c r="K24" s="1138" t="e">
        <f t="shared" si="3"/>
        <v>#DIV/0!</v>
      </c>
      <c r="L24" s="1026">
        <f t="shared" si="4"/>
        <v>0</v>
      </c>
      <c r="M24" s="1150" t="e">
        <f t="shared" si="8"/>
        <v>#DIV/0!</v>
      </c>
      <c r="N24" s="1668"/>
      <c r="O24" s="1669"/>
      <c r="P24" s="1150">
        <f t="shared" si="9"/>
        <v>0</v>
      </c>
      <c r="R24" s="1026" t="e">
        <f t="shared" si="5"/>
        <v>#DIV/0!</v>
      </c>
      <c r="S24" s="1027" t="e">
        <f t="shared" si="5"/>
        <v>#DIV/0!</v>
      </c>
    </row>
    <row r="25" spans="1:19">
      <c r="A25" s="1670"/>
      <c r="B25" s="47" t="s">
        <v>1153</v>
      </c>
      <c r="C25" s="3418"/>
      <c r="D25" s="45" t="e">
        <f t="shared" si="6"/>
        <v>#DIV/0!</v>
      </c>
      <c r="E25" s="53">
        <f t="shared" si="1"/>
        <v>0</v>
      </c>
      <c r="F25" s="2797"/>
      <c r="G25" s="2798"/>
      <c r="H25" s="44" t="e">
        <f t="shared" si="7"/>
        <v>#DIV/0!</v>
      </c>
      <c r="I25" s="48" t="e">
        <f t="shared" si="2"/>
        <v>#DIV/0!</v>
      </c>
      <c r="J25" s="1139"/>
      <c r="K25" s="1138" t="e">
        <f t="shared" si="3"/>
        <v>#DIV/0!</v>
      </c>
      <c r="L25" s="1026">
        <f t="shared" si="4"/>
        <v>0</v>
      </c>
      <c r="M25" s="1150" t="e">
        <f t="shared" si="8"/>
        <v>#DIV/0!</v>
      </c>
      <c r="N25" s="1668"/>
      <c r="O25" s="1669"/>
      <c r="P25" s="1150">
        <f t="shared" si="9"/>
        <v>0</v>
      </c>
      <c r="R25" s="1026" t="e">
        <f t="shared" si="5"/>
        <v>#DIV/0!</v>
      </c>
      <c r="S25" s="1027" t="e">
        <f t="shared" si="5"/>
        <v>#DIV/0!</v>
      </c>
    </row>
    <row r="26" spans="1:19">
      <c r="A26" s="1670"/>
      <c r="B26" s="47" t="s">
        <v>1153</v>
      </c>
      <c r="C26" s="55"/>
      <c r="D26" s="45" t="e">
        <f t="shared" si="6"/>
        <v>#DIV/0!</v>
      </c>
      <c r="E26" s="53">
        <f t="shared" si="1"/>
        <v>0</v>
      </c>
      <c r="F26" s="2797"/>
      <c r="G26" s="2798"/>
      <c r="H26" s="44" t="e">
        <f t="shared" si="7"/>
        <v>#DIV/0!</v>
      </c>
      <c r="I26" s="48" t="e">
        <f t="shared" si="2"/>
        <v>#DIV/0!</v>
      </c>
      <c r="J26" s="1139"/>
      <c r="K26" s="1145" t="e">
        <f t="shared" si="3"/>
        <v>#DIV/0!</v>
      </c>
      <c r="L26" s="1146">
        <f t="shared" si="4"/>
        <v>0</v>
      </c>
      <c r="M26" s="59" t="e">
        <f t="shared" si="8"/>
        <v>#DIV/0!</v>
      </c>
      <c r="N26" s="1671"/>
      <c r="O26" s="1672"/>
      <c r="P26" s="59">
        <f t="shared" si="9"/>
        <v>0</v>
      </c>
      <c r="R26" s="1026" t="e">
        <f t="shared" si="5"/>
        <v>#DIV/0!</v>
      </c>
      <c r="S26" s="1027" t="e">
        <f t="shared" si="5"/>
        <v>#DIV/0!</v>
      </c>
    </row>
    <row r="27" spans="1:19" ht="15.75" thickBot="1">
      <c r="A27" s="1670"/>
      <c r="B27" s="45"/>
      <c r="C27" s="1673" t="s">
        <v>1154</v>
      </c>
      <c r="D27" s="1140" t="e">
        <f>SUM(D19:D26)</f>
        <v>#DIV/0!</v>
      </c>
      <c r="E27" s="1141">
        <f>IF(SUM(E19:E26)='数据-基础表'!BA5,SUM(E19:E26),IF(F27="地上面积有误","面积有误","地下面积有误"))</f>
        <v>0</v>
      </c>
      <c r="F27" s="1140">
        <f>IF(SUM(F19:F26)=E8,SUM(F19:F26),"地上面积有误")</f>
        <v>0</v>
      </c>
      <c r="G27" s="1142">
        <f>SUM(G19:G26)</f>
        <v>0</v>
      </c>
      <c r="H27" s="1143" t="e">
        <f>SUM(H19:H26)</f>
        <v>#DIV/0!</v>
      </c>
      <c r="I27" s="1144" t="e">
        <f>SUM(I19:I26)</f>
        <v>#DIV/0!</v>
      </c>
      <c r="J27" s="1139"/>
      <c r="K27" s="1147" t="e">
        <f>SUM(K19:K26)</f>
        <v>#DIV/0!</v>
      </c>
      <c r="L27" s="1148">
        <f>SUM(L19:L26)</f>
        <v>0</v>
      </c>
      <c r="M27" s="1151" t="e">
        <f>SUM(M19:M26)</f>
        <v>#DIV/0!</v>
      </c>
      <c r="N27" s="1147">
        <f t="shared" ref="N27:O27" si="10">SUM(N19:N26)</f>
        <v>0</v>
      </c>
      <c r="O27" s="1148">
        <f t="shared" si="10"/>
        <v>0</v>
      </c>
      <c r="P27" s="1149">
        <f>SUM(P19:P26)</f>
        <v>0</v>
      </c>
      <c r="R27" s="1028" t="e">
        <f>IF(SUM(R19:R26)=$D$3,SUM(R19:R26),SUM(R19:R26)&amp;"误差"&amp;ROUND(SUM(R19:R26)-$D$3,2))</f>
        <v>#DIV/0!</v>
      </c>
      <c r="S27" s="1026" t="e">
        <f>IF(SUM(S19:S26)=$E$3,SUM(S19:S26),SUM(S19:S26)&amp;"误差"&amp;ROUND(SUM(S19:S26)-E3,2))</f>
        <v>#DIV/0!</v>
      </c>
    </row>
    <row r="28" spans="1:19">
      <c r="A28" s="1670"/>
      <c r="B28" s="47" t="s">
        <v>1155</v>
      </c>
      <c r="C28" s="1038" t="s">
        <v>1156</v>
      </c>
      <c r="D28" s="45" t="e">
        <f>ROUND($D$3*E28/$E$3,2)</f>
        <v>#DIV/0!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t="e">
        <f>ROUND($D$3*E29/$E$3,2)</f>
        <v>#DIV/0!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t="e">
        <f>SUM(D28:D29)</f>
        <v>#DIV/0!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t="e">
        <f>D27+D30</f>
        <v>#DIV/0!</v>
      </c>
      <c r="E31" s="676">
        <f>E27+E30</f>
        <v>0</v>
      </c>
      <c r="F31" s="677">
        <f>F27+F30</f>
        <v>0</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21" activePane="bottomRight" state="frozen"/>
      <selection activeCell="C50" sqref="C50"/>
      <selection pane="topRight" activeCell="C50" sqref="C50"/>
      <selection pane="bottomLeft" activeCell="C50" sqref="C50"/>
      <selection pane="bottomRight" activeCell="AL41" sqref="AL41"/>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45604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f>'数据-汇总表'!C19</f>
        <v>0</v>
      </c>
      <c r="B6" s="1713" t="str">
        <f>IF(A6=0,"","经营性")</f>
        <v/>
      </c>
      <c r="C6" s="1714"/>
      <c r="D6" s="858">
        <f>SUMIF(项目基本情况!C$12:I$12,C6,项目基本情况!C$14:I$14)</f>
        <v>0</v>
      </c>
      <c r="E6" s="857" t="str">
        <f>IF(B6="","",SUMIF(项目基本情况!C$12:I$12,C6,项目基本情况!C$13:I$13))</f>
        <v/>
      </c>
      <c r="F6" s="64">
        <f>SUMIF(项目基本情况!C$12:I$12,C6,项目基本情况!C$15:I$15)</f>
        <v>0</v>
      </c>
      <c r="G6" s="65">
        <f>IF(ISERROR(ROUND(POWER(1+H6,D6-F6)*(POWER(1+H6,F6)-1)/(POWER(1+H6,D6)-1),3)),0,ROUND(POWER(1+H6,D6-F6)*(POWER(1+H6,F6)-1)/(POWER(1+H6,D6)-1),3))</f>
        <v>0</v>
      </c>
      <c r="H6" s="732"/>
      <c r="I6" s="732"/>
      <c r="J6" s="66"/>
      <c r="K6" s="1030">
        <f>SUMIF('数据-汇总表'!C$19:C$33,A6,'数据-汇总表'!E$19:E$33)</f>
        <v>0</v>
      </c>
      <c r="L6" s="733"/>
      <c r="M6" s="67">
        <f t="shared" ref="M6:M14" si="0">ROUND(K6*L6/10000,0)</f>
        <v>0</v>
      </c>
      <c r="N6" s="731"/>
      <c r="O6" s="67">
        <f>IF($N$5="成新度","——",ROUND(M6*N6,0))</f>
        <v>0</v>
      </c>
      <c r="P6" s="68">
        <f>IF($N$5="成新度","——",M6-O6)</f>
        <v>0</v>
      </c>
      <c r="Q6" s="734"/>
      <c r="R6" s="69">
        <f ca="1">SUMIF('数据-汇总表'!C$19:C$33,A6,'数据-汇总表'!R$19:R$27)</f>
        <v>0</v>
      </c>
      <c r="S6" s="51">
        <f>IF('数据-汇总表'!$I$17="按面积比例",SUMIF('数据-汇总表'!C$19:C$33,A6,'数据-汇总表'!K$19:K$33),SUMIF('数据-汇总表'!C$19:C$33,A6,'数据-汇总表'!N$19:N$33))</f>
        <v>0</v>
      </c>
      <c r="T6" s="1172">
        <f>ROUND($L$14*S6/10000,0)</f>
        <v>0</v>
      </c>
      <c r="U6" s="3428"/>
      <c r="V6" s="70"/>
      <c r="W6" s="70"/>
      <c r="X6" s="1040"/>
      <c r="Y6" s="71"/>
      <c r="Z6" s="72"/>
      <c r="AA6" s="66"/>
      <c r="AB6" s="66"/>
      <c r="AC6" s="1040"/>
      <c r="AD6" s="73"/>
      <c r="AE6" s="1041">
        <f ca="1">IF(AN6="",0,SUMIF(INDIRECT("'"&amp;AN6&amp;"'"&amp;"!E:E"),$AE$5,INDIRECT("'"&amp;AN6&amp;"'"&amp;"!F:F")))</f>
        <v>0</v>
      </c>
      <c r="AF6" s="1348"/>
      <c r="AG6" s="138">
        <f>IF(AF6="",0,AE6-AF6)</f>
        <v>0</v>
      </c>
      <c r="AH6" s="74"/>
      <c r="AI6" s="76"/>
      <c r="AJ6" s="77"/>
      <c r="AK6" s="78"/>
      <c r="AL6" s="79"/>
      <c r="AM6" s="80"/>
      <c r="AN6" s="1715"/>
      <c r="AO6" s="52" t="e">
        <f ca="1">SUMIF(INDIRECT("'"&amp;AN6&amp;"'"&amp;"!A:A"),"总价",INDIRECT("'"&amp;AN6&amp;"'"&amp;"!B:B"))</f>
        <v>#REF!</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f t="shared" ref="O7:O14" si="3">IF($N$5="成新度","——",ROUND(M7*N7,0))</f>
        <v>0</v>
      </c>
      <c r="P7" s="68">
        <f t="shared" ref="P7:P14" si="4">IF($N$5="成新度","——",M7-O7)</f>
        <v>0</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f t="shared" si="3"/>
        <v>0</v>
      </c>
      <c r="P8" s="68">
        <f t="shared" si="4"/>
        <v>0</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f t="shared" si="3"/>
        <v>0</v>
      </c>
      <c r="P14" s="68">
        <f t="shared" si="4"/>
        <v>0</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0</v>
      </c>
      <c r="L16" s="93" t="e">
        <f>ROUND(M16*10000/SUM(K6:K14),0)</f>
        <v>#DIV/0!</v>
      </c>
      <c r="M16" s="93">
        <f>SUM(M6:M14)</f>
        <v>0</v>
      </c>
      <c r="N16" s="94" t="e">
        <f>ROUND(SUMPRODUCT(M6:M14,N6:N14)/M16,3)</f>
        <v>#DIV/0!</v>
      </c>
      <c r="O16" s="93">
        <f>SUM(O6:O14)</f>
        <v>0</v>
      </c>
      <c r="P16" s="93">
        <f>SUM(P6:P14)</f>
        <v>0</v>
      </c>
      <c r="Q16" s="95" t="e">
        <f>ROUND(SUMPRODUCT(Q6:Q13,K6:K13)/SUMPRODUCT((Q6:Q13&gt;0)*(K6:K13)),2)</f>
        <v>#DIV/0!</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c r="C19" s="2799" t="s">
        <v>2303</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c r="C20" s="2800" t="s">
        <v>2301</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0</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0</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2305</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c r="C33" s="2803" t="s">
        <v>3378</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3" t="s">
        <v>2295</v>
      </c>
      <c r="D34" s="2684" t="s">
        <v>2302</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c r="C36" s="2803" t="s">
        <v>3379</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c r="C37" s="2803" t="s">
        <v>2297</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c r="C38" s="2803" t="s">
        <v>2297</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2312</v>
      </c>
      <c r="B40" s="1078" t="e">
        <f ca="1">IF(A40="利息：取LPR",存贷款利率!G1,存贷款利率!G1+C40)</f>
        <v>#VALUE!</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0</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c r="C42" s="2683">
        <f>IF(B2&lt;DATE(2016,5,1),0,B42)</f>
        <v>0</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0</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c r="C44" s="2803" t="s">
        <v>2306</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c r="C45" s="2802" t="s">
        <v>2298</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c r="C46" s="2802" t="s">
        <v>2299</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2307</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c r="C48" s="2802" t="s">
        <v>2298</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c r="C49" s="2802" t="s">
        <v>2300</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2304</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6" t="s">
        <v>2286</v>
      </c>
      <c r="B1" s="3537"/>
      <c r="C1" s="3537"/>
      <c r="D1" s="3537"/>
      <c r="E1" s="3537"/>
      <c r="F1" s="3537"/>
      <c r="G1" s="353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C7" sqref="C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25095.1</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45604</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SUM(D14:D23)</f>
        <v>17936</v>
      </c>
      <c r="C5" s="2512">
        <f>ROUND(B5*10000/$B$1,0)</f>
        <v>7147</v>
      </c>
      <c r="D5" s="2512" t="e">
        <f>ROUND(B5*10000/$B$2,0)</f>
        <v>#DIV/0!</v>
      </c>
      <c r="E5" s="2686"/>
      <c r="F5" s="2687"/>
      <c r="G5" s="2687"/>
      <c r="H5" s="2688"/>
      <c r="I5" s="2688"/>
      <c r="J5" s="2688"/>
      <c r="K5" s="2688"/>
    </row>
    <row r="6" spans="1:11" ht="16.5">
      <c r="A6" s="2512" t="s">
        <v>656</v>
      </c>
      <c r="B6" s="2512">
        <f>SUM(G14:G23)</f>
        <v>17936</v>
      </c>
      <c r="C6" s="2512">
        <f>ROUND(B6*10000/$B$1,0)</f>
        <v>7147</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3358</v>
      </c>
      <c r="D10" s="2512" t="s">
        <v>3359</v>
      </c>
      <c r="E10" s="3441"/>
      <c r="F10" s="3445" t="s">
        <v>3360</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v>25095.1</v>
      </c>
      <c r="C14" s="2518"/>
      <c r="D14" s="2518">
        <v>17936</v>
      </c>
      <c r="E14" s="2518">
        <f>ROUND(D14*10000/B14,0)</f>
        <v>7147</v>
      </c>
      <c r="F14" s="2518" t="e">
        <f>ROUND(D14*10000/C14,0)</f>
        <v>#DIV/0!</v>
      </c>
      <c r="G14" s="2518">
        <f>D14</f>
        <v>17936</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6" zoomScale="70" zoomScaleNormal="100" zoomScaleSheetLayoutView="70" zoomScalePageLayoutView="80" workbookViewId="0">
      <selection activeCell="B102" sqref="A102:XFD102"/>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2" t="str">
        <f>项目基本情况!S2</f>
        <v>房地产</v>
      </c>
      <c r="B2" s="3573"/>
      <c r="C2" s="3573"/>
      <c r="D2" s="3573"/>
      <c r="E2" s="3573"/>
      <c r="F2" s="3573"/>
      <c r="G2" s="3573"/>
      <c r="H2" s="3573"/>
      <c r="I2" s="3574"/>
    </row>
    <row r="3" spans="1:12" ht="12.75">
      <c r="A3" s="3576" t="s">
        <v>1264</v>
      </c>
      <c r="B3" s="3577"/>
      <c r="C3" s="3577"/>
      <c r="D3" s="3577"/>
      <c r="E3" s="3577"/>
      <c r="F3" s="3577"/>
      <c r="G3" s="3577"/>
      <c r="H3" s="3577"/>
      <c r="I3" s="3577"/>
    </row>
    <row r="4" spans="1:12" ht="14.25">
      <c r="A4" s="1754" t="s">
        <v>1265</v>
      </c>
      <c r="B4" s="1755" t="s">
        <v>1266</v>
      </c>
      <c r="C4" s="1756"/>
      <c r="D4" s="1756"/>
      <c r="E4" s="3578" t="s">
        <v>1267</v>
      </c>
      <c r="F4" s="3579"/>
      <c r="G4" s="3579"/>
      <c r="H4" s="3579"/>
      <c r="I4" s="3580"/>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552" t="s">
        <v>1268</v>
      </c>
      <c r="B5" s="3539">
        <v>25</v>
      </c>
      <c r="C5" s="3555"/>
      <c r="D5" s="3575"/>
      <c r="E5" s="131" t="s">
        <v>1269</v>
      </c>
      <c r="F5" s="1757"/>
      <c r="G5" s="1757"/>
      <c r="H5" s="1757"/>
      <c r="I5" s="1373"/>
    </row>
    <row r="6" spans="1:12" ht="12.75">
      <c r="A6" s="3552"/>
      <c r="B6" s="3539"/>
      <c r="C6" s="3556"/>
      <c r="D6" s="3575"/>
      <c r="E6" s="131" t="s">
        <v>1270</v>
      </c>
      <c r="F6" s="1757"/>
      <c r="G6" s="1757"/>
      <c r="H6" s="1757"/>
      <c r="I6" s="1373"/>
    </row>
    <row r="7" spans="1:12" ht="12.75">
      <c r="A7" s="3552"/>
      <c r="B7" s="3539"/>
      <c r="C7" s="3557"/>
      <c r="D7" s="3575"/>
      <c r="E7" s="131" t="s">
        <v>1271</v>
      </c>
      <c r="F7" s="1757"/>
      <c r="G7" s="1757"/>
      <c r="H7" s="1757"/>
      <c r="I7" s="1373"/>
    </row>
    <row r="8" spans="1:12" ht="12.75">
      <c r="A8" s="3552" t="s">
        <v>1272</v>
      </c>
      <c r="B8" s="3539">
        <v>15</v>
      </c>
      <c r="C8" s="3555"/>
      <c r="D8" s="3575"/>
      <c r="E8" s="131" t="s">
        <v>1273</v>
      </c>
      <c r="F8" s="1757"/>
      <c r="G8" s="1757"/>
      <c r="H8" s="1757"/>
      <c r="I8" s="1373"/>
    </row>
    <row r="9" spans="1:12" ht="12.75">
      <c r="A9" s="3552"/>
      <c r="B9" s="3539"/>
      <c r="C9" s="3557"/>
      <c r="D9" s="3575"/>
      <c r="E9" s="131" t="s">
        <v>1274</v>
      </c>
      <c r="F9" s="1757"/>
      <c r="G9" s="1757"/>
      <c r="H9" s="1757"/>
      <c r="I9" s="1373"/>
    </row>
    <row r="10" spans="1:12" ht="12.75">
      <c r="A10" s="3552" t="s">
        <v>1275</v>
      </c>
      <c r="B10" s="3539">
        <v>15</v>
      </c>
      <c r="C10" s="3555"/>
      <c r="D10" s="3575"/>
      <c r="E10" s="131" t="s">
        <v>1276</v>
      </c>
      <c r="F10" s="1757"/>
      <c r="G10" s="1757"/>
      <c r="H10" s="1757"/>
      <c r="I10" s="1373"/>
    </row>
    <row r="11" spans="1:12" ht="12.75">
      <c r="A11" s="3552"/>
      <c r="B11" s="3539"/>
      <c r="C11" s="3557"/>
      <c r="D11" s="3575"/>
      <c r="E11" s="131" t="s">
        <v>1277</v>
      </c>
      <c r="F11" s="1757"/>
      <c r="G11" s="1757"/>
      <c r="H11" s="1757"/>
      <c r="I11" s="1373"/>
    </row>
    <row r="12" spans="1:12" ht="12.75">
      <c r="A12" s="3552" t="s">
        <v>1278</v>
      </c>
      <c r="B12" s="3539">
        <v>15</v>
      </c>
      <c r="C12" s="3555"/>
      <c r="D12" s="3575"/>
      <c r="E12" s="131" t="s">
        <v>1279</v>
      </c>
      <c r="F12" s="1757"/>
      <c r="G12" s="1757"/>
      <c r="H12" s="1757"/>
      <c r="I12" s="1373"/>
    </row>
    <row r="13" spans="1:12" ht="12.75">
      <c r="A13" s="3552"/>
      <c r="B13" s="3539"/>
      <c r="C13" s="3557"/>
      <c r="D13" s="3575"/>
      <c r="E13" s="131" t="s">
        <v>1280</v>
      </c>
      <c r="F13" s="1757"/>
      <c r="G13" s="1757"/>
      <c r="H13" s="1757"/>
      <c r="I13" s="1373"/>
    </row>
    <row r="14" spans="1:12" ht="12.75">
      <c r="A14" s="3552" t="s">
        <v>1281</v>
      </c>
      <c r="B14" s="3539">
        <v>30</v>
      </c>
      <c r="C14" s="3555"/>
      <c r="D14" s="3575"/>
      <c r="E14" s="131" t="s">
        <v>1282</v>
      </c>
      <c r="F14" s="1757"/>
      <c r="G14" s="1757"/>
      <c r="H14" s="1757"/>
      <c r="I14" s="1373"/>
    </row>
    <row r="15" spans="1:12" ht="12.75">
      <c r="A15" s="3552"/>
      <c r="B15" s="3539"/>
      <c r="C15" s="3556"/>
      <c r="D15" s="3575"/>
      <c r="E15" s="131" t="s">
        <v>1283</v>
      </c>
      <c r="F15" s="1757"/>
      <c r="G15" s="1757"/>
      <c r="H15" s="1757"/>
      <c r="I15" s="1373"/>
    </row>
    <row r="16" spans="1:12" ht="12.75">
      <c r="A16" s="3552"/>
      <c r="B16" s="3539"/>
      <c r="C16" s="3557"/>
      <c r="D16" s="3575"/>
      <c r="E16" s="131" t="s">
        <v>1284</v>
      </c>
      <c r="F16" s="1757"/>
      <c r="G16" s="1757"/>
      <c r="H16" s="1757"/>
      <c r="I16" s="1373"/>
    </row>
    <row r="17" spans="1:36" ht="15">
      <c r="A17" s="1758" t="s">
        <v>1285</v>
      </c>
      <c r="B17" s="56"/>
      <c r="C17" s="132">
        <f>SUM(C5:C16)</f>
        <v>0</v>
      </c>
      <c r="D17" s="132">
        <f>SUM(D5:D16)</f>
        <v>0</v>
      </c>
      <c r="E17" s="129"/>
      <c r="F17" s="129"/>
      <c r="G17" s="129"/>
      <c r="H17" s="129"/>
      <c r="I17" s="129"/>
      <c r="K17" s="302"/>
      <c r="L17" s="302" t="s">
        <v>1286</v>
      </c>
      <c r="M17" s="302" t="s">
        <v>1287</v>
      </c>
    </row>
    <row r="18" spans="1:36" ht="31.9" customHeight="1" thickBot="1">
      <c r="A18" s="1759" t="s">
        <v>1288</v>
      </c>
      <c r="B18" s="1760"/>
      <c r="C18" s="133" t="e">
        <f>ROUND(C17/SUM(C17:D17),2)</f>
        <v>#DIV/0!</v>
      </c>
      <c r="D18" s="133" t="e">
        <f>1-C18</f>
        <v>#DIV/0!</v>
      </c>
      <c r="E18" s="3562" t="s">
        <v>2131</v>
      </c>
      <c r="F18" s="3563"/>
      <c r="G18" s="3563"/>
      <c r="H18" s="3563"/>
      <c r="I18" s="3563"/>
      <c r="K18" s="302" t="s">
        <v>1289</v>
      </c>
      <c r="L18" s="302">
        <f>IF(C1="",'数据-汇总表'!E3,SUMIF(项目类型,C1,'数据-汇总表'!E17:E26)+SUMIF(项目类型,C1,'数据-汇总表'!I17:I26))</f>
        <v>0</v>
      </c>
      <c r="M18" s="302">
        <f>IF(C1="",'数据-汇总表'!E3,SUMIF(项目类型,C1,'数据-汇总表'!E17:E26))</f>
        <v>0</v>
      </c>
    </row>
    <row r="19" spans="1:36" ht="15">
      <c r="A19" s="1761" t="s">
        <v>1290</v>
      </c>
      <c r="B19" s="1762" t="s">
        <v>1291</v>
      </c>
      <c r="C19" s="134" t="e">
        <f ca="1">SUMIF(INDIRECT("'"&amp;C4&amp;"'"&amp;"!A:A"),结果表!B19,INDIRECT("'"&amp;C4&amp;"'"&amp;"!B:B"))</f>
        <v>#REF!</v>
      </c>
      <c r="D19" s="135" t="e">
        <f ca="1">SUMIF(INDIRECT("'"&amp;D4&amp;"'"&amp;"!A:A"),结果表!B19,INDIRECT("'"&amp;D4&amp;"'"&amp;"!B:B"))</f>
        <v>#REF!</v>
      </c>
      <c r="E19" s="1761" t="s">
        <v>1292</v>
      </c>
      <c r="F19" s="1762" t="s">
        <v>1291</v>
      </c>
      <c r="G19" s="136" t="e">
        <f ca="1">ROUND(C19*$C$18+D19*$D$18,0)</f>
        <v>#REF!</v>
      </c>
      <c r="H19" s="1763" t="s">
        <v>1293</v>
      </c>
      <c r="I19" s="129"/>
      <c r="K19" s="302" t="s">
        <v>1294</v>
      </c>
      <c r="L19" s="302" t="e">
        <f>IF(C1="",'数据-汇总表'!D3,SUMIF(项目类型,C1,'数据-汇总表'!D17:D26)+SUMIF(项目类型,C1,'数据-汇总表'!H17:H27))</f>
        <v>#DIV/0!</v>
      </c>
      <c r="M19" s="302" t="e">
        <f>IF(C1="",'数据-汇总表'!D3,SUMIF(项目类型,C1,'数据-汇总表'!D17:D26))</f>
        <v>#DIV/0!</v>
      </c>
    </row>
    <row r="20" spans="1:36" ht="15">
      <c r="A20" s="1764"/>
      <c r="B20" s="1026" t="s">
        <v>1295</v>
      </c>
      <c r="C20" s="137" t="e">
        <f ca="1">SUMIF(INDIRECT("'"&amp;C4&amp;"'"&amp;"!A:A"),结果表!B20,INDIRECT("'"&amp;C4&amp;"'"&amp;"!B:B"))</f>
        <v>#REF!</v>
      </c>
      <c r="D20" s="138" t="e">
        <f ca="1">SUMIF(INDIRECT("'"&amp;D4&amp;"'"&amp;"!A:A"),结果表!B20,INDIRECT("'"&amp;D4&amp;"'"&amp;"!B:B"))</f>
        <v>#REF!</v>
      </c>
      <c r="E20" s="1764"/>
      <c r="F20" s="1026" t="s">
        <v>1295</v>
      </c>
      <c r="G20" s="139" t="e">
        <f ca="1">ROUND(C20*$C$18+D20*$D$18,0)</f>
        <v>#REF!</v>
      </c>
      <c r="H20" s="808" t="s">
        <v>1296</v>
      </c>
      <c r="I20" s="129"/>
    </row>
    <row r="21" spans="1:36" ht="15" customHeight="1" thickBot="1">
      <c r="A21" s="828"/>
      <c r="B21" s="1765" t="s">
        <v>1297</v>
      </c>
      <c r="C21" s="719" t="e">
        <f ca="1">ROUND(C19*10000/L19,0)</f>
        <v>#REF!</v>
      </c>
      <c r="D21" s="720" t="e">
        <f ca="1">ROUND(D19*10000/L19,0)</f>
        <v>#REF!</v>
      </c>
      <c r="E21" s="828"/>
      <c r="F21" s="1765" t="s">
        <v>1297</v>
      </c>
      <c r="G21" s="140" t="e">
        <f ca="1">ROUND(G19*10000/L19,0)</f>
        <v>#REF!</v>
      </c>
      <c r="H21" s="1766" t="s">
        <v>1296</v>
      </c>
      <c r="I21" s="129"/>
    </row>
    <row r="22" spans="1:36" ht="15" thickBot="1">
      <c r="A22" s="1688" t="s">
        <v>1298</v>
      </c>
      <c r="B22" s="1767"/>
      <c r="C22" s="1768"/>
      <c r="D22" s="721" t="e">
        <f ca="1">IF(C19&lt;D19,D19/C19-1,C19/D19-1)</f>
        <v>#REF!</v>
      </c>
      <c r="E22" s="129"/>
      <c r="F22" s="129"/>
      <c r="G22" s="129"/>
      <c r="H22" s="129"/>
      <c r="I22" s="129"/>
    </row>
    <row r="23" spans="1:36" ht="13.5" thickBot="1">
      <c r="A23" s="1747"/>
      <c r="B23" s="1747"/>
      <c r="C23" s="1747"/>
      <c r="D23" s="1747"/>
      <c r="E23" s="129"/>
      <c r="F23" s="129"/>
      <c r="G23" s="129"/>
      <c r="H23" s="129"/>
      <c r="I23" s="129"/>
    </row>
    <row r="24" spans="1:36" ht="14.25">
      <c r="A24" s="3546" t="s">
        <v>1299</v>
      </c>
      <c r="B24" s="1762" t="s">
        <v>1291</v>
      </c>
      <c r="C24" s="136">
        <f>IF(B30=0,0,D30)</f>
        <v>0</v>
      </c>
      <c r="D24" s="1769"/>
      <c r="E24" s="129"/>
      <c r="F24" s="129"/>
      <c r="G24" s="129"/>
      <c r="H24" s="129"/>
      <c r="I24" s="129"/>
    </row>
    <row r="25" spans="1:36" ht="14.25">
      <c r="A25" s="354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t="e">
        <f ca="1">IF(D32="总价",G19-C24,G20-C25)</f>
        <v>#REF!</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66" t="s">
        <v>1312</v>
      </c>
      <c r="B36" s="1787" t="s">
        <v>1313</v>
      </c>
      <c r="C36" s="145"/>
      <c r="D36" s="1788"/>
      <c r="E36" s="1789"/>
      <c r="F36" s="1790"/>
      <c r="G36" s="129"/>
      <c r="H36" s="129"/>
      <c r="I36" s="129"/>
    </row>
    <row r="37" spans="1:15" ht="15.75" thickBot="1">
      <c r="A37" s="3567"/>
      <c r="B37" s="1674" t="s">
        <v>1314</v>
      </c>
      <c r="C37" s="147"/>
      <c r="D37" s="1139"/>
      <c r="E37" s="1139"/>
      <c r="F37" s="1790"/>
      <c r="G37" s="129"/>
      <c r="H37" s="129"/>
      <c r="I37" s="129"/>
    </row>
    <row r="38" spans="1:15" ht="15.75" thickBot="1">
      <c r="A38" s="356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3" t="s">
        <v>1326</v>
      </c>
      <c r="B45" s="3544"/>
      <c r="C45" s="3545"/>
      <c r="D45" s="155" t="e">
        <f ca="1">ROUND(H101*F45,0)</f>
        <v>#REF!</v>
      </c>
      <c r="E45" s="156" t="s">
        <v>1327</v>
      </c>
      <c r="F45" s="157">
        <v>1</v>
      </c>
      <c r="G45" s="158" t="s">
        <v>1328</v>
      </c>
      <c r="H45" s="129"/>
      <c r="I45" s="129"/>
      <c r="J45" s="3621" t="s">
        <v>1329</v>
      </c>
      <c r="K45" s="3621"/>
      <c r="L45" s="3621"/>
      <c r="M45" s="3621"/>
      <c r="N45" s="3621"/>
      <c r="O45" s="3621"/>
    </row>
    <row r="46" spans="1:15" ht="14.25" customHeight="1">
      <c r="A46" s="3540" t="s">
        <v>1330</v>
      </c>
      <c r="B46" s="3541"/>
      <c r="C46" s="3541"/>
      <c r="D46" s="3541"/>
      <c r="E46" s="3541"/>
      <c r="F46" s="3541"/>
      <c r="G46" s="3542"/>
      <c r="H46" s="1806"/>
      <c r="I46" s="159"/>
      <c r="J46" s="2523">
        <v>1</v>
      </c>
      <c r="K46" s="3602" t="s">
        <v>1331</v>
      </c>
      <c r="L46" s="3602"/>
      <c r="M46" s="3622"/>
      <c r="N46" s="3622"/>
      <c r="O46" s="3622"/>
    </row>
    <row r="47" spans="1:15" ht="12" customHeight="1">
      <c r="A47" s="160" t="s">
        <v>1332</v>
      </c>
      <c r="B47" s="161"/>
      <c r="C47" s="162"/>
      <c r="D47" s="1087" t="s">
        <v>1333</v>
      </c>
      <c r="E47" s="302" t="s">
        <v>1334</v>
      </c>
      <c r="F47" s="163" t="s">
        <v>1335</v>
      </c>
      <c r="G47" s="2546" t="s">
        <v>1336</v>
      </c>
      <c r="H47" s="2547"/>
      <c r="I47" s="159"/>
      <c r="J47" s="2523">
        <v>2</v>
      </c>
      <c r="K47" s="3602" t="s">
        <v>1337</v>
      </c>
      <c r="L47" s="3602"/>
      <c r="M47" s="3623">
        <f>'数据-取费表'!B2</f>
        <v>45604</v>
      </c>
      <c r="N47" s="3623"/>
      <c r="O47" s="3623"/>
    </row>
    <row r="48" spans="1:15" ht="25.5">
      <c r="A48" s="3571" t="s">
        <v>1338</v>
      </c>
      <c r="B48" s="3554"/>
      <c r="C48" s="3554"/>
      <c r="D48" s="2324" t="b">
        <f>IF(H48="情况1",0,IF(H48="情况2",D52,IF(H48="情况3",D53,IF(H48="情况4",D54))))</f>
        <v>0</v>
      </c>
      <c r="E48" s="2334" t="str">
        <f>IF(H48="情况4","(销售额-原购置价)×税（费）率","销售额×税（费）率")</f>
        <v>销售额×税（费）率</v>
      </c>
      <c r="F48" s="2548">
        <f>IF(H48="情况1","免征",'数据-取费表'!B41)</f>
        <v>0</v>
      </c>
      <c r="G48" s="2549" t="s">
        <v>1339</v>
      </c>
      <c r="H48" s="2550"/>
      <c r="I48" s="1806"/>
      <c r="J48" s="2523">
        <v>3</v>
      </c>
      <c r="K48" s="3602" t="s">
        <v>1340</v>
      </c>
      <c r="L48" s="3602"/>
      <c r="M48" s="3624" t="e">
        <f ca="1">H101</f>
        <v>#REF!</v>
      </c>
      <c r="N48" s="3624"/>
      <c r="O48" s="3624"/>
    </row>
    <row r="49" spans="1:35" ht="25.5" customHeight="1">
      <c r="A49" s="2333" t="s">
        <v>1341</v>
      </c>
      <c r="B49" s="3538" t="s">
        <v>1342</v>
      </c>
      <c r="C49" s="3538"/>
      <c r="D49" s="1590">
        <v>0</v>
      </c>
      <c r="E49" s="324" t="s">
        <v>1343</v>
      </c>
      <c r="F49" s="2424" t="s">
        <v>28</v>
      </c>
      <c r="G49" s="3608"/>
      <c r="H49" s="2310" t="s">
        <v>2134</v>
      </c>
      <c r="I49" s="2311"/>
      <c r="J49" s="2523">
        <v>4</v>
      </c>
      <c r="K49" s="3602" t="str">
        <f>IF(项目基本情况!E8="房地产抵押价值","房地产抵押价值","抵押担保权已注销时的房地产抵押价值")</f>
        <v>抵押担保权已注销时的房地产抵押价值</v>
      </c>
      <c r="L49" s="3602"/>
      <c r="M49" s="3624" t="str">
        <f>IF(项目基本情况!E8="房地产抵押价值",H107,H109)</f>
        <v>——</v>
      </c>
      <c r="N49" s="3624"/>
      <c r="O49" s="3624"/>
    </row>
    <row r="50" spans="1:35" ht="25.5" customHeight="1">
      <c r="A50" s="2551"/>
      <c r="B50" s="3538" t="s">
        <v>1344</v>
      </c>
      <c r="C50" s="3538"/>
      <c r="D50" s="2552"/>
      <c r="E50" s="332"/>
      <c r="F50" s="2424"/>
      <c r="G50" s="3609"/>
      <c r="H50" s="2312" t="s">
        <v>2135</v>
      </c>
      <c r="I50" s="2311"/>
      <c r="J50" s="3621" t="s">
        <v>1345</v>
      </c>
      <c r="K50" s="3621"/>
      <c r="L50" s="3621"/>
      <c r="M50" s="3621"/>
      <c r="N50" s="3621"/>
      <c r="O50" s="3621"/>
    </row>
    <row r="51" spans="1:35" ht="20.45" customHeight="1">
      <c r="A51" s="2553"/>
      <c r="B51" s="3538" t="s">
        <v>1346</v>
      </c>
      <c r="C51" s="3538"/>
      <c r="D51" s="1087"/>
      <c r="E51" s="327"/>
      <c r="F51" s="2424"/>
      <c r="G51" s="3610"/>
      <c r="H51" s="2312" t="s">
        <v>2136</v>
      </c>
      <c r="I51" s="2311"/>
      <c r="J51" s="2524" t="s">
        <v>1347</v>
      </c>
      <c r="K51" s="3602" t="s">
        <v>1348</v>
      </c>
      <c r="L51" s="3602"/>
      <c r="M51" s="2524" t="s">
        <v>1349</v>
      </c>
      <c r="N51" s="2524" t="s">
        <v>1350</v>
      </c>
      <c r="O51" s="2524" t="s">
        <v>1351</v>
      </c>
    </row>
    <row r="52" spans="1:35" ht="24" customHeight="1">
      <c r="A52" s="2335" t="s">
        <v>1352</v>
      </c>
      <c r="B52" s="3538" t="s">
        <v>1353</v>
      </c>
      <c r="C52" s="3538"/>
      <c r="D52" s="1087" t="e">
        <f ca="1">ROUND(D45*'数据-取费表'!B41/(1+'数据-取费表'!C42),0)</f>
        <v>#REF!</v>
      </c>
      <c r="E52" s="2334" t="s">
        <v>1354</v>
      </c>
      <c r="F52" s="2554">
        <f>'数据-取费表'!B41</f>
        <v>0</v>
      </c>
      <c r="G52" s="2555"/>
      <c r="H52" s="2544"/>
      <c r="I52" s="1807"/>
      <c r="J52" s="2523">
        <v>1</v>
      </c>
      <c r="K52" s="3603" t="s">
        <v>1355</v>
      </c>
      <c r="L52" s="3603"/>
      <c r="M52" s="2525" t="b">
        <f>D48</f>
        <v>0</v>
      </c>
      <c r="N52" s="2523" t="str">
        <f>E48</f>
        <v>销售额×税（费）率</v>
      </c>
      <c r="O52" s="2526">
        <f>F48</f>
        <v>0</v>
      </c>
    </row>
    <row r="53" spans="1:35" ht="12" customHeight="1">
      <c r="A53" s="2335" t="s">
        <v>1356</v>
      </c>
      <c r="B53" s="3564" t="s">
        <v>2291</v>
      </c>
      <c r="C53" s="3565"/>
      <c r="D53" s="1087" t="e">
        <f ca="1">ROUND(D45*'数据-取费表'!B41/(1+'数据-取费表'!C42),0)</f>
        <v>#REF!</v>
      </c>
      <c r="E53" s="2334" t="s">
        <v>1354</v>
      </c>
      <c r="F53" s="2554">
        <f>'数据-取费表'!B41</f>
        <v>0</v>
      </c>
      <c r="G53" s="2555"/>
      <c r="H53" s="2544"/>
      <c r="I53" s="1807"/>
      <c r="J53" s="2523">
        <v>2</v>
      </c>
      <c r="K53" s="3603" t="s">
        <v>1357</v>
      </c>
      <c r="L53" s="3603"/>
      <c r="M53" s="2525" t="e">
        <f t="shared" ref="M53:O54" ca="1" si="0">D55</f>
        <v>#REF!</v>
      </c>
      <c r="N53" s="2523" t="str">
        <f t="shared" si="0"/>
        <v>销售额×税（费）率</v>
      </c>
      <c r="O53" s="2526" t="str">
        <f t="shared" si="0"/>
        <v>免征</v>
      </c>
    </row>
    <row r="54" spans="1:35" ht="12" customHeight="1">
      <c r="A54" s="2335" t="s">
        <v>1358</v>
      </c>
      <c r="B54" s="3564" t="s">
        <v>2292</v>
      </c>
      <c r="C54" s="3565"/>
      <c r="D54" s="1087" t="e">
        <f ca="1">C68</f>
        <v>#REF!</v>
      </c>
      <c r="E54" s="327" t="s">
        <v>1359</v>
      </c>
      <c r="F54" s="2554">
        <f>'数据-取费表'!B41</f>
        <v>0</v>
      </c>
      <c r="G54" s="2555"/>
      <c r="H54" s="2556"/>
      <c r="I54" s="1807"/>
      <c r="J54" s="2523">
        <v>3</v>
      </c>
      <c r="K54" s="3603" t="s">
        <v>1360</v>
      </c>
      <c r="L54" s="3603"/>
      <c r="M54" s="2525" t="e">
        <f t="shared" ca="1" si="0"/>
        <v>#REF!</v>
      </c>
      <c r="N54" s="2523" t="str">
        <f t="shared" si="0"/>
        <v>增值额×税（费）率</v>
      </c>
      <c r="O54" s="2527" t="str">
        <f t="shared" si="0"/>
        <v>免征</v>
      </c>
    </row>
    <row r="55" spans="1:35" ht="24" customHeight="1">
      <c r="A55" s="3553" t="s">
        <v>1361</v>
      </c>
      <c r="B55" s="3554"/>
      <c r="C55" s="3554"/>
      <c r="D55" s="2324" t="e">
        <f ca="1">IF(H55="个人住宅",0,ROUND(D45*I55,0))</f>
        <v>#REF!</v>
      </c>
      <c r="E55" s="2334" t="s">
        <v>1362</v>
      </c>
      <c r="F55" s="2554" t="str">
        <f>IF(H55="正常",I55,"免征")</f>
        <v>免征</v>
      </c>
      <c r="G55" s="2555"/>
      <c r="H55" s="2550"/>
      <c r="I55" s="165">
        <f>'数据-取费表'!B49</f>
        <v>0</v>
      </c>
      <c r="J55" s="2523">
        <f>IF(H59="非个人房产","",4)</f>
        <v>4</v>
      </c>
      <c r="K55" s="3603" t="str">
        <f>IF(H59="非个人房产","——","个人所得税")</f>
        <v>个人所得税</v>
      </c>
      <c r="L55" s="3603"/>
      <c r="M55" s="2528" t="e">
        <f ca="1">D59</f>
        <v>#REF!</v>
      </c>
      <c r="N55" s="2040" t="str">
        <f>E59</f>
        <v>差额计税</v>
      </c>
      <c r="O55" s="2529">
        <f>F59</f>
        <v>0.01</v>
      </c>
    </row>
    <row r="56" spans="1:35" ht="24.75">
      <c r="A56" s="3553" t="s">
        <v>1363</v>
      </c>
      <c r="B56" s="3554"/>
      <c r="C56" s="3554"/>
      <c r="D56" s="2324" t="e">
        <f ca="1">IF(H56="个人住宅",D57,D58)</f>
        <v>#REF!</v>
      </c>
      <c r="E56" s="2334" t="s">
        <v>1364</v>
      </c>
      <c r="F56" s="2554" t="str">
        <f>IF(H56="正常",F58,"免征")</f>
        <v>免征</v>
      </c>
      <c r="G56" s="2557" t="s">
        <v>1365</v>
      </c>
      <c r="H56" s="2558"/>
      <c r="I56" s="1808"/>
      <c r="J56" s="2523" t="str">
        <f>IF(项目基本情况!K6="上海银行",IF(J55="",4,J55+1),"")</f>
        <v/>
      </c>
      <c r="K56" s="3626" t="str">
        <f>IF(项目基本情况!K6="上海银行","其他处置费用","")</f>
        <v/>
      </c>
      <c r="L56" s="3627"/>
      <c r="M56" s="2525" t="str">
        <f>IF(项目基本情况!K6="上海银行",M69,"")</f>
        <v/>
      </c>
      <c r="N56" s="3626" t="str">
        <f>IF(项目基本情况!K6="上海银行","包含处置中涉及的律师、诉讼、拍卖、评估等费用","")</f>
        <v/>
      </c>
      <c r="O56" s="3629"/>
    </row>
    <row r="57" spans="1:35" ht="12.75">
      <c r="A57" s="2335" t="s">
        <v>1341</v>
      </c>
      <c r="B57" s="3564" t="s">
        <v>1366</v>
      </c>
      <c r="C57" s="3565"/>
      <c r="D57" s="1590">
        <v>0</v>
      </c>
      <c r="E57" s="324" t="s">
        <v>1343</v>
      </c>
      <c r="F57" s="302"/>
      <c r="G57" s="2555"/>
      <c r="H57" s="2559"/>
      <c r="I57" s="1808"/>
      <c r="J57" s="3603">
        <f>IF(AND(J55="",J56=""),4,IF(项目基本情况!K6="上海银行",结果表!J56+1,结果表!J55+1))</f>
        <v>5</v>
      </c>
      <c r="K57" s="3603" t="s">
        <v>1367</v>
      </c>
      <c r="L57" s="2530" t="s">
        <v>1368</v>
      </c>
      <c r="M57" s="2531"/>
      <c r="N57" s="2532">
        <f ca="1">SUMIF(M52:M56,"&lt;9e307")</f>
        <v>0</v>
      </c>
      <c r="O57" s="2533"/>
      <c r="P57" s="2690" t="e">
        <f ca="1">N57/M49</f>
        <v>#VALUE!</v>
      </c>
    </row>
    <row r="58" spans="1:35" ht="24.75">
      <c r="A58" s="2335" t="s">
        <v>1352</v>
      </c>
      <c r="B58" s="3564" t="s">
        <v>1369</v>
      </c>
      <c r="C58" s="3538"/>
      <c r="D58" s="2324" t="e">
        <f ca="1">IF(H58="转让取得",C81,C97)</f>
        <v>#REF!</v>
      </c>
      <c r="E58" s="2334" t="s">
        <v>1364</v>
      </c>
      <c r="F58" s="302" t="s">
        <v>28</v>
      </c>
      <c r="G58" s="2555"/>
      <c r="H58" s="2558"/>
      <c r="I58" s="1808"/>
      <c r="J58" s="3603"/>
      <c r="K58" s="3603"/>
      <c r="L58" s="2530" t="s">
        <v>1370</v>
      </c>
      <c r="M58" s="2534"/>
      <c r="N58" s="2535" t="str">
        <f ca="1">NUMBERSTRING(INT(N57*10000),2)&amp;"元整"</f>
        <v>零元整</v>
      </c>
      <c r="O58" s="2536"/>
    </row>
    <row r="59" spans="1:35" ht="24.75" thickBot="1">
      <c r="A59" s="3606" t="s">
        <v>1371</v>
      </c>
      <c r="B59" s="3607"/>
      <c r="C59" s="3607"/>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4">
        <f>J57+1</f>
        <v>6</v>
      </c>
      <c r="K59" s="3603" t="s">
        <v>1372</v>
      </c>
      <c r="L59" s="2523" t="s">
        <v>1368</v>
      </c>
      <c r="M59" s="2537"/>
      <c r="N59" s="2538" t="e">
        <f ca="1">M49-N57</f>
        <v>#VALUE!</v>
      </c>
      <c r="O59" s="2539"/>
    </row>
    <row r="60" spans="1:35" ht="12" customHeight="1">
      <c r="A60" s="1809"/>
      <c r="B60" s="1747"/>
      <c r="C60" s="1747"/>
      <c r="D60" s="1747"/>
      <c r="E60" s="1578"/>
      <c r="F60" s="1808"/>
      <c r="G60" s="1808"/>
      <c r="H60" s="1810"/>
      <c r="I60" s="129"/>
      <c r="J60" s="3605"/>
      <c r="K60" s="3603"/>
      <c r="L60" s="2530" t="s">
        <v>1370</v>
      </c>
      <c r="M60" s="2534"/>
      <c r="N60" s="2535" t="e">
        <f ca="1">NUMBERSTRING(INT(N59*10000),2)&amp;"元整"</f>
        <v>#VALUE!</v>
      </c>
      <c r="O60" s="2536"/>
    </row>
    <row r="61" spans="1:35" ht="13.5" thickBot="1">
      <c r="A61" s="3551" t="s">
        <v>1373</v>
      </c>
      <c r="B61" s="3551"/>
      <c r="C61" s="3551"/>
      <c r="D61" s="3551"/>
      <c r="E61" s="3551"/>
      <c r="F61" s="1808"/>
      <c r="G61" s="1808"/>
      <c r="H61" s="1810"/>
      <c r="I61" s="129"/>
      <c r="J61" s="2523">
        <f>J59+1</f>
        <v>7</v>
      </c>
      <c r="K61" s="3603" t="s">
        <v>1374</v>
      </c>
      <c r="L61" s="3603"/>
      <c r="M61" s="2540"/>
      <c r="N61" s="2541" t="e">
        <f ca="1">ROUND(N59*10000/'数据-汇总表'!E3,0)</f>
        <v>#VALUE!</v>
      </c>
      <c r="O61" s="2542"/>
    </row>
    <row r="62" spans="1:35" ht="12.75">
      <c r="A62" s="3569" t="s">
        <v>1375</v>
      </c>
      <c r="B62" s="3570"/>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628"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628"/>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28"/>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28"/>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628"/>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0</v>
      </c>
      <c r="E68" s="178"/>
      <c r="F68" s="1808"/>
      <c r="G68" s="1808"/>
      <c r="H68" s="1810"/>
      <c r="I68" s="129"/>
      <c r="J68" s="3628"/>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28"/>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0" t="s">
        <v>1394</v>
      </c>
      <c r="B70" s="3591"/>
      <c r="C70" s="3591"/>
      <c r="D70" s="3591"/>
      <c r="E70" s="3591"/>
      <c r="F70" s="3591"/>
      <c r="G70" s="3591"/>
      <c r="H70" s="3591"/>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69" t="s">
        <v>1375</v>
      </c>
      <c r="B71" s="3570"/>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4" t="s">
        <v>1402</v>
      </c>
      <c r="F76" s="3538"/>
      <c r="G76" s="3538"/>
      <c r="H76" s="3589"/>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0</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0</v>
      </c>
      <c r="E78" s="3548" t="s">
        <v>1406</v>
      </c>
      <c r="F78" s="3549"/>
      <c r="G78" s="3549"/>
      <c r="H78" s="355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0" t="s">
        <v>1410</v>
      </c>
      <c r="B83" s="3591"/>
      <c r="C83" s="3591"/>
      <c r="D83" s="3591"/>
      <c r="E83" s="3591"/>
      <c r="F83" s="3591"/>
      <c r="G83" s="3591"/>
      <c r="H83" s="3591"/>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69" t="s">
        <v>1375</v>
      </c>
      <c r="B84" s="3570"/>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0</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0" t="s">
        <v>2129</v>
      </c>
      <c r="H90" s="3631"/>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48" t="s">
        <v>1419</v>
      </c>
      <c r="F91" s="3549"/>
      <c r="G91" s="354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48" t="s">
        <v>1422</v>
      </c>
      <c r="F92" s="3549"/>
      <c r="G92" s="3549"/>
      <c r="H92" s="3558"/>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0</v>
      </c>
      <c r="E93" s="3548" t="s">
        <v>1406</v>
      </c>
      <c r="F93" s="3549"/>
      <c r="G93" s="3549"/>
      <c r="H93" s="355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59" t="s">
        <v>1426</v>
      </c>
      <c r="F94" s="3560"/>
      <c r="G94" s="3560"/>
      <c r="H94" s="3561"/>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2" t="s">
        <v>1428</v>
      </c>
      <c r="B100" s="3533"/>
      <c r="C100" s="3533"/>
      <c r="D100" s="3550"/>
      <c r="E100" s="3533" t="s">
        <v>1429</v>
      </c>
      <c r="F100" s="3533"/>
      <c r="G100" s="3533"/>
      <c r="H100" s="3550"/>
      <c r="I100" s="129"/>
    </row>
    <row r="101" spans="1:35" ht="18.75" customHeight="1">
      <c r="A101" s="3611" t="s">
        <v>1430</v>
      </c>
      <c r="B101" s="3612"/>
      <c r="C101" s="2585">
        <f>C4</f>
        <v>0</v>
      </c>
      <c r="D101" s="2586">
        <f>D4</f>
        <v>0</v>
      </c>
      <c r="E101" s="3625" t="s">
        <v>1431</v>
      </c>
      <c r="F101" s="3582"/>
      <c r="G101" s="1827" t="s">
        <v>1432</v>
      </c>
      <c r="H101" s="2595" t="e">
        <f ca="1">H118</f>
        <v>#REF!</v>
      </c>
      <c r="I101" s="129"/>
    </row>
    <row r="102" spans="1:35" ht="18.75" customHeight="1">
      <c r="A102" s="3584" t="s">
        <v>1433</v>
      </c>
      <c r="B102" s="2584" t="s">
        <v>1432</v>
      </c>
      <c r="C102" s="2585" t="e">
        <f ca="1">IF(D32="楼面单价",ROUND(C19,0),C19)</f>
        <v>#REF!</v>
      </c>
      <c r="D102" s="2586" t="e">
        <f ca="1">IF(D32="楼面单价",ROUND(D19,0),D19)</f>
        <v>#REF!</v>
      </c>
      <c r="E102" s="3625"/>
      <c r="F102" s="3582"/>
      <c r="G102" s="1827" t="s">
        <v>1434</v>
      </c>
      <c r="H102" s="2555" t="e">
        <f ca="1">I118</f>
        <v>#REF!</v>
      </c>
      <c r="I102" s="129"/>
    </row>
    <row r="103" spans="1:35" ht="42.75" customHeight="1">
      <c r="A103" s="3584"/>
      <c r="B103" s="2584" t="s">
        <v>1434</v>
      </c>
      <c r="C103" s="2587" t="e">
        <f ca="1">C20</f>
        <v>#REF!</v>
      </c>
      <c r="D103" s="2588" t="e">
        <f ca="1">D20</f>
        <v>#REF!</v>
      </c>
      <c r="E103" s="3619" t="s">
        <v>1435</v>
      </c>
      <c r="F103" s="3620"/>
      <c r="G103" s="1828" t="s">
        <v>1436</v>
      </c>
      <c r="H103" s="2595">
        <f>IF(D36="正常操作",H104+H105+H106,H105+H106)</f>
        <v>0</v>
      </c>
      <c r="I103" s="129"/>
    </row>
    <row r="104" spans="1:35" ht="18.75" customHeight="1">
      <c r="A104" s="3584"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585"/>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1" t="str">
        <f>IF(项目基本情况!E8="已注销","——","3.房地产抵押价值")</f>
        <v>3.房地产抵押价值</v>
      </c>
      <c r="F107" s="3582"/>
      <c r="G107" s="1827" t="s">
        <v>1432</v>
      </c>
      <c r="H107" s="2595" t="e">
        <f ca="1">IF(E107="——","——",H101-H103)</f>
        <v>#REF!</v>
      </c>
      <c r="I107" s="129"/>
    </row>
    <row r="108" spans="1:35" ht="18.75" customHeight="1">
      <c r="A108" s="129"/>
      <c r="B108" s="129"/>
      <c r="C108" s="129"/>
      <c r="D108" s="129"/>
      <c r="E108" s="3581"/>
      <c r="F108" s="3582"/>
      <c r="G108" s="1827" t="s">
        <v>1434</v>
      </c>
      <c r="H108" s="2555">
        <f ca="1">IF(H107=H101,H102,ROUND(H107*10000/'数据-汇总表'!E3,0))</f>
        <v>0</v>
      </c>
      <c r="I108" s="129"/>
    </row>
    <row r="109" spans="1:35" ht="18.75" customHeight="1">
      <c r="A109" s="129"/>
      <c r="B109" s="129"/>
      <c r="C109" s="129"/>
      <c r="D109" s="129"/>
      <c r="E109" s="3581" t="str">
        <f>IF(项目基本情况!E8="已注销及未注销","4.抵押担保权已注销时的房地产抵押价值",IF(项目基本情况!E8="已注销","3.抵押担保权已注销时的房地产抵押价值","——"))</f>
        <v>——</v>
      </c>
      <c r="F109" s="3582"/>
      <c r="G109" s="1827" t="s">
        <v>1432</v>
      </c>
      <c r="H109" s="2598" t="str">
        <f>IF(E109="——","——",H101-H105-H106)</f>
        <v>——</v>
      </c>
      <c r="I109" s="129"/>
    </row>
    <row r="110" spans="1:35" ht="18.75" customHeight="1">
      <c r="A110" s="129"/>
      <c r="B110" s="129"/>
      <c r="C110" s="129"/>
      <c r="D110" s="129"/>
      <c r="E110" s="3581"/>
      <c r="F110" s="3582"/>
      <c r="G110" s="1827" t="s">
        <v>1434</v>
      </c>
      <c r="H110" s="2555" t="str">
        <f>IF(H109="——","——",ROUND(H109*10000/'数据-汇总表'!E3,0))</f>
        <v>——</v>
      </c>
      <c r="I110" s="129"/>
    </row>
    <row r="111" spans="1:35" ht="18.75" customHeight="1">
      <c r="A111" s="129"/>
      <c r="B111" s="129"/>
      <c r="C111" s="129"/>
      <c r="D111" s="129"/>
      <c r="E111" s="3613" t="str">
        <f>IF(项目基本情况!E9="抵押净值",IF(OR(项目基本情况!E8="已注销",项目基本情况!E8="房地产抵押价值"),"4.抵押净值","5.抵押净值"),"——")</f>
        <v>——</v>
      </c>
      <c r="F111" s="3583"/>
      <c r="G111" s="1827" t="s">
        <v>1432</v>
      </c>
      <c r="H111" s="2595" t="str">
        <f>IF(E111="——","——",N59)</f>
        <v>——</v>
      </c>
      <c r="I111" s="129"/>
    </row>
    <row r="112" spans="1:35" ht="18.75" customHeight="1" thickBot="1">
      <c r="A112" s="129"/>
      <c r="B112" s="129"/>
      <c r="C112" s="129"/>
      <c r="D112" s="129"/>
      <c r="E112" s="3614"/>
      <c r="F112" s="3615"/>
      <c r="G112" s="1830" t="s">
        <v>1434</v>
      </c>
      <c r="H112" s="2599" t="str">
        <f>IF(E111="——","——",N61)</f>
        <v>——</v>
      </c>
      <c r="I112" s="129"/>
    </row>
    <row r="113" spans="1:27" ht="18.75" customHeight="1">
      <c r="A113" s="129"/>
      <c r="B113" s="129"/>
      <c r="C113" s="129"/>
      <c r="D113" s="129"/>
      <c r="E113" s="3586" t="s">
        <v>1440</v>
      </c>
      <c r="F113" s="3586"/>
      <c r="G113" s="3586"/>
      <c r="H113" s="3586"/>
      <c r="I113" s="129"/>
    </row>
    <row r="114" spans="1:27" ht="3.75" customHeight="1">
      <c r="A114" s="1747"/>
      <c r="B114" s="1747"/>
      <c r="C114" s="1747"/>
      <c r="D114" s="1747"/>
      <c r="E114" s="1809"/>
      <c r="F114" s="1809"/>
      <c r="G114" s="1809"/>
      <c r="H114" s="1809"/>
      <c r="I114" s="1747"/>
    </row>
    <row r="115" spans="1:27" ht="18.75" customHeight="1">
      <c r="A115" s="3596" t="s">
        <v>1442</v>
      </c>
      <c r="B115" s="3597"/>
      <c r="C115" s="3597"/>
      <c r="D115" s="3597"/>
      <c r="E115" s="3597"/>
      <c r="F115" s="3597"/>
      <c r="G115" s="3597"/>
      <c r="H115" s="3597"/>
      <c r="I115" s="3598"/>
    </row>
    <row r="116" spans="1:27" ht="27" customHeight="1">
      <c r="A116" s="3552" t="s">
        <v>1443</v>
      </c>
      <c r="B116" s="3587" t="s">
        <v>1444</v>
      </c>
      <c r="C116" s="3587" t="s">
        <v>1445</v>
      </c>
      <c r="D116" s="3600" t="s">
        <v>1446</v>
      </c>
      <c r="E116" s="3601"/>
      <c r="F116" s="3595" t="s">
        <v>1447</v>
      </c>
      <c r="G116" s="3595"/>
      <c r="H116" s="3552" t="s">
        <v>1448</v>
      </c>
      <c r="I116" s="3552"/>
    </row>
    <row r="117" spans="1:27" ht="18.75" customHeight="1">
      <c r="A117" s="3552"/>
      <c r="B117" s="3588"/>
      <c r="C117" s="3588"/>
      <c r="D117" s="2329" t="s">
        <v>1449</v>
      </c>
      <c r="E117" s="2329" t="s">
        <v>1450</v>
      </c>
      <c r="F117" s="2329" t="s">
        <v>1449</v>
      </c>
      <c r="G117" s="2329" t="s">
        <v>1451</v>
      </c>
      <c r="H117" s="2329" t="s">
        <v>1449</v>
      </c>
      <c r="I117" s="2329" t="s">
        <v>1451</v>
      </c>
    </row>
    <row r="118" spans="1:27" ht="24.75" customHeight="1">
      <c r="A118" s="2600" t="str">
        <f>项目基本情况!S2</f>
        <v>房地产</v>
      </c>
      <c r="B118" s="2329">
        <f>M18</f>
        <v>0</v>
      </c>
      <c r="C118" s="2329" t="e">
        <f>M19</f>
        <v>#DIV/0!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52" t="s">
        <v>1452</v>
      </c>
      <c r="B119" s="3552"/>
      <c r="C119" s="3552"/>
      <c r="D119" s="3592" t="e">
        <f ca="1">NUMBERSTRING(INT(D118*10000),2)&amp;"元整"</f>
        <v>#REF!</v>
      </c>
      <c r="E119" s="3594"/>
      <c r="F119" s="3592" t="e">
        <f ca="1">NUMBERSTRING(INT(F118*10000),2)&amp;"元整"</f>
        <v>#REF!</v>
      </c>
      <c r="G119" s="3594"/>
      <c r="H119" s="3592" t="e">
        <f ca="1">NUMBERSTRING(INT(H118*10000),2)&amp;"元整"</f>
        <v>#REF!</v>
      </c>
      <c r="I119" s="3594"/>
    </row>
    <row r="120" spans="1:27" ht="18.75" customHeight="1">
      <c r="A120" s="3616" t="str">
        <f>IF(项目基本情况!B9="房地产市场价值","",MID(E103,3,LEN(E103)-2))</f>
        <v>估价师知悉的法定优先受偿款</v>
      </c>
      <c r="B120" s="3617"/>
      <c r="C120" s="3618"/>
      <c r="D120" s="3616">
        <f>H103</f>
        <v>0</v>
      </c>
      <c r="E120" s="3617"/>
      <c r="F120" s="3617"/>
      <c r="G120" s="3617"/>
      <c r="H120" s="3617"/>
      <c r="I120" s="3618"/>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2" t="s">
        <v>1452</v>
      </c>
      <c r="B121" s="3593"/>
      <c r="C121" s="3594"/>
      <c r="D121" s="3592" t="str">
        <f>IF(D120=0,"零元整",NUMBERSTRING(INT(D120*10000),2)&amp;"元整")</f>
        <v>零元整</v>
      </c>
      <c r="E121" s="3593"/>
      <c r="F121" s="3593"/>
      <c r="G121" s="3593"/>
      <c r="H121" s="3593"/>
      <c r="I121" s="3594"/>
      <c r="AA121" s="725"/>
    </row>
    <row r="122" spans="1:27" ht="18.75" customHeight="1">
      <c r="A122" s="3583" t="str">
        <f>IF(项目基本情况!B9="房地产市场价值","",MID(E107,3,LEN(E107)-2))</f>
        <v>房地产抵押价值</v>
      </c>
      <c r="B122" s="3583"/>
      <c r="C122" s="3583"/>
      <c r="D122" s="3616" t="e">
        <f ca="1">H107</f>
        <v>#REF!</v>
      </c>
      <c r="E122" s="3617"/>
      <c r="F122" s="3617"/>
      <c r="G122" s="3617"/>
      <c r="H122" s="3617"/>
      <c r="I122" s="3618"/>
      <c r="AA122" s="725"/>
    </row>
    <row r="123" spans="1:27" ht="18.75" customHeight="1">
      <c r="A123" s="3552" t="s">
        <v>1452</v>
      </c>
      <c r="B123" s="3552"/>
      <c r="C123" s="3552"/>
      <c r="D123" s="3592" t="e">
        <f ca="1">NUMBERSTRING(INT(D122*10000),2)&amp;"元整"</f>
        <v>#REF!</v>
      </c>
      <c r="E123" s="3593"/>
      <c r="F123" s="3593"/>
      <c r="G123" s="3593"/>
      <c r="H123" s="3593"/>
      <c r="I123" s="3594"/>
      <c r="AA123" s="725"/>
    </row>
    <row r="124" spans="1:27" ht="18.75" customHeight="1">
      <c r="A124" s="3583" t="str">
        <f>IF(项目基本情况!B9="房地产市场价值","",MID(E109,3,LEN(E109)-2))</f>
        <v/>
      </c>
      <c r="B124" s="3583"/>
      <c r="C124" s="3583"/>
      <c r="D124" s="3616" t="str">
        <f>H109</f>
        <v>——</v>
      </c>
      <c r="E124" s="3617"/>
      <c r="F124" s="3617"/>
      <c r="G124" s="3617"/>
      <c r="H124" s="3617"/>
      <c r="I124" s="3618"/>
      <c r="AA124" s="725"/>
    </row>
    <row r="125" spans="1:27" ht="18.75" customHeight="1">
      <c r="A125" s="3552" t="s">
        <v>1452</v>
      </c>
      <c r="B125" s="3552"/>
      <c r="C125" s="3552"/>
      <c r="D125" s="3592" t="e">
        <f>NUMBERSTRING(INT(D124*10000),2)&amp;"元整"</f>
        <v>#VALUE!</v>
      </c>
      <c r="E125" s="3593"/>
      <c r="F125" s="3593"/>
      <c r="G125" s="3593"/>
      <c r="H125" s="3593"/>
      <c r="I125" s="3594"/>
      <c r="AA125" s="725"/>
    </row>
    <row r="126" spans="1:27" ht="18.75" customHeight="1">
      <c r="A126" s="3583" t="str">
        <f>IF(项目基本情况!B9="房地产市场价值","",MID(E111,3,LEN(E111)-2))</f>
        <v/>
      </c>
      <c r="B126" s="3583"/>
      <c r="C126" s="3583"/>
      <c r="D126" s="3616" t="str">
        <f>H111</f>
        <v>——</v>
      </c>
      <c r="E126" s="3617"/>
      <c r="F126" s="3617"/>
      <c r="G126" s="3617"/>
      <c r="H126" s="3617"/>
      <c r="I126" s="3618"/>
      <c r="AA126" s="725"/>
    </row>
    <row r="127" spans="1:27" ht="18.75" customHeight="1">
      <c r="A127" s="3552" t="s">
        <v>1452</v>
      </c>
      <c r="B127" s="3552"/>
      <c r="C127" s="3552"/>
      <c r="D127" s="3592" t="e">
        <f>NUMBERSTRING(INT(D126*10000),2)&amp;"元整"</f>
        <v>#VALUE!</v>
      </c>
      <c r="E127" s="3593"/>
      <c r="F127" s="3593"/>
      <c r="G127" s="3593"/>
      <c r="H127" s="3593"/>
      <c r="I127" s="3594"/>
      <c r="AA127" s="725"/>
    </row>
    <row r="128" spans="1:27" ht="21.75" customHeight="1">
      <c r="A128" s="3599" t="s">
        <v>1453</v>
      </c>
      <c r="B128" s="3599"/>
      <c r="C128" s="3599"/>
      <c r="D128" s="3599"/>
      <c r="E128" s="3599"/>
      <c r="F128" s="3599"/>
      <c r="G128" s="3599"/>
      <c r="H128" s="3599"/>
      <c r="I128" s="3599"/>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6</v>
      </c>
    </row>
    <row r="2" spans="1:9" s="200" customFormat="1" ht="18" customHeight="1">
      <c r="A2" s="201" t="s">
        <v>1462</v>
      </c>
      <c r="B2" s="202" t="e">
        <f ca="1">IF(D2="——",C52,C52-E2)</f>
        <v>#VALUE!</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t="e">
        <f ca="1">ROUND(B2*10000/(IF(B1="",'数据-汇总表'!E3,INDIRECT("'数据-取费表'!k"&amp;$G$1))),0)</f>
        <v>#VALUE!</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0</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0</v>
      </c>
      <c r="D19" s="849">
        <f ca="1">D9+D10</f>
        <v>0</v>
      </c>
      <c r="E19" s="211">
        <f>'数据-取费表'!B31</f>
        <v>0</v>
      </c>
      <c r="F19" s="231"/>
      <c r="G19" s="1856"/>
    </row>
    <row r="20" spans="1:7" s="214" customFormat="1" ht="13.5" customHeight="1">
      <c r="A20" s="255" t="s">
        <v>1493</v>
      </c>
      <c r="B20" s="210" t="s">
        <v>1494</v>
      </c>
      <c r="C20" s="232">
        <f ca="1">ROUND((C5+C19)*F20,0)</f>
        <v>0</v>
      </c>
      <c r="D20" s="232"/>
      <c r="E20" s="232"/>
      <c r="F20" s="233">
        <f>'数据-取费表'!B37</f>
        <v>0</v>
      </c>
      <c r="G20" s="234" t="s">
        <v>1495</v>
      </c>
    </row>
    <row r="21" spans="1:7" s="214" customFormat="1" ht="13.5" customHeight="1">
      <c r="A21" s="255" t="s">
        <v>1496</v>
      </c>
      <c r="B21" s="210" t="s">
        <v>1497</v>
      </c>
      <c r="C21" s="235">
        <f>F21</f>
        <v>0</v>
      </c>
      <c r="D21" s="236" t="s">
        <v>1498</v>
      </c>
      <c r="E21" s="232"/>
      <c r="F21" s="233">
        <f>'数据-取费表'!B38</f>
        <v>0</v>
      </c>
      <c r="G21" s="234" t="s">
        <v>1499</v>
      </c>
    </row>
    <row r="22" spans="1:7" s="214" customFormat="1" ht="13.5" customHeight="1">
      <c r="A22" s="255" t="s">
        <v>1500</v>
      </c>
      <c r="B22" s="210" t="s">
        <v>1501</v>
      </c>
      <c r="C22" s="1104" t="e">
        <f ca="1">ROUND(SUM(C23:C25),0)</f>
        <v>#VALUE!</v>
      </c>
      <c r="D22" s="235" t="e">
        <f ca="1">C26</f>
        <v>#VALUE!</v>
      </c>
      <c r="E22" s="236" t="s">
        <v>1498</v>
      </c>
      <c r="F22" s="237" t="e">
        <f ca="1">'数据-取费表'!B40</f>
        <v>#VALUE!</v>
      </c>
      <c r="G22" s="234" t="str">
        <f>IF('数据-取费表'!B22&lt;=1,"单利计息","复利计息")</f>
        <v>单利计息</v>
      </c>
    </row>
    <row r="23" spans="1:7" s="214" customFormat="1" ht="13.5" customHeight="1">
      <c r="A23" s="780" t="s">
        <v>1502</v>
      </c>
      <c r="B23" s="215" t="s">
        <v>1503</v>
      </c>
      <c r="C23" s="1105" t="e">
        <f ca="1">ROUND(IF('数据-取费表'!B22&lt;=1,C5*F22*'数据-取费表'!B23,C5*(POWER((1+F22),'数据-取费表'!B23)-1)),0)</f>
        <v>#VALUE!</v>
      </c>
      <c r="D23" s="238"/>
      <c r="E23" s="238"/>
      <c r="F23" s="239"/>
      <c r="G23" s="240" t="s">
        <v>1504</v>
      </c>
    </row>
    <row r="24" spans="1:7" s="214" customFormat="1" ht="13.5" customHeight="1">
      <c r="A24" s="780" t="s">
        <v>1505</v>
      </c>
      <c r="B24" s="215" t="s">
        <v>1506</v>
      </c>
      <c r="C24" s="1105" t="e">
        <f ca="1">ROUND(IF('数据-取费表'!B22&lt;=1,C19*F22*('数据-取费表'!B19/2+'数据-取费表'!B21),C19*(POWER((1+F22),('数据-取费表'!B19/2+'数据-取费表'!B21))-1)),0)</f>
        <v>#VALUE!</v>
      </c>
      <c r="D24" s="238"/>
      <c r="E24" s="238"/>
      <c r="F24" s="239"/>
      <c r="G24" s="240" t="s">
        <v>1507</v>
      </c>
    </row>
    <row r="25" spans="1:7" s="214" customFormat="1" ht="24">
      <c r="A25" s="780" t="s">
        <v>1508</v>
      </c>
      <c r="B25" s="215" t="s">
        <v>1509</v>
      </c>
      <c r="C25" s="1105" t="e">
        <f ca="1">ROUND(IF('数据-取费表'!B22&lt;=1,C20*F22*'数据-取费表'!B23/2,C20*(POWER((1+F22),'数据-取费表'!B23/2)-1)),0)</f>
        <v>#VALUE!</v>
      </c>
      <c r="D25" s="238"/>
      <c r="E25" s="241"/>
      <c r="F25" s="239"/>
      <c r="G25" s="242" t="s">
        <v>1510</v>
      </c>
    </row>
    <row r="26" spans="1:7" s="214" customFormat="1">
      <c r="A26" s="780" t="s">
        <v>350</v>
      </c>
      <c r="B26" s="215" t="s">
        <v>1511</v>
      </c>
      <c r="C26" s="238" t="e">
        <f ca="1">ROUND(IF('数据-取费表'!B22&lt;=1,F21*F22*'数据-取费表'!B23/2,F21*(POWER((1+F22),'数据-取费表'!B23/2)-1)),4)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80" t="s">
        <v>346</v>
      </c>
      <c r="B28" s="248" t="s">
        <v>1516</v>
      </c>
      <c r="C28" s="249" t="e">
        <f ca="1">ROUND((C5+C19+C20)*F27*'数据-取费表'!B21/'数据-取费表'!B20,0)</f>
        <v>#DIV/0!</v>
      </c>
      <c r="D28" s="235"/>
      <c r="E28" s="236"/>
      <c r="F28" s="246"/>
      <c r="G28" s="247"/>
    </row>
    <row r="29" spans="1:7" s="214" customFormat="1" ht="13.5" customHeight="1">
      <c r="A29" s="780" t="s">
        <v>347</v>
      </c>
      <c r="B29" s="248" t="s">
        <v>1517</v>
      </c>
      <c r="C29" s="238" t="e">
        <f ca="1">ROUND(C21*F27*'数据-取费表'!B21/'数据-取费表'!B20,4)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1</v>
      </c>
      <c r="G34" s="219" t="s">
        <v>1526</v>
      </c>
    </row>
    <row r="35" spans="1:7" ht="13.5" customHeight="1">
      <c r="A35" s="780" t="s">
        <v>351</v>
      </c>
      <c r="B35" s="215" t="s">
        <v>1527</v>
      </c>
      <c r="C35" s="220">
        <f ca="1">ROUND(C34*F35,0)</f>
        <v>0</v>
      </c>
      <c r="D35" s="220"/>
      <c r="E35" s="220"/>
      <c r="F35" s="259">
        <f>'数据-取费表'!B33</f>
        <v>0</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0</v>
      </c>
      <c r="D37" s="217">
        <f ca="1">D19</f>
        <v>0</v>
      </c>
      <c r="E37" s="249">
        <f>'数据-取费表'!B35</f>
        <v>0</v>
      </c>
      <c r="F37" s="259"/>
      <c r="G37" s="261" t="s">
        <v>1532</v>
      </c>
    </row>
    <row r="38" spans="1:7" ht="13.5" customHeight="1">
      <c r="A38" s="780"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7">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80" t="s">
        <v>346</v>
      </c>
      <c r="B42" s="215" t="s">
        <v>1543</v>
      </c>
      <c r="C42" s="238" t="e">
        <f ca="1">ROUND(IF('数据-取费表'!B22&lt;=1,C33*F22*'数据-取费表'!B21/2,C33*(POWER((1+F22),'数据-取费表'!B21/2)-1)),0)</f>
        <v>#VALUE!</v>
      </c>
      <c r="D42" s="238"/>
      <c r="E42" s="238"/>
      <c r="F42" s="239"/>
      <c r="G42" s="3632" t="s">
        <v>1544</v>
      </c>
    </row>
    <row r="43" spans="1:7" ht="13.5" customHeight="1">
      <c r="A43" s="780" t="s">
        <v>347</v>
      </c>
      <c r="B43" s="215" t="s">
        <v>1545</v>
      </c>
      <c r="C43" s="238" t="e">
        <f ca="1">ROUND(IF('数据-取费表'!B22&lt;=1,C39*F22*'数据-取费表'!B21/2,C39*(POWER((1+F22),'数据-取费表'!B21/2)-1)),0)</f>
        <v>#VALUE!</v>
      </c>
      <c r="D43" s="238"/>
      <c r="E43" s="238"/>
      <c r="F43" s="239"/>
      <c r="G43" s="3633"/>
    </row>
    <row r="44" spans="1:7" ht="13.5" customHeight="1">
      <c r="A44" s="780" t="s">
        <v>348</v>
      </c>
      <c r="B44" s="215" t="s">
        <v>1546</v>
      </c>
      <c r="C44" s="238" t="e">
        <f ca="1">ROUND(IF('数据-取费表'!B22&lt;=1,C40*F22*'数据-取费表'!B21/2,C40*(POWER((1+F22),'数据-取费表'!B21/2)-1)),4)</f>
        <v>#VALUE!</v>
      </c>
      <c r="D44" s="238"/>
      <c r="E44" s="238"/>
      <c r="F44" s="239"/>
      <c r="G44" s="3634"/>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80" t="s">
        <v>346</v>
      </c>
      <c r="B46" s="248" t="s">
        <v>1549</v>
      </c>
      <c r="C46" s="249" t="e">
        <f ca="1">ROUND((C33+C39)*F27,0)</f>
        <v>#DIV/0!</v>
      </c>
      <c r="D46" s="263"/>
      <c r="E46" s="236"/>
      <c r="F46" s="246"/>
      <c r="G46" s="247"/>
    </row>
    <row r="47" spans="1:7" s="214" customFormat="1" ht="13.5" customHeight="1">
      <c r="A47" s="780" t="s">
        <v>347</v>
      </c>
      <c r="B47" s="248" t="s">
        <v>1550</v>
      </c>
      <c r="C47" s="238" t="e">
        <f ca="1">ROUND(C40*F27,4)</f>
        <v>#DIV/0!</v>
      </c>
      <c r="D47" s="263"/>
      <c r="E47" s="236"/>
      <c r="F47" s="246"/>
      <c r="G47" s="247"/>
    </row>
    <row r="48" spans="1:7" s="214" customFormat="1" ht="13.5" customHeight="1">
      <c r="A48" s="255" t="s">
        <v>1512</v>
      </c>
      <c r="B48" s="210" t="s">
        <v>1551</v>
      </c>
      <c r="C48" s="1327">
        <f>ROUND(F30/(1+'数据-取费表'!C42),4)</f>
        <v>0</v>
      </c>
      <c r="D48" s="236" t="s">
        <v>1539</v>
      </c>
      <c r="E48" s="232"/>
      <c r="F48" s="237">
        <f>F30</f>
        <v>0</v>
      </c>
      <c r="G48" s="234" t="s">
        <v>1552</v>
      </c>
    </row>
    <row r="49" spans="1:7" ht="16.5" customHeight="1">
      <c r="A49" s="255" t="s">
        <v>1518</v>
      </c>
      <c r="B49" s="210" t="s">
        <v>1553</v>
      </c>
      <c r="C49" s="232" t="e">
        <f ca="1">ROUND((C33+C39+C41+C45)/(1-C40-D41-D45-C48),0)</f>
        <v>#VALUE!</v>
      </c>
      <c r="D49" s="232"/>
      <c r="E49" s="232"/>
      <c r="F49" s="264"/>
      <c r="G49" s="234" t="s">
        <v>1554</v>
      </c>
    </row>
    <row r="50" spans="1:7" s="258" customFormat="1" ht="24">
      <c r="A50" s="255" t="s">
        <v>1555</v>
      </c>
      <c r="B50" s="210" t="s">
        <v>1556</v>
      </c>
      <c r="C50" s="232"/>
      <c r="D50" s="232"/>
      <c r="E50" s="232"/>
      <c r="F50" s="264" t="e">
        <f>IF('数据-取费表'!B24=0,'数据-取费表'!N16,1)</f>
        <v>#DIV/0!</v>
      </c>
      <c r="G50" s="247" t="s">
        <v>1557</v>
      </c>
    </row>
    <row r="51" spans="1:7" ht="16.5" customHeight="1">
      <c r="A51" s="255" t="s">
        <v>1558</v>
      </c>
      <c r="B51" s="210" t="s">
        <v>1559</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6</v>
      </c>
      <c r="H1" s="1061" t="str">
        <f>IF(ISERROR(FIND("住宅",B1)),"非住宅","住宅")</f>
        <v>非住宅</v>
      </c>
    </row>
    <row r="2" spans="1:8" s="200" customFormat="1" ht="18" customHeight="1">
      <c r="A2" s="201" t="s">
        <v>1462</v>
      </c>
      <c r="B2" s="3424" t="e">
        <f ca="1">ROUND(IF(D2="——",C52/10000,C52/10000-E2),4)</f>
        <v>#VALUE!</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t="e">
        <f ca="1">ROUND(B2*10000/(IF(B1="",'数据-汇总表'!E3,INDIRECT("'数据-取费表'!k"&amp;$G$1))),0)</f>
        <v>#VALUE!</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0</v>
      </c>
      <c r="G7" s="219"/>
    </row>
    <row r="8" spans="1:8" s="223" customFormat="1">
      <c r="A8" s="778" t="s">
        <v>1476</v>
      </c>
      <c r="B8" s="215" t="s">
        <v>1477</v>
      </c>
      <c r="C8" s="220">
        <f ca="1">IF(G8="已包含在土地购买价格中",0,C9+C10)</f>
        <v>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0</v>
      </c>
      <c r="D19" s="849">
        <f ca="1">D9+D10</f>
        <v>0</v>
      </c>
      <c r="E19" s="211">
        <f>'数据-取费表'!B31</f>
        <v>0</v>
      </c>
      <c r="F19" s="231"/>
      <c r="G19" s="1856"/>
    </row>
    <row r="20" spans="1:7" s="214" customFormat="1" ht="13.5" customHeight="1">
      <c r="A20" s="255" t="s">
        <v>1574</v>
      </c>
      <c r="B20" s="210" t="s">
        <v>1575</v>
      </c>
      <c r="C20" s="232">
        <f ca="1">ROUND((C5+C19)*F20,0)</f>
        <v>0</v>
      </c>
      <c r="D20" s="232"/>
      <c r="E20" s="232"/>
      <c r="F20" s="233">
        <f>'数据-取费表'!B37</f>
        <v>0</v>
      </c>
      <c r="G20" s="234" t="s">
        <v>1576</v>
      </c>
    </row>
    <row r="21" spans="1:7" s="214" customFormat="1" ht="13.5" customHeight="1">
      <c r="A21" s="255" t="s">
        <v>1577</v>
      </c>
      <c r="B21" s="210" t="s">
        <v>1578</v>
      </c>
      <c r="C21" s="235">
        <f>F21</f>
        <v>0</v>
      </c>
      <c r="D21" s="236" t="s">
        <v>1579</v>
      </c>
      <c r="E21" s="232"/>
      <c r="F21" s="233">
        <f>'数据-取费表'!B38</f>
        <v>0</v>
      </c>
      <c r="G21" s="234" t="s">
        <v>1580</v>
      </c>
    </row>
    <row r="22" spans="1:7" s="214" customFormat="1" ht="13.5" customHeight="1">
      <c r="A22" s="255" t="s">
        <v>1581</v>
      </c>
      <c r="B22" s="210" t="s">
        <v>1582</v>
      </c>
      <c r="C22" s="1127" t="e">
        <f ca="1">ROUND(SUM(C23:C25),0)</f>
        <v>#VALUE!</v>
      </c>
      <c r="D22" s="235" t="e">
        <f ca="1">C26</f>
        <v>#VALUE!</v>
      </c>
      <c r="E22" s="236" t="s">
        <v>1579</v>
      </c>
      <c r="F22" s="237" t="e">
        <f ca="1">'数据-取费表'!B40</f>
        <v>#VALUE!</v>
      </c>
      <c r="G22" s="234" t="str">
        <f>IF('数据-取费表'!B22&lt;=1,"单利计息","复利计息")</f>
        <v>单利计息</v>
      </c>
    </row>
    <row r="23" spans="1:7" s="214" customFormat="1" ht="13.5" customHeight="1">
      <c r="A23" s="780" t="s">
        <v>1472</v>
      </c>
      <c r="B23" s="215" t="s">
        <v>1583</v>
      </c>
      <c r="C23" s="1128" t="e">
        <f ca="1">ROUND(IF('数据-取费表'!B22&lt;=1,C5*F22*'数据-取费表'!B22,C5*(POWER((1+F22),'数据-取费表'!B22)-1)),0)</f>
        <v>#VALUE!</v>
      </c>
      <c r="D23" s="238"/>
      <c r="E23" s="238"/>
      <c r="F23" s="239"/>
      <c r="G23" s="240" t="s">
        <v>1584</v>
      </c>
    </row>
    <row r="24" spans="1:7" s="214" customFormat="1" ht="13.5" customHeight="1">
      <c r="A24" s="780" t="s">
        <v>1474</v>
      </c>
      <c r="B24" s="215" t="s">
        <v>1585</v>
      </c>
      <c r="C24" s="1128" t="e">
        <f ca="1">ROUND(IF('数据-取费表'!B22&lt;=1,C19*F22*('数据-取费表'!B19/2+'数据-取费表'!B20),C19*(POWER((1+F22),('数据-取费表'!B19/2+'数据-取费表'!B20))-1)),0)</f>
        <v>#VALUE!</v>
      </c>
      <c r="D24" s="238"/>
      <c r="E24" s="238"/>
      <c r="F24" s="239"/>
      <c r="G24" s="240" t="s">
        <v>1586</v>
      </c>
    </row>
    <row r="25" spans="1:7" s="214" customFormat="1" ht="24">
      <c r="A25" s="780" t="s">
        <v>1476</v>
      </c>
      <c r="B25" s="215" t="s">
        <v>1587</v>
      </c>
      <c r="C25" s="1128" t="e">
        <f ca="1">ROUND(IF('数据-取费表'!B22&lt;=1,C20*F22*'数据-取费表'!B22/2,C20*(POWER((1+F22),'数据-取费表'!B22/2)-1)),0)</f>
        <v>#VALUE!</v>
      </c>
      <c r="D25" s="238"/>
      <c r="E25" s="241"/>
      <c r="F25" s="239"/>
      <c r="G25" s="242" t="s">
        <v>1588</v>
      </c>
    </row>
    <row r="26" spans="1:7" s="214" customFormat="1">
      <c r="A26" s="780" t="s">
        <v>350</v>
      </c>
      <c r="B26" s="215" t="s">
        <v>1511</v>
      </c>
      <c r="C26" s="238" t="e">
        <f ca="1">ROUND(IF('数据-取费表'!B22&lt;=1,F21*F22*'数据-取费表'!B22/2,F21*(POWER((1+F22),'数据-取费表'!B22/2)-1)),4)</f>
        <v>#VALUE!</v>
      </c>
      <c r="D26" s="238"/>
      <c r="E26" s="241"/>
      <c r="F26" s="239"/>
      <c r="G26" s="243"/>
    </row>
    <row r="27" spans="1:7" s="214" customFormat="1" ht="24.75">
      <c r="A27" s="255" t="s">
        <v>1512</v>
      </c>
      <c r="B27" s="244" t="s">
        <v>1513</v>
      </c>
      <c r="C27" s="245" t="e">
        <f ca="1">C28</f>
        <v>#DIV/0!</v>
      </c>
      <c r="D27" s="235" t="e">
        <f ca="1">C29</f>
        <v>#DIV/0!</v>
      </c>
      <c r="E27" s="236" t="s">
        <v>1514</v>
      </c>
      <c r="F27" s="246" t="e">
        <f ca="1">IF(B1="",'数据-取费表'!Q16,INDIRECT("'数据-取费表'!q"&amp;$G$1))</f>
        <v>#DIV/0!</v>
      </c>
      <c r="G27" s="247" t="s">
        <v>1515</v>
      </c>
    </row>
    <row r="28" spans="1:7" s="214" customFormat="1" ht="13.5" customHeight="1">
      <c r="A28" s="780" t="s">
        <v>346</v>
      </c>
      <c r="B28" s="248" t="s">
        <v>1516</v>
      </c>
      <c r="C28" s="249" t="e">
        <f ca="1">ROUND((C5+C19+C20)*F27,0)</f>
        <v>#DIV/0!</v>
      </c>
      <c r="D28" s="235"/>
      <c r="E28" s="236"/>
      <c r="F28" s="246"/>
      <c r="G28" s="247"/>
    </row>
    <row r="29" spans="1:7" s="214" customFormat="1" ht="13.5" customHeight="1">
      <c r="A29" s="780" t="s">
        <v>347</v>
      </c>
      <c r="B29" s="248" t="s">
        <v>1517</v>
      </c>
      <c r="C29" s="238" t="e">
        <f ca="1">ROUND(C21*F27,4)</f>
        <v>#DIV/0!</v>
      </c>
      <c r="D29" s="235"/>
      <c r="E29" s="236"/>
      <c r="F29" s="246"/>
      <c r="G29" s="247"/>
    </row>
    <row r="30" spans="1:7" s="214" customFormat="1" ht="13.5" customHeight="1">
      <c r="A30" s="255" t="s">
        <v>1518</v>
      </c>
      <c r="B30" s="210" t="s">
        <v>1519</v>
      </c>
      <c r="C30" s="235">
        <f>ROUND(F30/(1+'数据-取费表'!C42),4)</f>
        <v>0</v>
      </c>
      <c r="D30" s="236" t="s">
        <v>1514</v>
      </c>
      <c r="E30" s="241"/>
      <c r="F30" s="237">
        <f>'数据-取费表'!B41</f>
        <v>0</v>
      </c>
      <c r="G30" s="234" t="s">
        <v>1520</v>
      </c>
    </row>
    <row r="31" spans="1:7" ht="16.5" customHeight="1">
      <c r="A31" s="209">
        <v>1</v>
      </c>
      <c r="B31" s="210" t="s">
        <v>1521</v>
      </c>
      <c r="C31" s="211" t="e">
        <f ca="1">ROUND((C5+C19+C20+C22+C27)/(1-C21-D22-D27-C30),0)</f>
        <v>#VALUE!</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0</v>
      </c>
      <c r="D34" s="217"/>
      <c r="E34" s="220"/>
      <c r="F34" s="257"/>
      <c r="G34" s="219"/>
    </row>
    <row r="35" spans="1:7" ht="13.5" customHeight="1">
      <c r="A35" s="780" t="s">
        <v>351</v>
      </c>
      <c r="B35" s="215" t="s">
        <v>1527</v>
      </c>
      <c r="C35" s="220">
        <f ca="1">ROUND(C34*F35,0)</f>
        <v>0</v>
      </c>
      <c r="D35" s="220"/>
      <c r="E35" s="220"/>
      <c r="F35" s="259">
        <f>'数据-取费表'!B33</f>
        <v>0</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0</v>
      </c>
      <c r="D37" s="217">
        <f ca="1">D19</f>
        <v>0</v>
      </c>
      <c r="E37" s="249">
        <f>'数据-取费表'!B35</f>
        <v>0</v>
      </c>
      <c r="F37" s="259"/>
      <c r="G37" s="261"/>
    </row>
    <row r="38" spans="1:7" ht="13.5" customHeight="1">
      <c r="A38" s="780" t="s">
        <v>354</v>
      </c>
      <c r="B38" s="215" t="s">
        <v>1533</v>
      </c>
      <c r="C38" s="220">
        <f ca="1">ROUND(C34*F38,0)</f>
        <v>0</v>
      </c>
      <c r="D38" s="220"/>
      <c r="E38" s="220"/>
      <c r="F38" s="259">
        <f>'数据-取费表'!B36</f>
        <v>0</v>
      </c>
      <c r="G38" s="219" t="s">
        <v>1528</v>
      </c>
    </row>
    <row r="39" spans="1:7" s="214" customFormat="1" ht="13.5" customHeight="1">
      <c r="A39" s="255" t="s">
        <v>1534</v>
      </c>
      <c r="B39" s="210" t="s">
        <v>1535</v>
      </c>
      <c r="C39" s="232">
        <f ca="1">ROUND(C33*F20,0)</f>
        <v>0</v>
      </c>
      <c r="D39" s="232"/>
      <c r="E39" s="232"/>
      <c r="F39" s="233">
        <f>F20</f>
        <v>0</v>
      </c>
      <c r="G39" s="234" t="s">
        <v>1536</v>
      </c>
    </row>
    <row r="40" spans="1:7" s="214" customFormat="1" ht="13.5" customHeight="1">
      <c r="A40" s="255" t="s">
        <v>1537</v>
      </c>
      <c r="B40" s="210" t="s">
        <v>1538</v>
      </c>
      <c r="C40" s="1327">
        <f>F21</f>
        <v>0</v>
      </c>
      <c r="D40" s="236" t="s">
        <v>1539</v>
      </c>
      <c r="E40" s="232"/>
      <c r="F40" s="233">
        <f>F21</f>
        <v>0</v>
      </c>
      <c r="G40" s="234" t="s">
        <v>1540</v>
      </c>
    </row>
    <row r="41" spans="1:7" s="214" customFormat="1" ht="13.5" customHeight="1">
      <c r="A41" s="255" t="s">
        <v>1541</v>
      </c>
      <c r="B41" s="210" t="s">
        <v>1542</v>
      </c>
      <c r="C41" s="232" t="e">
        <f ca="1">ROUND(SUM(C42:C43),0)</f>
        <v>#VALUE!</v>
      </c>
      <c r="D41" s="235" t="e">
        <f ca="1">C44</f>
        <v>#VALUE!</v>
      </c>
      <c r="E41" s="236" t="s">
        <v>1539</v>
      </c>
      <c r="F41" s="237" t="e">
        <f ca="1">F22</f>
        <v>#VALUE!</v>
      </c>
      <c r="G41" s="234" t="str">
        <f>IF('数据-取费表'!B22&lt;=1,"单利计息","复利计息")</f>
        <v>单利计息</v>
      </c>
    </row>
    <row r="42" spans="1:7" ht="13.5" customHeight="1">
      <c r="A42" s="780" t="s">
        <v>346</v>
      </c>
      <c r="B42" s="215" t="s">
        <v>1543</v>
      </c>
      <c r="C42" s="238" t="e">
        <f ca="1">ROUND(IF('数据-取费表'!B22&lt;=1,C33*F22*'数据-取费表'!B20/2,C33*(POWER((1+F22),'数据-取费表'!B20/2)-1)),0)</f>
        <v>#VALUE!</v>
      </c>
      <c r="D42" s="238"/>
      <c r="E42" s="238"/>
      <c r="F42" s="239"/>
      <c r="G42" s="3632" t="s">
        <v>1591</v>
      </c>
    </row>
    <row r="43" spans="1:7" ht="13.5" customHeight="1">
      <c r="A43" s="780" t="s">
        <v>347</v>
      </c>
      <c r="B43" s="215" t="s">
        <v>1545</v>
      </c>
      <c r="C43" s="238" t="e">
        <f ca="1">ROUND(IF('数据-取费表'!B22&lt;=1,C39*F22*'数据-取费表'!B20/2,C39*(POWER((1+F22),'数据-取费表'!B20/2)-1)),0)</f>
        <v>#VALUE!</v>
      </c>
      <c r="D43" s="238"/>
      <c r="E43" s="238"/>
      <c r="F43" s="239"/>
      <c r="G43" s="3633"/>
    </row>
    <row r="44" spans="1:7" ht="13.5" customHeight="1">
      <c r="A44" s="780" t="s">
        <v>348</v>
      </c>
      <c r="B44" s="215" t="s">
        <v>1546</v>
      </c>
      <c r="C44" s="238" t="e">
        <f ca="1">ROUND(IF('数据-取费表'!B22&lt;=1,C40*F22*'数据-取费表'!B20/2,C40*(POWER((1+F22),'数据-取费表'!B20/2)-1)),4)</f>
        <v>#VALUE!</v>
      </c>
      <c r="D44" s="238"/>
      <c r="E44" s="238"/>
      <c r="F44" s="239"/>
      <c r="G44" s="3634"/>
    </row>
    <row r="45" spans="1:7" s="214" customFormat="1" ht="13.5" customHeight="1">
      <c r="A45" s="255" t="s">
        <v>1547</v>
      </c>
      <c r="B45" s="244" t="s">
        <v>1513</v>
      </c>
      <c r="C45" s="245" t="e">
        <f ca="1">C46</f>
        <v>#DIV/0!</v>
      </c>
      <c r="D45" s="235" t="e">
        <f ca="1">C47</f>
        <v>#DIV/0!</v>
      </c>
      <c r="E45" s="236" t="s">
        <v>1539</v>
      </c>
      <c r="F45" s="246" t="e">
        <f ca="1">F27</f>
        <v>#DIV/0!</v>
      </c>
      <c r="G45" s="247" t="s">
        <v>1548</v>
      </c>
    </row>
    <row r="46" spans="1:7" s="214" customFormat="1" ht="13.5" customHeight="1">
      <c r="A46" s="780" t="s">
        <v>346</v>
      </c>
      <c r="B46" s="248" t="s">
        <v>1549</v>
      </c>
      <c r="C46" s="249" t="e">
        <f ca="1">ROUND((C33+C39)*F27,0)</f>
        <v>#DIV/0!</v>
      </c>
      <c r="D46" s="263"/>
      <c r="E46" s="236"/>
      <c r="F46" s="246"/>
      <c r="G46" s="247"/>
    </row>
    <row r="47" spans="1:7" s="214" customFormat="1" ht="13.5" customHeight="1">
      <c r="A47" s="780" t="s">
        <v>347</v>
      </c>
      <c r="B47" s="248" t="s">
        <v>1550</v>
      </c>
      <c r="C47" s="238" t="e">
        <f ca="1">ROUND(C40*F27,4)</f>
        <v>#DIV/0!</v>
      </c>
      <c r="D47" s="263"/>
      <c r="E47" s="236"/>
      <c r="F47" s="246"/>
      <c r="G47" s="247"/>
    </row>
    <row r="48" spans="1:7" s="214" customFormat="1" ht="13.5" customHeight="1">
      <c r="A48" s="255" t="s">
        <v>1512</v>
      </c>
      <c r="B48" s="210" t="s">
        <v>1551</v>
      </c>
      <c r="C48" s="262">
        <f>ROUND(F30/(1+'数据-取费表'!C42),4)</f>
        <v>0</v>
      </c>
      <c r="D48" s="236" t="s">
        <v>1539</v>
      </c>
      <c r="E48" s="232"/>
      <c r="F48" s="237">
        <f>F30</f>
        <v>0</v>
      </c>
      <c r="G48" s="234" t="s">
        <v>1552</v>
      </c>
    </row>
    <row r="49" spans="1:7" ht="16.5" customHeight="1">
      <c r="A49" s="255" t="s">
        <v>1518</v>
      </c>
      <c r="B49" s="210" t="s">
        <v>1592</v>
      </c>
      <c r="C49" s="232" t="e">
        <f ca="1">ROUND((C33+C39+C41+C45)/(1-C40-D41-D45-C48),0)</f>
        <v>#VALUE!</v>
      </c>
      <c r="D49" s="232"/>
      <c r="E49" s="232"/>
      <c r="F49" s="264"/>
      <c r="G49" s="234" t="s">
        <v>1554</v>
      </c>
    </row>
    <row r="50" spans="1:7" s="258" customFormat="1">
      <c r="A50" s="255" t="s">
        <v>1555</v>
      </c>
      <c r="B50" s="210" t="s">
        <v>1556</v>
      </c>
      <c r="C50" s="232"/>
      <c r="D50" s="232"/>
      <c r="E50" s="232"/>
      <c r="F50" s="264" t="e">
        <f>IF('数据-取费表'!B24=0,'数据-取费表'!N16,1)</f>
        <v>#DIV/0!</v>
      </c>
      <c r="G50" s="247"/>
    </row>
    <row r="51" spans="1:7" ht="16.5" customHeight="1">
      <c r="A51" s="255" t="s">
        <v>1558</v>
      </c>
      <c r="B51" s="210" t="s">
        <v>1593</v>
      </c>
      <c r="C51" s="232" t="e">
        <f ca="1">ROUND(C49*F50,0)</f>
        <v>#VALUE!</v>
      </c>
      <c r="D51" s="232"/>
      <c r="E51" s="232"/>
      <c r="F51" s="264"/>
      <c r="G51" s="234" t="s">
        <v>1560</v>
      </c>
    </row>
    <row r="52" spans="1:7" s="208" customFormat="1" ht="16.5" thickBot="1">
      <c r="A52" s="265" t="s">
        <v>1561</v>
      </c>
      <c r="B52" s="266"/>
      <c r="C52" s="267" t="e">
        <f ca="1">C31+C51</f>
        <v>#VALUE!</v>
      </c>
      <c r="D52" s="266"/>
      <c r="E52" s="266"/>
      <c r="F52" s="266"/>
      <c r="G52" s="268"/>
    </row>
    <row r="55" spans="1:7" ht="15">
      <c r="B55" s="270" t="s">
        <v>1562</v>
      </c>
      <c r="C55" s="271"/>
    </row>
    <row r="56" spans="1:7">
      <c r="B56" s="273" t="s">
        <v>802</v>
      </c>
      <c r="C56" s="275" t="e">
        <f ca="1">1-C57</f>
        <v>#VALUE!</v>
      </c>
    </row>
    <row r="57" spans="1:7">
      <c r="B57" s="273" t="s">
        <v>803</v>
      </c>
      <c r="C57" s="274"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6</v>
      </c>
    </row>
    <row r="2" spans="1:33" ht="18" customHeight="1">
      <c r="A2" s="201" t="s">
        <v>1462</v>
      </c>
      <c r="B2" s="204" t="e">
        <f ca="1">C32</f>
        <v>#VALUE!</v>
      </c>
      <c r="C2" s="276" t="s">
        <v>1595</v>
      </c>
      <c r="D2" s="276"/>
      <c r="E2" s="2806"/>
      <c r="F2" s="2806"/>
      <c r="G2" s="2806"/>
      <c r="H2" s="2806"/>
      <c r="I2" s="2806"/>
      <c r="J2" s="2806"/>
      <c r="K2" s="2806"/>
    </row>
    <row r="3" spans="1:33" ht="18" customHeight="1" thickBot="1">
      <c r="A3" s="203" t="s">
        <v>1464</v>
      </c>
      <c r="B3" s="204" t="e">
        <f ca="1">ROUND(B2*10000/IF(C1="",'数据-汇总表'!E3,INDIRECT("'数据-取费表'!K"&amp;$K$1)),0)</f>
        <v>#VALUE!</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0</v>
      </c>
      <c r="E14" s="21">
        <f>'数据-取费表'!B35</f>
        <v>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0</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v>
      </c>
      <c r="G23" s="5" t="s">
        <v>1633</v>
      </c>
      <c r="H23" s="797"/>
      <c r="I23" s="797"/>
      <c r="J23" s="797"/>
      <c r="K23" s="798"/>
    </row>
    <row r="24" spans="1:33" s="803" customFormat="1" ht="13.5" customHeight="1">
      <c r="A24" s="790" t="s">
        <v>1634</v>
      </c>
      <c r="B24" s="813" t="s">
        <v>1635</v>
      </c>
      <c r="C24" s="280">
        <f>ROUND(F24/(1+'数据-取费表'!C42),4)</f>
        <v>0</v>
      </c>
      <c r="D24" s="281" t="s">
        <v>12</v>
      </c>
      <c r="E24" s="281"/>
      <c r="F24" s="816">
        <f>IF(项目基本情况!B8="出让",0,'数据-取费表'!B48+'数据-取费表'!B49)</f>
        <v>0</v>
      </c>
      <c r="G24" s="5" t="s">
        <v>1636</v>
      </c>
      <c r="H24" s="818"/>
      <c r="I24" s="818"/>
      <c r="J24" s="818"/>
      <c r="K24" s="819"/>
    </row>
    <row r="25" spans="1:33" s="803" customFormat="1" ht="13.5" customHeight="1">
      <c r="A25" s="790" t="s">
        <v>1637</v>
      </c>
      <c r="B25" s="815" t="s">
        <v>1638</v>
      </c>
      <c r="C25" s="1106" t="e">
        <f ca="1">C27</f>
        <v>#VALUE!</v>
      </c>
      <c r="D25" s="280" t="e">
        <f ca="1">C26</f>
        <v>#VALUE!</v>
      </c>
      <c r="E25" s="282" t="s">
        <v>12</v>
      </c>
      <c r="F25" s="283" t="e">
        <f ca="1">'数据-取费表'!B40</f>
        <v>#VALUE!</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t="e">
        <f ca="1">ROUND(IF('数据-取费表'!B22&lt;=1,(1+C24)*F25*'数据-取费表'!B24,(1+C24)*(POWER((1+F25),'数据-取费表'!B24)-1)),4)</f>
        <v>#VALUE!</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t="e">
        <f ca="1">ROUND(IF('数据-取费表'!B22&lt;=1,(C21+C22+C23)*F25*'数据-取费表'!B24/2,(C21+C22+C23)*(POWER((1+F25),'数据-取费表'!B24/2)-1)),0)</f>
        <v>#VALUE!</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t="e">
        <f ca="1">C30</f>
        <v>#DIV/0!</v>
      </c>
      <c r="D28" s="280" t="e">
        <f ca="1">C29</f>
        <v>#DIV/0!</v>
      </c>
      <c r="E28" s="282" t="s">
        <v>12</v>
      </c>
      <c r="F28" s="288" t="e">
        <f ca="1">IF(C1="",'数据-取费表'!Q16,INDIRECT("'数据-取费表'!q"&amp;$K$1))</f>
        <v>#DIV/0!</v>
      </c>
      <c r="G28" s="817"/>
      <c r="H28" s="818"/>
      <c r="I28" s="818"/>
      <c r="J28" s="818"/>
      <c r="K28" s="819"/>
    </row>
    <row r="29" spans="1:33" s="291" customFormat="1" ht="13.5" customHeight="1">
      <c r="A29" s="800" t="s">
        <v>358</v>
      </c>
      <c r="B29" s="822" t="s">
        <v>1643</v>
      </c>
      <c r="C29" s="284" t="e">
        <f ca="1">ROUND((1+C24)*F28*'数据-取费表'!B24/'数据-取费表'!B20,4)</f>
        <v>#DIV/0!</v>
      </c>
      <c r="D29" s="284"/>
      <c r="E29" s="285"/>
      <c r="F29" s="290"/>
      <c r="G29" s="131" t="s">
        <v>1644</v>
      </c>
      <c r="H29" s="807"/>
      <c r="I29" s="807"/>
      <c r="J29" s="807"/>
      <c r="K29" s="808"/>
    </row>
    <row r="30" spans="1:33" s="291" customFormat="1" ht="13.5" customHeight="1">
      <c r="A30" s="800" t="s">
        <v>359</v>
      </c>
      <c r="B30" s="822" t="s">
        <v>1645</v>
      </c>
      <c r="C30" s="292" t="e">
        <f ca="1">ROUND((C21+C22+C23)*F28,0)</f>
        <v>#DIV/0!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0</v>
      </c>
      <c r="G31" s="838" t="s">
        <v>1648</v>
      </c>
      <c r="H31" s="839"/>
      <c r="I31" s="839"/>
      <c r="J31" s="839"/>
      <c r="K31" s="840"/>
    </row>
    <row r="32" spans="1:33" s="799" customFormat="1" ht="13.5" customHeight="1" thickBot="1">
      <c r="A32" s="828" t="s">
        <v>1649</v>
      </c>
      <c r="B32" s="829"/>
      <c r="C32" s="830" t="e">
        <f ca="1">ROUND((C4-C21-C22-C23-C25-C28-C31)/(1+C24+D25+D28),0)</f>
        <v>#VALUE!</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#VALUE!</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37" t="s">
        <v>694</v>
      </c>
      <c r="C6" s="1074">
        <f ca="1">ROUND(F6*F8*F7*(1-F9)/10000,0)</f>
        <v>0</v>
      </c>
      <c r="D6" s="155" t="s">
        <v>2109</v>
      </c>
      <c r="E6" s="302" t="s">
        <v>696</v>
      </c>
      <c r="F6" s="303">
        <f ca="1">INDIRECT("'数据-取费表'!u"&amp;$G$1)</f>
        <v>0</v>
      </c>
      <c r="G6" s="1384"/>
      <c r="H6" s="1069" t="s">
        <v>398</v>
      </c>
      <c r="I6" s="3637" t="s">
        <v>694</v>
      </c>
      <c r="J6" s="301">
        <f ca="1">ROUND(M6*M8*M7*(1-M9)/10000,0)</f>
        <v>0</v>
      </c>
      <c r="K6" s="155" t="s">
        <v>2108</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0</v>
      </c>
      <c r="G7" s="1384"/>
      <c r="H7" s="304"/>
      <c r="I7" s="3638"/>
      <c r="J7" s="306"/>
      <c r="K7" s="307"/>
      <c r="L7" s="302" t="s">
        <v>697</v>
      </c>
      <c r="M7" s="303">
        <f ca="1">F7</f>
        <v>0</v>
      </c>
    </row>
    <row r="8" spans="1:37" ht="18" customHeight="1">
      <c r="A8" s="304"/>
      <c r="B8" s="3638"/>
      <c r="C8" s="306"/>
      <c r="D8" s="307"/>
      <c r="E8" s="302" t="s">
        <v>698</v>
      </c>
      <c r="F8" s="303">
        <f ca="1">INDIRECT("'数据-取费表'!ai"&amp;$G$1)</f>
        <v>0</v>
      </c>
      <c r="G8" s="1384"/>
      <c r="H8" s="304"/>
      <c r="I8" s="3638"/>
      <c r="J8" s="306"/>
      <c r="K8" s="307"/>
      <c r="L8" s="302" t="s">
        <v>698</v>
      </c>
      <c r="M8" s="303">
        <f ca="1">INDIRECT("'数据-取费表'!ai"&amp;$G$1)</f>
        <v>0</v>
      </c>
    </row>
    <row r="9" spans="1:37" ht="18" customHeight="1">
      <c r="A9" s="304"/>
      <c r="B9" s="3639"/>
      <c r="C9" s="306"/>
      <c r="D9" s="307"/>
      <c r="E9" s="302" t="s">
        <v>699</v>
      </c>
      <c r="F9" s="312">
        <f ca="1">INDIRECT("'数据-取费表'!w"&amp;$G$1)</f>
        <v>0</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#VALUE!</v>
      </c>
      <c r="D13" s="1081" t="s">
        <v>705</v>
      </c>
      <c r="E13" s="1081" t="s">
        <v>706</v>
      </c>
      <c r="F13" s="1082">
        <f ca="1">INDIRECT("'数据-取费表'!y"&amp;$G$1)</f>
        <v>0</v>
      </c>
      <c r="G13" s="1384"/>
      <c r="H13" s="1079">
        <v>2</v>
      </c>
      <c r="I13" s="1080" t="s">
        <v>704</v>
      </c>
      <c r="J13" s="1068" t="e">
        <f ca="1">ROUND(J14*J15,0)</f>
        <v>#VALUE!</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t="e">
        <f ca="1">C29</f>
        <v>#VALUE!</v>
      </c>
      <c r="K14" s="12"/>
      <c r="L14" s="807"/>
      <c r="M14" s="808"/>
    </row>
    <row r="15" spans="1:37" s="1397" customFormat="1" ht="18" customHeight="1" thickBot="1">
      <c r="A15" s="982" t="s">
        <v>399</v>
      </c>
      <c r="B15" s="302" t="s">
        <v>710</v>
      </c>
      <c r="C15" s="21">
        <f ca="1">ROUND(C14*F15,0)</f>
        <v>0</v>
      </c>
      <c r="D15" s="320" t="s">
        <v>711</v>
      </c>
      <c r="E15" s="320" t="s">
        <v>712</v>
      </c>
      <c r="F15" s="321">
        <f>'数据-取费表'!B33</f>
        <v>0</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t="e">
        <f ca="1">ROUND(J17+J22+J23+J24,0)</f>
        <v>#VALUE!</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v>
      </c>
      <c r="G18" s="1396"/>
      <c r="H18" s="982" t="s">
        <v>397</v>
      </c>
      <c r="I18" s="302" t="s">
        <v>723</v>
      </c>
      <c r="J18" s="21">
        <f ca="1">ROUND(J6*M18/(1+'数据-取费表'!C42),2)</f>
        <v>0</v>
      </c>
      <c r="K18" s="1344" t="s">
        <v>724</v>
      </c>
      <c r="L18" s="302" t="s">
        <v>712</v>
      </c>
      <c r="M18" s="322">
        <f>'数据-取费表'!B41</f>
        <v>0</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t="e">
        <f ca="1">ROUND(J14*M22,2)</f>
        <v>#VALUE!</v>
      </c>
      <c r="K22" s="1344" t="s">
        <v>739</v>
      </c>
      <c r="L22" s="302" t="s">
        <v>712</v>
      </c>
      <c r="M22" s="328">
        <f ca="1">INDIRECT("'数据-取费表'!Ak"&amp;$G$1)</f>
        <v>0</v>
      </c>
    </row>
    <row r="23" spans="1:37" s="1397" customFormat="1" ht="18" customHeight="1">
      <c r="A23" s="982"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6"/>
      <c r="H23" s="982" t="s">
        <v>437</v>
      </c>
      <c r="I23" s="302" t="s">
        <v>742</v>
      </c>
      <c r="J23" s="21" t="e">
        <f ca="1">ROUND(J13*M23,2)</f>
        <v>#VALUE!</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t="e">
        <f ca="1">J5-J16</f>
        <v>#VALUE!</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0</v>
      </c>
      <c r="D28" s="323" t="s">
        <v>765</v>
      </c>
      <c r="E28" s="302" t="s">
        <v>712</v>
      </c>
      <c r="F28" s="322">
        <f>'数据-取费表'!B41</f>
        <v>0</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#VALUE!</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#VALUE!</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2308</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0</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t="e">
        <f ca="1">ROUND(C29*F36,2)</f>
        <v>#VALUE!</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t="e">
        <f ca="1">ROUND(C13*F37,2)</f>
        <v>#VALUE!</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t="e">
        <f ca="1">C5-C30</f>
        <v>#VALUE!</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#VALUE!</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#VALUE!</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#VALUE!</v>
      </c>
      <c r="D46" s="1406" t="str">
        <f>C2</f>
        <v>万元</v>
      </c>
      <c r="E46" s="1400"/>
      <c r="F46" s="1400"/>
      <c r="I46" s="1407" t="s">
        <v>810</v>
      </c>
      <c r="J46" s="1408"/>
      <c r="K46" s="1409"/>
      <c r="L46" s="1410" t="e">
        <f ca="1">IF(M47="住宅",0,IF(L48&gt;J51,L60,J60))</f>
        <v>#VALUE!</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#VALUE!</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#VALUE!</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t="e">
        <f ca="1">C29</f>
        <v>#VALUE!</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t="e">
        <f ca="1">ROUND(-PV(INDIRECT("'数据-取费表'!h"&amp;$G$1),J51,(C39-C13*C76),0),0)</f>
        <v>#VALUE!</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35" t="s">
        <v>837</v>
      </c>
      <c r="L53" s="3636"/>
      <c r="O53" s="1418" t="s">
        <v>409</v>
      </c>
      <c r="P53" s="1419" t="s">
        <v>838</v>
      </c>
      <c r="Q53" s="1420" t="e">
        <f ca="1">Q47+Q48</f>
        <v>#VALUE!</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t="e">
        <f ca="1">C13</f>
        <v>#VALUE!</v>
      </c>
      <c r="D56" s="1447"/>
      <c r="E56" s="1448"/>
      <c r="F56" s="1440"/>
      <c r="I56" s="1449" t="s">
        <v>842</v>
      </c>
      <c r="J56" s="1450"/>
      <c r="K56" s="1421" t="s">
        <v>843</v>
      </c>
      <c r="L56" s="1424">
        <f ca="1">IF(L48&lt;J51,"——",L48-J53)</f>
        <v>0</v>
      </c>
      <c r="O56" s="1418" t="s">
        <v>403</v>
      </c>
      <c r="P56" s="1419" t="s">
        <v>817</v>
      </c>
      <c r="Q56" s="1420" t="e">
        <f ca="1">C40+J29</f>
        <v>#VALUE!</v>
      </c>
      <c r="R56" s="1420" t="s">
        <v>818</v>
      </c>
    </row>
    <row r="57" spans="1:18" s="1384" customFormat="1" ht="24.75" thickBot="1">
      <c r="A57" s="1451"/>
      <c r="B57" s="950" t="s">
        <v>767</v>
      </c>
      <c r="C57" s="238" t="e">
        <f ca="1">C29</f>
        <v>#VALUE!</v>
      </c>
      <c r="D57" s="1452"/>
      <c r="E57" s="1453"/>
      <c r="F57" s="1454"/>
      <c r="I57" s="1455" t="s">
        <v>844</v>
      </c>
      <c r="J57" s="1456">
        <f ca="1">IF(OR(M47="住宅",J51&lt;L48,J56="是"),"——",J51-L48)</f>
        <v>0</v>
      </c>
      <c r="K57" s="1421" t="s">
        <v>845</v>
      </c>
      <c r="L57" s="1424" t="e">
        <f ca="1">IF(L48&lt;J51,"——",IF(L55="比较法",L49,IF(L55="基准地价",L50,L51)))</f>
        <v>#VALUE!</v>
      </c>
      <c r="O57" s="1418" t="s">
        <v>404</v>
      </c>
      <c r="P57" s="1419" t="s">
        <v>846</v>
      </c>
      <c r="Q57" s="1420" t="e">
        <f ca="1">L60</f>
        <v>#VALUE!</v>
      </c>
      <c r="R57" s="1420" t="s">
        <v>847</v>
      </c>
    </row>
    <row r="58" spans="1:18" s="1384" customFormat="1" ht="24.75" thickBot="1">
      <c r="A58" s="315" t="s">
        <v>393</v>
      </c>
      <c r="B58" s="958" t="s">
        <v>714</v>
      </c>
      <c r="C58" s="316" t="e">
        <f ca="1">ROUND(C59+C64+C65+C66,0)</f>
        <v>#VALUE!</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#VALUE!</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0</v>
      </c>
      <c r="I60" s="1458" t="s">
        <v>853</v>
      </c>
      <c r="J60" s="1459" t="e">
        <f ca="1">IF(OR(M47="住宅",J51&lt;L48,J56="是"),"0",ROUND(J59/(1+J52)^J53,0))</f>
        <v>#VALUE!</v>
      </c>
      <c r="K60" s="1460" t="s">
        <v>854</v>
      </c>
      <c r="L60" s="1459" t="e">
        <f ca="1">IF(OR(M47="住宅",L48&lt;J51),0,ROUND(L57*(L58/L59-1),0))</f>
        <v>#VALUE!</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#VALUE!</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ROUND(C57*F64,2)</f>
        <v>#VALUE!</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ROUND(C56*F65,2)</f>
        <v>#VALUE!</v>
      </c>
      <c r="D65" s="964" t="s">
        <v>743</v>
      </c>
      <c r="E65" s="950" t="s">
        <v>744</v>
      </c>
      <c r="F65" s="330">
        <f t="shared" ca="1" si="0"/>
        <v>0</v>
      </c>
      <c r="I65" s="1462" t="s">
        <v>867</v>
      </c>
      <c r="J65" s="1463">
        <v>40</v>
      </c>
      <c r="K65" s="1463">
        <v>30</v>
      </c>
      <c r="L65" s="1463">
        <v>50</v>
      </c>
      <c r="M65" s="1465">
        <v>0.02</v>
      </c>
      <c r="O65" s="1418" t="s">
        <v>403</v>
      </c>
      <c r="P65" s="1419" t="s">
        <v>868</v>
      </c>
      <c r="Q65" s="1420" t="e">
        <f ca="1">C40+J29</f>
        <v>#VALUE!</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#VALUE!</v>
      </c>
      <c r="R66" s="1420" t="s">
        <v>869</v>
      </c>
    </row>
    <row r="67" spans="1:18" s="1384" customFormat="1" ht="16.5" thickBot="1">
      <c r="A67" s="957" t="s">
        <v>394</v>
      </c>
      <c r="B67" s="967" t="s">
        <v>752</v>
      </c>
      <c r="C67" s="316" t="e">
        <f ca="1">C48-C58</f>
        <v>#VALUE!</v>
      </c>
      <c r="D67" s="963" t="s">
        <v>753</v>
      </c>
      <c r="E67" s="968"/>
      <c r="F67" s="969"/>
      <c r="O67" s="1428" t="s">
        <v>405</v>
      </c>
      <c r="P67" s="1419" t="s">
        <v>850</v>
      </c>
      <c r="Q67" s="1466" t="e">
        <f ca="1">L51</f>
        <v>#VALUE!</v>
      </c>
      <c r="R67" s="1420" t="s">
        <v>870</v>
      </c>
    </row>
    <row r="68" spans="1:18" s="1384" customFormat="1" ht="16.5" thickBot="1">
      <c r="A68" s="947" t="s">
        <v>395</v>
      </c>
      <c r="B68" s="948" t="s">
        <v>774</v>
      </c>
      <c r="C68" s="301" t="e">
        <f ca="1">ROUND(C67*(1-((1+F70)/(1+F68))^F69)/(F68-F70),0)</f>
        <v>#VALUE!</v>
      </c>
      <c r="D68" s="965" t="s">
        <v>758</v>
      </c>
      <c r="E68" s="950" t="s">
        <v>759</v>
      </c>
      <c r="F68" s="312">
        <f ca="1">F40</f>
        <v>0</v>
      </c>
      <c r="O68" s="1428" t="s">
        <v>406</v>
      </c>
      <c r="P68" s="1467" t="s">
        <v>871</v>
      </c>
      <c r="Q68" s="1420" t="e">
        <f ca="1">ROUND(Q69-Q70*Q71,0)</f>
        <v>#VALUE!</v>
      </c>
      <c r="R68" s="1420" t="s">
        <v>414</v>
      </c>
    </row>
    <row r="69" spans="1:18" s="1384" customFormat="1" ht="13.5" thickBot="1">
      <c r="A69" s="951"/>
      <c r="B69" s="952"/>
      <c r="C69" s="306"/>
      <c r="D69" s="970" t="s">
        <v>762</v>
      </c>
      <c r="E69" s="950" t="s">
        <v>763</v>
      </c>
      <c r="F69" s="333">
        <f ca="1">F41</f>
        <v>0</v>
      </c>
      <c r="O69" s="1428" t="s">
        <v>411</v>
      </c>
      <c r="P69" s="1467" t="s">
        <v>872</v>
      </c>
      <c r="Q69" s="1420" t="e">
        <f ca="1">C39</f>
        <v>#VALUE!</v>
      </c>
      <c r="R69" s="1420" t="s">
        <v>818</v>
      </c>
    </row>
    <row r="70" spans="1:18" s="1384" customFormat="1" ht="13.5" thickBot="1">
      <c r="A70" s="954"/>
      <c r="B70" s="955"/>
      <c r="C70" s="310"/>
      <c r="D70" s="966"/>
      <c r="E70" s="950" t="s">
        <v>766</v>
      </c>
      <c r="F70" s="1054"/>
      <c r="O70" s="1428" t="s">
        <v>412</v>
      </c>
      <c r="P70" s="1467" t="s">
        <v>873</v>
      </c>
      <c r="Q70" s="1420" t="e">
        <f ca="1">C13</f>
        <v>#VALUE!</v>
      </c>
      <c r="R70" s="1420" t="s">
        <v>818</v>
      </c>
    </row>
    <row r="71" spans="1:18" s="1384" customFormat="1" ht="13.5" thickBot="1">
      <c r="A71" s="971" t="s">
        <v>396</v>
      </c>
      <c r="B71" s="972" t="s">
        <v>776</v>
      </c>
      <c r="C71" s="336" t="e">
        <f ca="1">ROUND(C68*10000/F71,0)</f>
        <v>#VALUE!</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t="e">
        <f ca="1">ROUND(C13*C76,0)</f>
        <v>#VALUE!</v>
      </c>
      <c r="D75" s="1384"/>
      <c r="E75" s="1384"/>
      <c r="F75" s="1384"/>
      <c r="K75" s="1402"/>
      <c r="L75" s="1384"/>
      <c r="O75" s="1418" t="s">
        <v>409</v>
      </c>
      <c r="P75" s="1419" t="s">
        <v>838</v>
      </c>
      <c r="Q75" s="1420" t="e">
        <f ca="1">Q65+Q66</f>
        <v>#VALUE!</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#VALUE!</v>
      </c>
      <c r="C2" s="1387" t="s">
        <v>879</v>
      </c>
      <c r="D2" s="1471" t="e">
        <f ca="1">C40+J29+L46</f>
        <v>#VALUE!</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7" t="s">
        <v>694</v>
      </c>
      <c r="C6" s="1074">
        <f ca="1">ROUND(F6*F8*F7*(1-F9),0)</f>
        <v>0</v>
      </c>
      <c r="D6" s="155" t="s">
        <v>2106</v>
      </c>
      <c r="E6" s="302" t="s">
        <v>696</v>
      </c>
      <c r="F6" s="303">
        <f ca="1">INDIRECT("'数据-取费表'!u"&amp;$G$1)</f>
        <v>0</v>
      </c>
      <c r="G6" s="1384"/>
      <c r="H6" s="1069" t="s">
        <v>398</v>
      </c>
      <c r="I6" s="3637" t="s">
        <v>694</v>
      </c>
      <c r="J6" s="301">
        <f ca="1">ROUND(M6*M8*M7*(1-M9),0)</f>
        <v>0</v>
      </c>
      <c r="K6" s="1376" t="s">
        <v>2107</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0</v>
      </c>
      <c r="G7" s="1384"/>
      <c r="H7" s="304"/>
      <c r="I7" s="3638"/>
      <c r="J7" s="306"/>
      <c r="K7" s="307"/>
      <c r="L7" s="302" t="s">
        <v>697</v>
      </c>
      <c r="M7" s="303">
        <f ca="1">F7</f>
        <v>0</v>
      </c>
    </row>
    <row r="8" spans="1:37" ht="18" customHeight="1">
      <c r="A8" s="304"/>
      <c r="B8" s="3638"/>
      <c r="C8" s="306"/>
      <c r="D8" s="307"/>
      <c r="E8" s="302" t="s">
        <v>698</v>
      </c>
      <c r="F8" s="303">
        <f ca="1">INDIRECT("'数据-取费表'!ai"&amp;$G$1)</f>
        <v>0</v>
      </c>
      <c r="G8" s="1384"/>
      <c r="H8" s="304"/>
      <c r="I8" s="3638"/>
      <c r="J8" s="306"/>
      <c r="K8" s="307"/>
      <c r="L8" s="302" t="s">
        <v>698</v>
      </c>
      <c r="M8" s="303">
        <f ca="1">INDIRECT("'数据-取费表'!ai"&amp;$G$1)</f>
        <v>0</v>
      </c>
    </row>
    <row r="9" spans="1:37" ht="18" customHeight="1">
      <c r="A9" s="304"/>
      <c r="B9" s="3639"/>
      <c r="C9" s="306"/>
      <c r="D9" s="307"/>
      <c r="E9" s="302" t="s">
        <v>699</v>
      </c>
      <c r="F9" s="312">
        <f ca="1">INDIRECT("'数据-取费表'!w"&amp;$G$1)</f>
        <v>0</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#VALUE!</v>
      </c>
      <c r="D13" s="1081" t="s">
        <v>705</v>
      </c>
      <c r="E13" s="1081" t="s">
        <v>706</v>
      </c>
      <c r="F13" s="1082">
        <f ca="1">INDIRECT("'数据-取费表'!y"&amp;$G$1)</f>
        <v>0</v>
      </c>
      <c r="G13" s="1384"/>
      <c r="H13" s="1079">
        <v>2</v>
      </c>
      <c r="I13" s="1080" t="s">
        <v>704</v>
      </c>
      <c r="J13" s="1068" t="e">
        <f ca="1">ROUND(J14*J15,0)</f>
        <v>#VALUE!</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t="e">
        <f ca="1">C29</f>
        <v>#VALUE!</v>
      </c>
      <c r="K14" s="12"/>
      <c r="L14" s="807"/>
      <c r="M14" s="808"/>
    </row>
    <row r="15" spans="1:37" s="1397" customFormat="1" ht="18" customHeight="1" thickBot="1">
      <c r="A15" s="982" t="s">
        <v>399</v>
      </c>
      <c r="B15" s="302" t="s">
        <v>710</v>
      </c>
      <c r="C15" s="21">
        <f ca="1">ROUND(C14*F15,0)</f>
        <v>0</v>
      </c>
      <c r="D15" s="320" t="s">
        <v>711</v>
      </c>
      <c r="E15" s="320" t="s">
        <v>712</v>
      </c>
      <c r="F15" s="321">
        <f>'数据-取费表'!B33</f>
        <v>0</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t="e">
        <f ca="1">ROUND(J17+J22+J23+J24,0)</f>
        <v>#VALUE!</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v>
      </c>
      <c r="G18" s="1396"/>
      <c r="H18" s="982" t="s">
        <v>397</v>
      </c>
      <c r="I18" s="302" t="s">
        <v>723</v>
      </c>
      <c r="J18" s="21">
        <f ca="1">ROUND(J6*M18/(1+'数据-取费表'!C42),0)</f>
        <v>0</v>
      </c>
      <c r="K18" s="1344" t="s">
        <v>724</v>
      </c>
      <c r="L18" s="302" t="s">
        <v>712</v>
      </c>
      <c r="M18" s="322">
        <f>'数据-取费表'!B41</f>
        <v>0</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t="e">
        <f ca="1">ROUND(J14*M22,0)</f>
        <v>#VALUE!</v>
      </c>
      <c r="K22" s="1344" t="s">
        <v>739</v>
      </c>
      <c r="L22" s="302" t="s">
        <v>712</v>
      </c>
      <c r="M22" s="328">
        <f ca="1">INDIRECT("'数据-取费表'!Ak"&amp;$G$1)</f>
        <v>0</v>
      </c>
    </row>
    <row r="23" spans="1:37" s="1397" customFormat="1" ht="18" customHeight="1">
      <c r="A23" s="982" t="s">
        <v>397</v>
      </c>
      <c r="B23" s="302" t="s">
        <v>740</v>
      </c>
      <c r="C23" s="21" t="e">
        <f ca="1">IF('数据-取费表'!B22&lt;=1,ROUND(C19*F24*F23/2,0)+ROUND(C20*F24*F23/2,0),ROUND(C19*(POWER((1+F24),F23/2)-1),0)+ROUND(C20*(POWER((1+F24),F23/2)-1),0))</f>
        <v>#VALUE!</v>
      </c>
      <c r="D23" s="329" t="str">
        <f>IF(F23&lt;=1,"(建造成本+管理费用)×利率×(建设周期÷2)","(建造成本+管理费用)×((1+利率)^(建设周期÷2)-1)")</f>
        <v>(建造成本+管理费用)×利率×(建设周期÷2)</v>
      </c>
      <c r="E23" s="302" t="s">
        <v>741</v>
      </c>
      <c r="F23" s="325">
        <f>'数据-取费表'!B20</f>
        <v>0</v>
      </c>
      <c r="G23" s="1396"/>
      <c r="H23" s="982" t="s">
        <v>437</v>
      </c>
      <c r="I23" s="302" t="s">
        <v>742</v>
      </c>
      <c r="J23" s="21" t="e">
        <f ca="1">ROUND(J13*M23,0)</f>
        <v>#VALUE!</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t="e">
        <f ca="1">ROUND(IF('数据-取费表'!B22&lt;=1,F21*F24*F23/2,F21*(POWER((1+F24),F23/2)-1)),4)</f>
        <v>#VALUE!</v>
      </c>
      <c r="D24" s="329" t="str">
        <f>IF(F23&lt;=1,"销售费用×利率×(建设周期÷2)","销售费用×((1+利率)^(建设周期÷2)-1)")</f>
        <v>销售费用×利率×(建设周期÷2)</v>
      </c>
      <c r="E24" s="302" t="s">
        <v>747</v>
      </c>
      <c r="F24" s="331" t="e">
        <f ca="1">'数据-取费表'!B40</f>
        <v>#VALUE!</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t="e">
        <f ca="1">J5-J16</f>
        <v>#VALUE!</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0</v>
      </c>
      <c r="D28" s="323" t="s">
        <v>765</v>
      </c>
      <c r="E28" s="302" t="s">
        <v>712</v>
      </c>
      <c r="F28" s="322">
        <f>'数据-取费表'!B41</f>
        <v>0</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#VALUE!</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#VALUE!</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8" t="s">
        <v>2308</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0</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t="e">
        <f ca="1">ROUND(C29*F36,0)</f>
        <v>#VALUE!</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t="e">
        <f ca="1">ROUND(C13*F37,0)</f>
        <v>#VALUE!</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t="e">
        <f ca="1">C5-C30</f>
        <v>#VALUE!</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#VALUE!</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#VALUE!</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3354</v>
      </c>
      <c r="B45" s="1400"/>
      <c r="C45" s="1472" t="e">
        <f ca="1">ROUND((C68-C40)/10000,4)</f>
        <v>#VALUE!</v>
      </c>
      <c r="D45" s="3432" t="s">
        <v>3355</v>
      </c>
      <c r="E45" s="1400"/>
      <c r="F45" s="1400"/>
      <c r="O45" s="1403" t="s">
        <v>808</v>
      </c>
      <c r="P45" s="1461"/>
      <c r="Q45" s="1461"/>
      <c r="R45" s="1461"/>
    </row>
    <row r="46" spans="1:18" s="1384" customFormat="1" ht="13.5" thickBot="1">
      <c r="A46" s="1404" t="s">
        <v>809</v>
      </c>
      <c r="C46" s="1405" t="e">
        <f ca="1">ROUND(C45,0)</f>
        <v>#VALUE!</v>
      </c>
      <c r="D46" s="1406" t="str">
        <f>C2</f>
        <v>万元</v>
      </c>
      <c r="I46" s="1407" t="s">
        <v>810</v>
      </c>
      <c r="J46" s="1408"/>
      <c r="K46" s="1409"/>
      <c r="L46" s="1410" t="e">
        <f ca="1">IF(M47="住宅",0,IF(L48&gt;J51,L60,J60))</f>
        <v>#VALUE!</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#VALUE!</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#VALUE!</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t="e">
        <f ca="1">C29</f>
        <v>#VALUE!</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t="e">
        <f ca="1">ROUND(-PV(INDIRECT("'数据-取费表'!h"&amp;$G$1),J51,(C39-C13*C76),0),0)</f>
        <v>#VALUE!</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5" t="s">
        <v>837</v>
      </c>
      <c r="L53" s="3636"/>
      <c r="O53" s="1418" t="s">
        <v>409</v>
      </c>
      <c r="P53" s="1419" t="s">
        <v>838</v>
      </c>
      <c r="Q53" s="1420" t="e">
        <f ca="1">Q47+Q48</f>
        <v>#VALUE!</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t="e">
        <f ca="1">C13</f>
        <v>#VALUE!</v>
      </c>
      <c r="D56" s="1447"/>
      <c r="E56" s="1448"/>
      <c r="F56" s="1440"/>
      <c r="I56" s="1449" t="s">
        <v>842</v>
      </c>
      <c r="J56" s="1450"/>
      <c r="K56" s="1421" t="s">
        <v>843</v>
      </c>
      <c r="L56" s="1424">
        <f ca="1">IF(L48&lt;J51,"——",L48-J51)</f>
        <v>0</v>
      </c>
      <c r="O56" s="1418" t="s">
        <v>403</v>
      </c>
      <c r="P56" s="1419" t="s">
        <v>817</v>
      </c>
      <c r="Q56" s="1420" t="e">
        <f ca="1">C40+J29</f>
        <v>#VALUE!</v>
      </c>
      <c r="R56" s="1420" t="s">
        <v>818</v>
      </c>
    </row>
    <row r="57" spans="1:18" s="1384" customFormat="1" ht="24.75" thickBot="1">
      <c r="A57" s="1451"/>
      <c r="B57" s="950" t="s">
        <v>767</v>
      </c>
      <c r="C57" s="238" t="e">
        <f ca="1">C29</f>
        <v>#VALUE!</v>
      </c>
      <c r="D57" s="1452"/>
      <c r="E57" s="1453"/>
      <c r="F57" s="1454"/>
      <c r="I57" s="1455" t="s">
        <v>844</v>
      </c>
      <c r="J57" s="1456">
        <f ca="1">IF(OR(M47="住宅",J51&lt;L48,J56="是"),"——",J51-L48)</f>
        <v>0</v>
      </c>
      <c r="K57" s="1421" t="s">
        <v>892</v>
      </c>
      <c r="L57" s="1424" t="e">
        <f ca="1">IF(L48&lt;J51,"——",IF(L55="比较法",L49,IF(L55="基准地价",L50,L51)))</f>
        <v>#VALUE!</v>
      </c>
      <c r="O57" s="1418" t="s">
        <v>404</v>
      </c>
      <c r="P57" s="1419" t="s">
        <v>893</v>
      </c>
      <c r="Q57" s="1420" t="e">
        <f ca="1">L60</f>
        <v>#VALUE!</v>
      </c>
      <c r="R57" s="1420" t="s">
        <v>894</v>
      </c>
    </row>
    <row r="58" spans="1:18" s="1384" customFormat="1" ht="24.75" thickBot="1">
      <c r="A58" s="315" t="s">
        <v>393</v>
      </c>
      <c r="B58" s="958" t="s">
        <v>714</v>
      </c>
      <c r="C58" s="316" t="e">
        <f ca="1">ROUND(C59+C64+C65+C66,0)</f>
        <v>#VALUE!</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#VALUE!</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0</v>
      </c>
      <c r="I60" s="1458" t="s">
        <v>853</v>
      </c>
      <c r="J60" s="1459" t="e">
        <f ca="1">IF(OR(M47="住宅",J51&lt;L48,J56="是"),"0",ROUND(J59/(1+J52)^J53,0))</f>
        <v>#VALUE!</v>
      </c>
      <c r="K60" s="1460" t="s">
        <v>854</v>
      </c>
      <c r="L60" s="1459" t="e">
        <f ca="1">IF(OR(M47="住宅",L48&lt;J51),0,ROUND(L57*(L58/L59-1),0))</f>
        <v>#VALUE!</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#VALUE!</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ROUND(C57*F64,0)</f>
        <v>#VALUE!</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ROUND(C56*F65,0)</f>
        <v>#VALUE!</v>
      </c>
      <c r="D65" s="964" t="s">
        <v>743</v>
      </c>
      <c r="E65" s="950" t="s">
        <v>744</v>
      </c>
      <c r="F65" s="330">
        <f t="shared" ca="1" si="0"/>
        <v>0</v>
      </c>
      <c r="I65" s="1462" t="s">
        <v>867</v>
      </c>
      <c r="J65" s="1463">
        <v>40</v>
      </c>
      <c r="K65" s="1463">
        <v>30</v>
      </c>
      <c r="L65" s="1463">
        <v>50</v>
      </c>
      <c r="M65" s="1465">
        <v>0.02</v>
      </c>
      <c r="O65" s="1418" t="s">
        <v>403</v>
      </c>
      <c r="P65" s="1419" t="s">
        <v>868</v>
      </c>
      <c r="Q65" s="1420" t="e">
        <f ca="1">C40+J29</f>
        <v>#VALUE!</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#VALUE!</v>
      </c>
      <c r="R66" s="1420" t="s">
        <v>869</v>
      </c>
    </row>
    <row r="67" spans="1:18" s="1384" customFormat="1" ht="16.5" thickBot="1">
      <c r="A67" s="957" t="s">
        <v>394</v>
      </c>
      <c r="B67" s="967" t="s">
        <v>752</v>
      </c>
      <c r="C67" s="316" t="e">
        <f ca="1">C48-C58</f>
        <v>#VALUE!</v>
      </c>
      <c r="D67" s="963" t="s">
        <v>753</v>
      </c>
      <c r="E67" s="968"/>
      <c r="F67" s="969"/>
      <c r="O67" s="1428" t="s">
        <v>405</v>
      </c>
      <c r="P67" s="1419" t="s">
        <v>850</v>
      </c>
      <c r="Q67" s="1466" t="e">
        <f ca="1">L51</f>
        <v>#VALUE!</v>
      </c>
      <c r="R67" s="1420" t="s">
        <v>870</v>
      </c>
    </row>
    <row r="68" spans="1:18" s="1384" customFormat="1" ht="16.5" thickBot="1">
      <c r="A68" s="947" t="s">
        <v>395</v>
      </c>
      <c r="B68" s="948" t="s">
        <v>774</v>
      </c>
      <c r="C68" s="301" t="e">
        <f ca="1">ROUND(C67*(1-((1+F70)/(1+F68))^F69)/(F68-F70),0)</f>
        <v>#VALUE!</v>
      </c>
      <c r="D68" s="965" t="s">
        <v>758</v>
      </c>
      <c r="E68" s="950" t="s">
        <v>759</v>
      </c>
      <c r="F68" s="312">
        <f ca="1">F40</f>
        <v>0</v>
      </c>
      <c r="O68" s="1428" t="s">
        <v>406</v>
      </c>
      <c r="P68" s="1467" t="s">
        <v>871</v>
      </c>
      <c r="Q68" s="1420" t="e">
        <f ca="1">ROUND(Q69-Q70*Q71,0)</f>
        <v>#VALUE!</v>
      </c>
      <c r="R68" s="1420" t="s">
        <v>414</v>
      </c>
    </row>
    <row r="69" spans="1:18" s="1384" customFormat="1" ht="13.5" thickBot="1">
      <c r="A69" s="951"/>
      <c r="B69" s="952"/>
      <c r="C69" s="306"/>
      <c r="D69" s="970" t="s">
        <v>762</v>
      </c>
      <c r="E69" s="950" t="s">
        <v>763</v>
      </c>
      <c r="F69" s="333">
        <f ca="1">F41</f>
        <v>0</v>
      </c>
      <c r="O69" s="1428" t="s">
        <v>411</v>
      </c>
      <c r="P69" s="1467" t="s">
        <v>872</v>
      </c>
      <c r="Q69" s="1420" t="e">
        <f ca="1">C39</f>
        <v>#VALUE!</v>
      </c>
      <c r="R69" s="1420" t="s">
        <v>818</v>
      </c>
    </row>
    <row r="70" spans="1:18" s="1384" customFormat="1" ht="13.5" thickBot="1">
      <c r="A70" s="954"/>
      <c r="B70" s="955"/>
      <c r="C70" s="310"/>
      <c r="D70" s="966"/>
      <c r="E70" s="950" t="s">
        <v>766</v>
      </c>
      <c r="F70" s="1054"/>
      <c r="O70" s="1428" t="s">
        <v>412</v>
      </c>
      <c r="P70" s="1467" t="s">
        <v>873</v>
      </c>
      <c r="Q70" s="1420" t="e">
        <f ca="1">C13</f>
        <v>#VALUE!</v>
      </c>
      <c r="R70" s="1420" t="s">
        <v>818</v>
      </c>
    </row>
    <row r="71" spans="1:18" s="1384" customFormat="1" ht="13.5" thickBot="1">
      <c r="A71" s="971" t="s">
        <v>396</v>
      </c>
      <c r="B71" s="972" t="s">
        <v>776</v>
      </c>
      <c r="C71" s="336" t="e">
        <f ca="1">ROUND(C68/F71,0)</f>
        <v>#VALUE!</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t="e">
        <f ca="1">ROUND(C13*C76,0)</f>
        <v>#VALUE!</v>
      </c>
      <c r="D75" s="1384"/>
      <c r="E75" s="1384"/>
      <c r="F75" s="1384"/>
      <c r="K75" s="1402"/>
      <c r="L75" s="1384"/>
      <c r="O75" s="1418" t="s">
        <v>409</v>
      </c>
      <c r="P75" s="1419" t="s">
        <v>838</v>
      </c>
      <c r="Q75" s="1420" t="e">
        <f ca="1">Q65+Q66</f>
        <v>#VALUE!</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#VALUE!</v>
      </c>
    </row>
    <row r="80" spans="1:18">
      <c r="B80" s="340" t="s">
        <v>800</v>
      </c>
      <c r="C80" s="274" t="e">
        <f ca="1">ROUND(C75/C39,3)</f>
        <v>#VALUE!</v>
      </c>
    </row>
    <row r="81" spans="2:3">
      <c r="B81" s="270" t="s">
        <v>801</v>
      </c>
      <c r="C81" s="238"/>
    </row>
    <row r="82" spans="2:3">
      <c r="B82" s="273" t="s">
        <v>802</v>
      </c>
      <c r="C82" s="275" t="e">
        <f ca="1">1-C83</f>
        <v>#VALUE!</v>
      </c>
    </row>
    <row r="83" spans="2:3">
      <c r="B83" s="273" t="s">
        <v>803</v>
      </c>
      <c r="C83" s="274"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2437</v>
      </c>
      <c r="B1" s="2832"/>
      <c r="C1" s="2844"/>
      <c r="D1" s="2844"/>
      <c r="E1" s="2833"/>
      <c r="F1" s="2834"/>
      <c r="G1" s="2835"/>
      <c r="J1" s="2838" t="s">
        <v>2316</v>
      </c>
      <c r="K1" s="2839"/>
      <c r="L1" s="2839"/>
      <c r="M1" s="2839"/>
      <c r="N1" s="2839"/>
      <c r="O1" s="2839"/>
      <c r="P1" s="2839"/>
      <c r="Q1" s="2839"/>
      <c r="R1" s="2840"/>
      <c r="S1" s="2841"/>
      <c r="T1" s="2841"/>
      <c r="U1" s="2841"/>
    </row>
    <row r="2" spans="1:22" s="2853" customFormat="1" ht="13.15" customHeight="1">
      <c r="A2" s="1385" t="s">
        <v>2317</v>
      </c>
      <c r="B2" s="2843" t="e">
        <f>IF(D2="——",C40,C40+E2)</f>
        <v>#DIV/0!</v>
      </c>
      <c r="C2" s="2844" t="s">
        <v>2318</v>
      </c>
      <c r="D2" s="3443" t="s">
        <v>3361</v>
      </c>
      <c r="E2" s="3444"/>
      <c r="F2" s="2846"/>
      <c r="G2" s="2847"/>
      <c r="H2" s="2848"/>
      <c r="I2" s="2849"/>
      <c r="J2" s="3646" t="s">
        <v>2319</v>
      </c>
      <c r="K2" s="3647"/>
      <c r="L2" s="2850" t="s">
        <v>2320</v>
      </c>
      <c r="M2" s="2850" t="s">
        <v>2321</v>
      </c>
      <c r="N2" s="2850" t="s">
        <v>2322</v>
      </c>
      <c r="O2" s="2850" t="s">
        <v>2323</v>
      </c>
      <c r="P2" s="2850" t="s">
        <v>2324</v>
      </c>
      <c r="Q2" s="2851" t="s">
        <v>2325</v>
      </c>
      <c r="R2" s="2852" t="s">
        <v>2326</v>
      </c>
      <c r="S2" s="2841"/>
      <c r="T2" s="2841"/>
      <c r="U2" s="2841"/>
      <c r="V2" s="2849"/>
    </row>
    <row r="3" spans="1:22" s="2853" customFormat="1" ht="13.15" customHeight="1">
      <c r="A3" s="2854" t="s">
        <v>2327</v>
      </c>
      <c r="B3" s="2855" t="e">
        <f>ROUND(B2*10000/B4,0)</f>
        <v>#DIV/0!</v>
      </c>
      <c r="C3" s="2844" t="s">
        <v>2328</v>
      </c>
      <c r="D3" s="2844"/>
      <c r="E3" s="2845"/>
      <c r="F3" s="2846"/>
      <c r="G3" s="2847"/>
      <c r="H3" s="2848"/>
      <c r="I3" s="2849"/>
      <c r="J3" s="3648" t="s">
        <v>2329</v>
      </c>
      <c r="K3" s="3649"/>
      <c r="L3" s="2856"/>
      <c r="M3" s="2856"/>
      <c r="N3" s="2856"/>
      <c r="O3" s="2856"/>
      <c r="P3" s="2856"/>
      <c r="Q3" s="2857"/>
      <c r="R3" s="2858">
        <f>SUM(L3:Q3)</f>
        <v>0</v>
      </c>
      <c r="S3" s="2841"/>
      <c r="T3" s="2841"/>
      <c r="U3" s="2841"/>
      <c r="V3" s="2849"/>
    </row>
    <row r="4" spans="1:22" s="2853" customFormat="1" ht="13.15" customHeight="1">
      <c r="A4" s="2859" t="s">
        <v>2330</v>
      </c>
      <c r="B4" s="2860"/>
      <c r="C4" s="2844"/>
      <c r="D4" s="2844"/>
      <c r="E4" s="2845"/>
      <c r="F4" s="2846"/>
      <c r="G4" s="2847"/>
      <c r="H4" s="2848"/>
      <c r="I4" s="2849"/>
      <c r="J4" s="3648" t="s">
        <v>2331</v>
      </c>
      <c r="K4" s="3649"/>
      <c r="L4" s="2861"/>
      <c r="M4" s="2861"/>
      <c r="N4" s="2861"/>
      <c r="O4" s="2861"/>
      <c r="P4" s="2861"/>
      <c r="Q4" s="2862"/>
      <c r="R4" s="2863">
        <f>SUM(L4:Q4)</f>
        <v>0</v>
      </c>
      <c r="S4" s="2841"/>
      <c r="T4" s="2841"/>
      <c r="U4" s="2841"/>
      <c r="V4" s="2849"/>
    </row>
    <row r="5" spans="1:22" s="2853" customFormat="1" ht="13.15" customHeight="1" thickBot="1">
      <c r="A5" s="2864" t="s">
        <v>2332</v>
      </c>
      <c r="B5" s="2865"/>
      <c r="C5" s="2844"/>
      <c r="D5" s="2866"/>
      <c r="E5" s="2846"/>
      <c r="F5" s="2846"/>
      <c r="G5" s="2847"/>
      <c r="H5" s="2848"/>
      <c r="I5" s="2849"/>
      <c r="J5" s="2867" t="s">
        <v>2333</v>
      </c>
      <c r="K5" s="2868"/>
      <c r="L5" s="2868"/>
      <c r="M5" s="2869"/>
      <c r="N5" s="2869"/>
      <c r="O5" s="2869"/>
      <c r="P5" s="2869"/>
      <c r="Q5" s="2869"/>
      <c r="R5" s="2852">
        <f>SUM(R14,R19,R24,R25,R27,R28)</f>
        <v>0</v>
      </c>
      <c r="S5" s="2841"/>
      <c r="T5" s="2841" t="s">
        <v>2334</v>
      </c>
      <c r="U5" s="2841" t="e">
        <f>ROUND(R5*10000/365/R3,1)</f>
        <v>#DIV/0!</v>
      </c>
      <c r="V5" s="2849"/>
    </row>
    <row r="6" spans="1:22" s="2853" customFormat="1" ht="13.15" customHeight="1" thickBot="1">
      <c r="A6" s="3654" t="s">
        <v>2335</v>
      </c>
      <c r="B6" s="3655"/>
      <c r="C6" s="3656"/>
      <c r="D6" s="2870"/>
      <c r="E6" s="2871"/>
      <c r="F6" s="2872"/>
      <c r="G6" s="2873"/>
      <c r="H6" s="2848"/>
      <c r="I6" s="2849"/>
      <c r="J6" s="3640">
        <v>1</v>
      </c>
      <c r="K6" s="3641" t="s">
        <v>2336</v>
      </c>
      <c r="L6" s="2874" t="s">
        <v>2337</v>
      </c>
      <c r="M6" s="2875" t="s">
        <v>2338</v>
      </c>
      <c r="N6" s="2875" t="s">
        <v>2339</v>
      </c>
      <c r="O6" s="2875" t="s">
        <v>2340</v>
      </c>
      <c r="P6" s="2875" t="s">
        <v>2341</v>
      </c>
      <c r="Q6" s="2875" t="s">
        <v>2342</v>
      </c>
      <c r="R6" s="2858" t="s">
        <v>2343</v>
      </c>
      <c r="S6" s="2841"/>
      <c r="T6" s="2841" t="s">
        <v>2344</v>
      </c>
      <c r="U6" s="2841"/>
      <c r="V6" s="2849"/>
    </row>
    <row r="7" spans="1:22" s="2853" customFormat="1" ht="13.15" customHeight="1">
      <c r="A7" s="2876" t="s">
        <v>2345</v>
      </c>
      <c r="B7" s="2877"/>
      <c r="C7" s="2878"/>
      <c r="D7" s="2879">
        <f>SUM(D9,D10,D11,D17,0)</f>
        <v>0</v>
      </c>
      <c r="E7" s="2880" t="e">
        <f>E9+E10+E11+E17</f>
        <v>#DIV/0!</v>
      </c>
      <c r="F7" s="2881"/>
      <c r="G7" s="2882"/>
      <c r="H7" s="2848"/>
      <c r="I7" s="2849"/>
      <c r="J7" s="3640"/>
      <c r="K7" s="3642"/>
      <c r="L7" s="2883" t="s">
        <v>2346</v>
      </c>
      <c r="M7" s="2884"/>
      <c r="N7" s="2860"/>
      <c r="O7" s="2885"/>
      <c r="P7" s="2885"/>
      <c r="Q7" s="2886">
        <v>365</v>
      </c>
      <c r="R7" s="2887">
        <f>ROUND(M7*N7*O7*P7*Q7/10000,0)</f>
        <v>0</v>
      </c>
      <c r="S7" s="2841"/>
      <c r="T7" s="2841" t="s">
        <v>2347</v>
      </c>
      <c r="U7" s="2841"/>
      <c r="V7" s="2849"/>
    </row>
    <row r="8" spans="1:22" s="2853" customFormat="1" ht="13.15" customHeight="1">
      <c r="A8" s="2888" t="s">
        <v>2348</v>
      </c>
      <c r="B8" s="3657" t="s">
        <v>2349</v>
      </c>
      <c r="C8" s="3658"/>
      <c r="D8" s="2889" t="s">
        <v>2350</v>
      </c>
      <c r="E8" s="2890" t="s">
        <v>2351</v>
      </c>
      <c r="F8" s="2891" t="s">
        <v>2352</v>
      </c>
      <c r="G8" s="2892"/>
      <c r="H8" s="2848"/>
      <c r="I8" s="2849"/>
      <c r="J8" s="3640"/>
      <c r="K8" s="3642"/>
      <c r="L8" s="2883" t="s">
        <v>2353</v>
      </c>
      <c r="M8" s="2884"/>
      <c r="N8" s="2860"/>
      <c r="O8" s="2885"/>
      <c r="P8" s="2885"/>
      <c r="Q8" s="2886">
        <v>365</v>
      </c>
      <c r="R8" s="2887">
        <f t="shared" ref="R8:R13" si="0">ROUND(M8*N8*O8*P8*Q8/10000,0)</f>
        <v>0</v>
      </c>
      <c r="S8" s="2841"/>
      <c r="T8" s="2841" t="s">
        <v>2354</v>
      </c>
      <c r="U8" s="2841"/>
      <c r="V8" s="2849"/>
    </row>
    <row r="9" spans="1:22" s="2853" customFormat="1" ht="13.15" customHeight="1">
      <c r="A9" s="2888">
        <v>1</v>
      </c>
      <c r="B9" s="3657" t="s">
        <v>2355</v>
      </c>
      <c r="C9" s="3658"/>
      <c r="D9" s="2889">
        <f>ROUND(D6*E9,0)</f>
        <v>0</v>
      </c>
      <c r="E9" s="2893"/>
      <c r="F9" s="2894" t="s">
        <v>2356</v>
      </c>
      <c r="G9" s="2873"/>
      <c r="H9" s="2848"/>
      <c r="I9" s="2849"/>
      <c r="J9" s="3640"/>
      <c r="K9" s="3642"/>
      <c r="L9" s="2883" t="s">
        <v>2357</v>
      </c>
      <c r="M9" s="2884"/>
      <c r="N9" s="2860"/>
      <c r="O9" s="2885"/>
      <c r="P9" s="2885"/>
      <c r="Q9" s="2886">
        <v>365</v>
      </c>
      <c r="R9" s="2887">
        <f t="shared" si="0"/>
        <v>0</v>
      </c>
      <c r="S9" s="2841"/>
      <c r="T9" s="2841"/>
      <c r="U9" s="2841"/>
      <c r="V9" s="2849"/>
    </row>
    <row r="10" spans="1:22" s="2853" customFormat="1" ht="13.15" customHeight="1">
      <c r="A10" s="2888">
        <v>2</v>
      </c>
      <c r="B10" s="3657" t="s">
        <v>2358</v>
      </c>
      <c r="C10" s="3658"/>
      <c r="D10" s="2889">
        <f>ROUND(D6*E10,0)</f>
        <v>0</v>
      </c>
      <c r="E10" s="2893"/>
      <c r="F10" s="2894" t="s">
        <v>2359</v>
      </c>
      <c r="G10" s="2873"/>
      <c r="H10" s="2848"/>
      <c r="I10" s="2849"/>
      <c r="J10" s="3640"/>
      <c r="K10" s="3642"/>
      <c r="L10" s="2883" t="s">
        <v>2360</v>
      </c>
      <c r="M10" s="2884"/>
      <c r="N10" s="2860"/>
      <c r="O10" s="2885"/>
      <c r="P10" s="2885"/>
      <c r="Q10" s="2886">
        <v>365</v>
      </c>
      <c r="R10" s="2887">
        <f t="shared" si="0"/>
        <v>0</v>
      </c>
      <c r="S10" s="2841"/>
      <c r="T10" s="2841"/>
      <c r="U10" s="2841"/>
      <c r="V10" s="2849"/>
    </row>
    <row r="11" spans="1:22" s="2853" customFormat="1" ht="13.15" customHeight="1">
      <c r="A11" s="2888">
        <v>3</v>
      </c>
      <c r="B11" s="3657" t="s">
        <v>2361</v>
      </c>
      <c r="C11" s="3658"/>
      <c r="D11" s="2889">
        <f>D12+D14+D15+D16</f>
        <v>0</v>
      </c>
      <c r="E11" s="2895" t="e">
        <f>D11/D6</f>
        <v>#DIV/0!</v>
      </c>
      <c r="F11" s="2891"/>
      <c r="G11" s="2892"/>
      <c r="H11" s="2848"/>
      <c r="I11" s="2849"/>
      <c r="J11" s="3640"/>
      <c r="K11" s="3642"/>
      <c r="L11" s="2883" t="s">
        <v>2362</v>
      </c>
      <c r="M11" s="2884"/>
      <c r="N11" s="2860"/>
      <c r="O11" s="2885"/>
      <c r="P11" s="2885"/>
      <c r="Q11" s="2886">
        <v>365</v>
      </c>
      <c r="R11" s="2887">
        <f t="shared" si="0"/>
        <v>0</v>
      </c>
      <c r="S11" s="2841"/>
      <c r="T11" s="2841"/>
      <c r="U11" s="2841"/>
      <c r="V11" s="2849"/>
    </row>
    <row r="12" spans="1:22" s="2853" customFormat="1" ht="13.15" customHeight="1">
      <c r="A12" s="2896" t="s">
        <v>2363</v>
      </c>
      <c r="B12" s="3650" t="s">
        <v>2364</v>
      </c>
      <c r="C12" s="3651"/>
      <c r="D12" s="2897">
        <f>ROUND(D13*1.2%*(1-30%),0)</f>
        <v>0</v>
      </c>
      <c r="E12" s="2898">
        <v>1.2E-2</v>
      </c>
      <c r="F12" s="2891" t="s">
        <v>2365</v>
      </c>
      <c r="G12" s="2892"/>
      <c r="H12" s="2848"/>
      <c r="I12" s="2849"/>
      <c r="J12" s="3640"/>
      <c r="K12" s="3642"/>
      <c r="L12" s="2883" t="s">
        <v>2366</v>
      </c>
      <c r="M12" s="2884"/>
      <c r="N12" s="2860"/>
      <c r="O12" s="2885"/>
      <c r="P12" s="2885"/>
      <c r="Q12" s="2886">
        <v>365</v>
      </c>
      <c r="R12" s="2887">
        <f t="shared" si="0"/>
        <v>0</v>
      </c>
      <c r="S12" s="2841"/>
      <c r="T12" s="2841"/>
      <c r="U12" s="2841"/>
      <c r="V12" s="2849"/>
    </row>
    <row r="13" spans="1:22" s="2853" customFormat="1" ht="13.15" customHeight="1">
      <c r="A13" s="2896"/>
      <c r="B13" s="2899"/>
      <c r="C13" s="2900" t="s">
        <v>2367</v>
      </c>
      <c r="D13" s="2901"/>
      <c r="E13" s="2902"/>
      <c r="F13" s="2891"/>
      <c r="G13" s="2892"/>
      <c r="H13" s="2848"/>
      <c r="I13" s="2849"/>
      <c r="J13" s="3640"/>
      <c r="K13" s="3642"/>
      <c r="L13" s="2883" t="s">
        <v>2368</v>
      </c>
      <c r="M13" s="2884"/>
      <c r="N13" s="2860"/>
      <c r="O13" s="2885"/>
      <c r="P13" s="2885"/>
      <c r="Q13" s="2886">
        <v>365</v>
      </c>
      <c r="R13" s="2887">
        <f t="shared" si="0"/>
        <v>0</v>
      </c>
      <c r="S13" s="2841"/>
      <c r="T13" s="2841"/>
      <c r="U13" s="2841"/>
      <c r="V13" s="2849"/>
    </row>
    <row r="14" spans="1:22" s="2853" customFormat="1" ht="13.15" customHeight="1">
      <c r="A14" s="2896" t="s">
        <v>2369</v>
      </c>
      <c r="B14" s="3650" t="s">
        <v>2370</v>
      </c>
      <c r="C14" s="3651"/>
      <c r="D14" s="2897">
        <f>ROUND(E14*B5/10000,0)</f>
        <v>0</v>
      </c>
      <c r="E14" s="2886"/>
      <c r="F14" s="2891" t="s">
        <v>2371</v>
      </c>
      <c r="G14" s="2892"/>
      <c r="H14" s="2848"/>
      <c r="I14" s="2849"/>
      <c r="J14" s="3640"/>
      <c r="K14" s="3643"/>
      <c r="L14" s="2903" t="s">
        <v>2372</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2373</v>
      </c>
      <c r="B15" s="3650" t="s">
        <v>2374</v>
      </c>
      <c r="C15" s="3651"/>
      <c r="D15" s="2897">
        <f>ROUND(D6*E15,0)</f>
        <v>0</v>
      </c>
      <c r="E15" s="2898">
        <v>5.5E-2</v>
      </c>
      <c r="F15" s="2891" t="s">
        <v>2375</v>
      </c>
      <c r="G15" s="2873"/>
      <c r="H15" s="2848"/>
      <c r="I15" s="2849"/>
      <c r="J15" s="3640">
        <v>2</v>
      </c>
      <c r="K15" s="3641" t="s">
        <v>2376</v>
      </c>
      <c r="L15" s="2883" t="s">
        <v>2377</v>
      </c>
      <c r="M15" s="2884" t="s">
        <v>2378</v>
      </c>
      <c r="N15" s="2884" t="s">
        <v>2379</v>
      </c>
      <c r="O15" s="2885" t="s">
        <v>2380</v>
      </c>
      <c r="P15" s="2885" t="s">
        <v>2342</v>
      </c>
      <c r="Q15" s="2860" t="s">
        <v>2381</v>
      </c>
      <c r="R15" s="2907" t="s">
        <v>2343</v>
      </c>
      <c r="S15" s="2841"/>
      <c r="T15" s="2841"/>
      <c r="U15" s="2841"/>
      <c r="V15" s="2849"/>
    </row>
    <row r="16" spans="1:22" s="2853" customFormat="1" ht="13.15" customHeight="1">
      <c r="A16" s="2896" t="s">
        <v>2382</v>
      </c>
      <c r="B16" s="3650" t="s">
        <v>2383</v>
      </c>
      <c r="C16" s="3651"/>
      <c r="D16" s="2908">
        <f>D6*E16</f>
        <v>0</v>
      </c>
      <c r="E16" s="2909"/>
      <c r="F16" s="2894" t="s">
        <v>2384</v>
      </c>
      <c r="G16" s="2873"/>
      <c r="H16" s="2848"/>
      <c r="I16" s="2849"/>
      <c r="J16" s="3640"/>
      <c r="K16" s="3642"/>
      <c r="L16" s="2883" t="s">
        <v>2385</v>
      </c>
      <c r="M16" s="2884"/>
      <c r="N16" s="2884"/>
      <c r="O16" s="2885"/>
      <c r="P16" s="2886">
        <v>365</v>
      </c>
      <c r="Q16" s="2860"/>
      <c r="R16" s="2907">
        <f>ROUND(M16*N16*O16*P16/10000,0)</f>
        <v>0</v>
      </c>
      <c r="S16" s="2841"/>
      <c r="T16" s="2841"/>
      <c r="U16" s="2841"/>
      <c r="V16" s="2849"/>
    </row>
    <row r="17" spans="1:22" s="2853" customFormat="1" ht="13.15" customHeight="1" thickBot="1">
      <c r="A17" s="2910">
        <v>4</v>
      </c>
      <c r="B17" s="3652" t="s">
        <v>2386</v>
      </c>
      <c r="C17" s="3653"/>
      <c r="D17" s="2911">
        <f>ROUND(D6*E17,0)</f>
        <v>0</v>
      </c>
      <c r="E17" s="2912"/>
      <c r="F17" s="2913" t="s">
        <v>2387</v>
      </c>
      <c r="G17" s="2873"/>
      <c r="H17" s="2848"/>
      <c r="I17" s="2849"/>
      <c r="J17" s="3640"/>
      <c r="K17" s="3642"/>
      <c r="L17" s="2883" t="s">
        <v>2388</v>
      </c>
      <c r="M17" s="2884"/>
      <c r="N17" s="2884"/>
      <c r="O17" s="2885"/>
      <c r="P17" s="2886">
        <v>365</v>
      </c>
      <c r="Q17" s="2860"/>
      <c r="R17" s="2907">
        <f>ROUND(M17*N17*O17*P17/10000,0)</f>
        <v>0</v>
      </c>
      <c r="S17" s="2841"/>
      <c r="T17" s="2841"/>
      <c r="U17" s="2841"/>
      <c r="V17" s="2849"/>
    </row>
    <row r="18" spans="1:22" s="2853" customFormat="1" ht="13.15" customHeight="1" thickBot="1">
      <c r="A18" s="2876" t="s">
        <v>2389</v>
      </c>
      <c r="B18" s="2877"/>
      <c r="C18" s="2877"/>
      <c r="D18" s="2914">
        <f>ROUND(D6*E18,0)</f>
        <v>0</v>
      </c>
      <c r="E18" s="2915"/>
      <c r="F18" s="2916" t="s">
        <v>2390</v>
      </c>
      <c r="G18" s="2873"/>
      <c r="H18" s="2848"/>
      <c r="I18" s="2849"/>
      <c r="J18" s="3640"/>
      <c r="K18" s="3642"/>
      <c r="L18" s="2883" t="s">
        <v>2391</v>
      </c>
      <c r="M18" s="2884"/>
      <c r="N18" s="2884"/>
      <c r="O18" s="2885"/>
      <c r="P18" s="2886">
        <v>365</v>
      </c>
      <c r="Q18" s="2860"/>
      <c r="R18" s="2907">
        <f>ROUND(M18*N18*O18*P18/10000,0)</f>
        <v>0</v>
      </c>
      <c r="S18" s="2841"/>
      <c r="T18" s="2841"/>
      <c r="U18" s="2841"/>
      <c r="V18" s="2849"/>
    </row>
    <row r="19" spans="1:22" s="2853" customFormat="1" ht="13.15" customHeight="1" thickBot="1">
      <c r="A19" s="2917" t="s">
        <v>2392</v>
      </c>
      <c r="B19" s="2871"/>
      <c r="C19" s="2871"/>
      <c r="D19" s="2871"/>
      <c r="E19" s="2871"/>
      <c r="F19" s="2872"/>
      <c r="G19" s="2892"/>
      <c r="H19" s="2848"/>
      <c r="I19" s="2849"/>
      <c r="J19" s="3640"/>
      <c r="K19" s="3643"/>
      <c r="L19" s="2903" t="s">
        <v>2372</v>
      </c>
      <c r="M19" s="2904"/>
      <c r="N19" s="2904">
        <f>SUM(N16:N18)</f>
        <v>0</v>
      </c>
      <c r="O19" s="2905"/>
      <c r="P19" s="2918" t="s">
        <v>2436</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0">
        <v>3</v>
      </c>
      <c r="K20" s="3641" t="s">
        <v>2393</v>
      </c>
      <c r="L20" s="2883" t="s">
        <v>2394</v>
      </c>
      <c r="M20" s="2884" t="s">
        <v>2395</v>
      </c>
      <c r="N20" s="2921" t="s">
        <v>2396</v>
      </c>
      <c r="O20" s="2885" t="s">
        <v>2397</v>
      </c>
      <c r="P20" s="2886" t="s">
        <v>2398</v>
      </c>
      <c r="Q20" s="2860" t="s">
        <v>2399</v>
      </c>
      <c r="R20" s="2907" t="s">
        <v>2400</v>
      </c>
      <c r="S20" s="2922"/>
      <c r="T20" s="2922"/>
      <c r="U20" s="2922"/>
      <c r="V20" s="2849"/>
    </row>
    <row r="21" spans="1:22" s="2853" customFormat="1" ht="13.15" customHeight="1">
      <c r="A21" s="2876"/>
      <c r="B21" s="2877"/>
      <c r="C21" s="2923" t="s">
        <v>2401</v>
      </c>
      <c r="D21" s="2924" t="s">
        <v>2402</v>
      </c>
      <c r="E21" s="2925" t="s">
        <v>2403</v>
      </c>
      <c r="F21" s="2920"/>
      <c r="G21" s="2892"/>
      <c r="H21" s="2848"/>
      <c r="I21" s="2849"/>
      <c r="J21" s="3640"/>
      <c r="K21" s="3642"/>
      <c r="L21" s="2883" t="s">
        <v>2404</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2405</v>
      </c>
      <c r="D22" s="2928" t="s">
        <v>2406</v>
      </c>
      <c r="E22" s="2929" t="s">
        <v>2407</v>
      </c>
      <c r="F22" s="2920"/>
      <c r="G22" s="2930"/>
      <c r="H22" s="2848"/>
      <c r="I22" s="2849"/>
      <c r="J22" s="3640"/>
      <c r="K22" s="3642"/>
      <c r="L22" s="2883" t="s">
        <v>2408</v>
      </c>
      <c r="M22" s="2884"/>
      <c r="N22" s="2884"/>
      <c r="O22" s="2885"/>
      <c r="P22" s="2886">
        <v>365</v>
      </c>
      <c r="Q22" s="2860"/>
      <c r="R22" s="2926">
        <f>ROUND(M22*N22*O22*P22/10000,0)</f>
        <v>0</v>
      </c>
      <c r="S22" s="2922"/>
      <c r="T22" s="2922"/>
      <c r="U22" s="2922"/>
      <c r="V22" s="2849"/>
    </row>
    <row r="23" spans="1:22" s="2853" customFormat="1" ht="13.15" customHeight="1">
      <c r="A23" s="2931">
        <v>1</v>
      </c>
      <c r="B23" s="2932" t="s">
        <v>2409</v>
      </c>
      <c r="C23" s="2933">
        <f>D6</f>
        <v>0</v>
      </c>
      <c r="D23" s="2934">
        <f>C23*(1+D24)</f>
        <v>0</v>
      </c>
      <c r="E23" s="2935">
        <f>D23*(1+E24)</f>
        <v>0</v>
      </c>
      <c r="F23" s="2936"/>
      <c r="G23" s="2937"/>
      <c r="H23" s="2848"/>
      <c r="I23" s="2849"/>
      <c r="J23" s="3640"/>
      <c r="K23" s="3642"/>
      <c r="L23" s="2883" t="s">
        <v>2410</v>
      </c>
      <c r="M23" s="2884"/>
      <c r="N23" s="2884"/>
      <c r="O23" s="2885"/>
      <c r="P23" s="2886">
        <v>365</v>
      </c>
      <c r="Q23" s="2860"/>
      <c r="R23" s="2926">
        <f>ROUND(M23*N23*O23*P23/10000,0)</f>
        <v>0</v>
      </c>
      <c r="S23" s="2841"/>
      <c r="T23" s="2841"/>
      <c r="U23" s="2841"/>
      <c r="V23" s="2849"/>
    </row>
    <row r="24" spans="1:22" s="2853" customFormat="1" ht="13.15" customHeight="1">
      <c r="A24" s="2938"/>
      <c r="B24" s="2939" t="s">
        <v>2411</v>
      </c>
      <c r="C24" s="2940"/>
      <c r="D24" s="2941"/>
      <c r="E24" s="2942"/>
      <c r="F24" s="2943"/>
      <c r="G24" s="2937"/>
      <c r="H24" s="2848"/>
      <c r="I24" s="2849"/>
      <c r="J24" s="3640"/>
      <c r="K24" s="3643"/>
      <c r="L24" s="2903" t="s">
        <v>2372</v>
      </c>
      <c r="M24" s="2904">
        <f>SUM(M21:M23)</f>
        <v>0</v>
      </c>
      <c r="N24" s="2904"/>
      <c r="O24" s="2905"/>
      <c r="P24" s="2918" t="s">
        <v>2436</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2412</v>
      </c>
      <c r="L25" s="2946"/>
      <c r="M25" s="2946"/>
      <c r="N25" s="2946"/>
      <c r="O25" s="2946"/>
      <c r="P25" s="2947"/>
      <c r="Q25" s="2948">
        <v>0</v>
      </c>
      <c r="R25" s="2919">
        <f>ROUND(R14*Q25,0)</f>
        <v>0</v>
      </c>
      <c r="S25" s="2841"/>
      <c r="T25" s="2841"/>
      <c r="U25" s="2841"/>
      <c r="V25" s="2949"/>
    </row>
    <row r="26" spans="1:22" s="2950" customFormat="1" ht="13.15" customHeight="1">
      <c r="A26" s="2931">
        <v>2</v>
      </c>
      <c r="B26" s="2932" t="s">
        <v>2413</v>
      </c>
      <c r="C26" s="2933">
        <f>D7</f>
        <v>0</v>
      </c>
      <c r="D26" s="2934">
        <f>D23*D27</f>
        <v>0</v>
      </c>
      <c r="E26" s="2935">
        <f>E23*E27</f>
        <v>0</v>
      </c>
      <c r="F26" s="2936"/>
      <c r="G26" s="2937"/>
      <c r="H26" s="2848"/>
      <c r="I26" s="2849"/>
      <c r="J26" s="3644">
        <v>5</v>
      </c>
      <c r="K26" s="2951" t="s">
        <v>2414</v>
      </c>
      <c r="L26" s="2952"/>
      <c r="M26" s="2953"/>
      <c r="N26" s="2954" t="s">
        <v>2415</v>
      </c>
      <c r="O26" s="2954" t="s">
        <v>2416</v>
      </c>
      <c r="P26" s="2955" t="s">
        <v>2417</v>
      </c>
      <c r="Q26" s="2955" t="s">
        <v>2418</v>
      </c>
      <c r="R26" s="2858" t="s">
        <v>2343</v>
      </c>
      <c r="S26" s="2956"/>
      <c r="T26" s="2956"/>
      <c r="U26" s="2956"/>
      <c r="V26" s="2949"/>
    </row>
    <row r="27" spans="1:22" s="2853" customFormat="1" ht="13.15" customHeight="1">
      <c r="A27" s="2938"/>
      <c r="B27" s="2939" t="s">
        <v>2419</v>
      </c>
      <c r="C27" s="2957" t="e">
        <f>E7</f>
        <v>#DIV/0!</v>
      </c>
      <c r="D27" s="2941"/>
      <c r="E27" s="2942"/>
      <c r="F27" s="2943"/>
      <c r="G27" s="2937"/>
      <c r="H27" s="2958"/>
      <c r="I27" s="2949"/>
      <c r="J27" s="3645"/>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2420</v>
      </c>
      <c r="F28" s="2943"/>
      <c r="G28" s="2930"/>
      <c r="H28" s="2958"/>
      <c r="I28" s="2949"/>
      <c r="J28" s="2964">
        <v>6</v>
      </c>
      <c r="K28" s="2965" t="s">
        <v>2421</v>
      </c>
      <c r="L28" s="2966" t="s">
        <v>2422</v>
      </c>
      <c r="M28" s="2967"/>
      <c r="N28" s="2966" t="s">
        <v>2423</v>
      </c>
      <c r="O28" s="2968"/>
      <c r="P28" s="2966" t="s">
        <v>2424</v>
      </c>
      <c r="Q28" s="2969">
        <v>1.4999999999999999E-2</v>
      </c>
      <c r="R28" s="2970"/>
      <c r="S28" s="2922"/>
      <c r="T28" s="2922"/>
      <c r="U28" s="2922"/>
      <c r="V28" s="2949"/>
    </row>
    <row r="29" spans="1:22" s="2950" customFormat="1" ht="13.15" customHeight="1">
      <c r="A29" s="2931">
        <v>3</v>
      </c>
      <c r="B29" s="2932" t="s">
        <v>2425</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2419</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2426</v>
      </c>
      <c r="K31" s="2839"/>
      <c r="L31" s="2839"/>
      <c r="M31" s="2839"/>
      <c r="N31" s="2839"/>
      <c r="O31" s="2839"/>
      <c r="P31" s="2839"/>
      <c r="Q31" s="2839"/>
      <c r="R31" s="2840"/>
      <c r="S31" s="2922"/>
      <c r="T31" s="2841"/>
      <c r="U31" s="2841"/>
      <c r="V31" s="2949"/>
    </row>
    <row r="32" spans="1:22" s="2950" customFormat="1" ht="13.15" customHeight="1">
      <c r="A32" s="2931">
        <v>4</v>
      </c>
      <c r="B32" s="2932" t="s">
        <v>2427</v>
      </c>
      <c r="C32" s="2933">
        <f>C23-C26-C29</f>
        <v>0</v>
      </c>
      <c r="D32" s="2934">
        <f>D23-D26-D29</f>
        <v>0</v>
      </c>
      <c r="E32" s="2935">
        <f>E23-E26-E29</f>
        <v>0</v>
      </c>
      <c r="F32" s="2936"/>
      <c r="G32" s="2930"/>
      <c r="H32" s="2848"/>
      <c r="I32" s="2849"/>
      <c r="J32" s="3646" t="s">
        <v>2319</v>
      </c>
      <c r="K32" s="3647"/>
      <c r="L32" s="2850" t="s">
        <v>2320</v>
      </c>
      <c r="M32" s="2850" t="s">
        <v>2321</v>
      </c>
      <c r="N32" s="2850" t="s">
        <v>2322</v>
      </c>
      <c r="O32" s="2850" t="s">
        <v>2323</v>
      </c>
      <c r="P32" s="2850" t="s">
        <v>2324</v>
      </c>
      <c r="Q32" s="2851" t="s">
        <v>2325</v>
      </c>
      <c r="R32" s="2973" t="s">
        <v>2326</v>
      </c>
      <c r="S32" s="2922"/>
      <c r="T32" s="2841"/>
      <c r="U32" s="2841"/>
      <c r="V32" s="2949"/>
    </row>
    <row r="33" spans="1:23" s="2853" customFormat="1" ht="13.15" customHeight="1">
      <c r="A33" s="2931"/>
      <c r="B33" s="2932"/>
      <c r="C33" s="2933"/>
      <c r="D33" s="2974"/>
      <c r="E33" s="2975"/>
      <c r="F33" s="2936"/>
      <c r="G33" s="2930"/>
      <c r="H33" s="2958"/>
      <c r="I33" s="2949"/>
      <c r="J33" s="3648" t="s">
        <v>2329</v>
      </c>
      <c r="K33" s="3649"/>
      <c r="L33" s="2856"/>
      <c r="M33" s="2856"/>
      <c r="N33" s="2856"/>
      <c r="O33" s="2856"/>
      <c r="P33" s="2856"/>
      <c r="Q33" s="2857"/>
      <c r="R33" s="2976">
        <f>SUM(L33:Q33)</f>
        <v>0</v>
      </c>
      <c r="S33" s="2922"/>
      <c r="T33" s="2841"/>
      <c r="U33" s="2841"/>
      <c r="V33" s="2849"/>
    </row>
    <row r="34" spans="1:23" s="2853" customFormat="1" ht="13.15" customHeight="1">
      <c r="A34" s="2931">
        <v>5</v>
      </c>
      <c r="B34" s="2932" t="s">
        <v>2428</v>
      </c>
      <c r="C34" s="2977"/>
      <c r="D34" s="2978"/>
      <c r="E34" s="2979"/>
      <c r="F34" s="2936"/>
      <c r="G34" s="2930"/>
      <c r="H34" s="2958"/>
      <c r="I34" s="2949"/>
      <c r="J34" s="3648" t="s">
        <v>2331</v>
      </c>
      <c r="K34" s="3649"/>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2429</v>
      </c>
      <c r="C35" s="2981"/>
      <c r="D35" s="2982"/>
      <c r="E35" s="2983"/>
      <c r="F35" s="2936"/>
      <c r="G35" s="2984"/>
      <c r="H35" s="2848"/>
      <c r="I35" s="2949"/>
      <c r="J35" s="2867" t="s">
        <v>2333</v>
      </c>
      <c r="K35" s="2868"/>
      <c r="L35" s="2868"/>
      <c r="M35" s="2869"/>
      <c r="N35" s="2869"/>
      <c r="O35" s="2869"/>
      <c r="P35" s="2869"/>
      <c r="Q35" s="2869"/>
      <c r="R35" s="2985">
        <f>R40+R41+R43</f>
        <v>0</v>
      </c>
      <c r="S35" s="2922"/>
      <c r="T35" s="2841" t="s">
        <v>2334</v>
      </c>
      <c r="U35" s="2841"/>
      <c r="V35" s="2849"/>
    </row>
    <row r="36" spans="1:23" s="2853" customFormat="1" ht="13.15" customHeight="1" thickBot="1">
      <c r="A36" s="2931">
        <v>7</v>
      </c>
      <c r="B36" s="2986" t="s">
        <v>2430</v>
      </c>
      <c r="C36" s="2987"/>
      <c r="D36" s="2988"/>
      <c r="E36" s="2989"/>
      <c r="F36" s="2990">
        <f>C36+D36+E36</f>
        <v>0</v>
      </c>
      <c r="G36" s="2930"/>
      <c r="H36" s="2848"/>
      <c r="I36" s="2849"/>
      <c r="J36" s="3640">
        <v>1</v>
      </c>
      <c r="K36" s="3641" t="s">
        <v>2431</v>
      </c>
      <c r="L36" s="2874"/>
      <c r="M36" s="2875"/>
      <c r="N36" s="2875"/>
      <c r="O36" s="2875"/>
      <c r="P36" s="2875"/>
      <c r="Q36" s="2875"/>
      <c r="R36" s="2858" t="s">
        <v>2343</v>
      </c>
      <c r="S36" s="2922"/>
      <c r="T36" s="2841" t="s">
        <v>2344</v>
      </c>
      <c r="U36" s="2841"/>
      <c r="V36" s="2849"/>
    </row>
    <row r="37" spans="1:23" s="2853" customFormat="1" ht="13.15" customHeight="1">
      <c r="A37" s="2931"/>
      <c r="B37" s="2932"/>
      <c r="C37" s="2932"/>
      <c r="D37" s="2932"/>
      <c r="E37" s="2932"/>
      <c r="F37" s="2936"/>
      <c r="G37" s="2930"/>
      <c r="H37" s="2848"/>
      <c r="I37" s="2849"/>
      <c r="J37" s="3640"/>
      <c r="K37" s="3642"/>
      <c r="L37" s="2883"/>
      <c r="M37" s="2884"/>
      <c r="N37" s="2860"/>
      <c r="O37" s="2885"/>
      <c r="P37" s="2885"/>
      <c r="Q37" s="2886"/>
      <c r="R37" s="2887"/>
      <c r="S37" s="2922"/>
      <c r="T37" s="2841" t="s">
        <v>2347</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0"/>
      <c r="K38" s="3642"/>
      <c r="L38" s="2883"/>
      <c r="M38" s="2884"/>
      <c r="N38" s="2860"/>
      <c r="O38" s="2885"/>
      <c r="P38" s="2885"/>
      <c r="Q38" s="2886"/>
      <c r="R38" s="2887"/>
      <c r="S38" s="2922"/>
      <c r="T38" s="2841" t="s">
        <v>2354</v>
      </c>
      <c r="U38" s="2841"/>
      <c r="V38" s="2849"/>
    </row>
    <row r="39" spans="1:23" s="2853" customFormat="1" ht="13.15" customHeight="1">
      <c r="A39" s="2931">
        <v>9</v>
      </c>
      <c r="B39" s="2932" t="s">
        <v>2432</v>
      </c>
      <c r="C39" s="2897" t="e">
        <f>C38</f>
        <v>#DIV/0!</v>
      </c>
      <c r="D39" s="2932">
        <f>D38/(1+D34)^C36</f>
        <v>0</v>
      </c>
      <c r="E39" s="2932">
        <f>E38/(1+E34)^(C36+D36)</f>
        <v>0</v>
      </c>
      <c r="F39" s="2936"/>
      <c r="G39" s="2991"/>
      <c r="H39" s="2848"/>
      <c r="I39" s="2849"/>
      <c r="J39" s="3640"/>
      <c r="K39" s="3642"/>
      <c r="L39" s="2883"/>
      <c r="M39" s="2884"/>
      <c r="N39" s="2860"/>
      <c r="O39" s="2885"/>
      <c r="P39" s="2885"/>
      <c r="Q39" s="2886"/>
      <c r="R39" s="2887"/>
      <c r="S39" s="2922"/>
      <c r="T39" s="2841"/>
      <c r="U39" s="2841"/>
      <c r="V39" s="2849"/>
    </row>
    <row r="40" spans="1:23" s="2853" customFormat="1" ht="13.15" customHeight="1">
      <c r="A40" s="2992">
        <v>10</v>
      </c>
      <c r="B40" s="2932" t="s">
        <v>2433</v>
      </c>
      <c r="C40" s="2993" t="e">
        <f>C39+D39+E39</f>
        <v>#DIV/0!</v>
      </c>
      <c r="D40" s="2994"/>
      <c r="E40" s="2994"/>
      <c r="F40" s="2995"/>
      <c r="G40" s="2930"/>
      <c r="H40" s="2848"/>
      <c r="I40" s="2849"/>
      <c r="J40" s="3640"/>
      <c r="K40" s="3643"/>
      <c r="L40" s="2903" t="s">
        <v>2372</v>
      </c>
      <c r="M40" s="2904"/>
      <c r="N40" s="2904"/>
      <c r="O40" s="2905"/>
      <c r="P40" s="2905"/>
      <c r="Q40" s="2906"/>
      <c r="R40" s="2852">
        <f>SUM(R37:R39)</f>
        <v>0</v>
      </c>
      <c r="S40" s="2922"/>
      <c r="T40" s="2841"/>
      <c r="U40" s="2841"/>
      <c r="V40" s="2849"/>
    </row>
    <row r="41" spans="1:23" s="2853" customFormat="1" ht="13.15" customHeight="1" thickBot="1">
      <c r="A41" s="2996">
        <v>11</v>
      </c>
      <c r="B41" s="2997" t="s">
        <v>2434</v>
      </c>
      <c r="C41" s="2997" t="e">
        <f>ROUND(C40*10000/B4,0)</f>
        <v>#DIV/0!</v>
      </c>
      <c r="D41" s="2998"/>
      <c r="E41" s="2998"/>
      <c r="F41" s="2999"/>
      <c r="G41" s="3000"/>
      <c r="H41" s="2848"/>
      <c r="I41" s="2849"/>
      <c r="J41" s="2944">
        <v>2</v>
      </c>
      <c r="K41" s="2945" t="s">
        <v>2412</v>
      </c>
      <c r="L41" s="2946"/>
      <c r="M41" s="2946"/>
      <c r="N41" s="2946"/>
      <c r="O41" s="2946"/>
      <c r="P41" s="2947"/>
      <c r="Q41" s="2948"/>
      <c r="R41" s="2919">
        <f>ROUND(R40*Q41,0)</f>
        <v>0</v>
      </c>
      <c r="S41" s="2922"/>
      <c r="T41" s="2841"/>
      <c r="U41" s="2956"/>
      <c r="V41" s="2849"/>
    </row>
    <row r="42" spans="1:23" s="2853" customFormat="1" ht="13.15" customHeight="1">
      <c r="G42" s="3000"/>
      <c r="H42" s="2848"/>
      <c r="I42" s="2849"/>
      <c r="J42" s="3644">
        <v>3</v>
      </c>
      <c r="K42" s="2951" t="s">
        <v>2414</v>
      </c>
      <c r="L42" s="2952"/>
      <c r="M42" s="2953"/>
      <c r="N42" s="2954" t="s">
        <v>2415</v>
      </c>
      <c r="O42" s="2954" t="s">
        <v>2416</v>
      </c>
      <c r="P42" s="2955" t="s">
        <v>2417</v>
      </c>
      <c r="Q42" s="2955" t="s">
        <v>2418</v>
      </c>
      <c r="R42" s="2858" t="s">
        <v>2343</v>
      </c>
      <c r="S42" s="2956"/>
      <c r="T42" s="2956"/>
      <c r="U42" s="2841"/>
      <c r="V42" s="2849"/>
    </row>
    <row r="43" spans="1:23" ht="13.15" customHeight="1">
      <c r="A43" s="2853"/>
      <c r="B43" s="2853"/>
      <c r="C43" s="2853"/>
      <c r="D43" s="2853"/>
      <c r="E43" s="2853"/>
      <c r="F43" s="2853"/>
      <c r="I43" s="2836"/>
      <c r="J43" s="3645"/>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2421</v>
      </c>
      <c r="L44" s="3004" t="s">
        <v>2422</v>
      </c>
      <c r="M44" s="2967"/>
      <c r="N44" s="3004" t="s">
        <v>2423</v>
      </c>
      <c r="O44" s="2967"/>
      <c r="P44" s="3004" t="s">
        <v>2424</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0</v>
      </c>
      <c r="C2" s="1872" t="s">
        <v>1651</v>
      </c>
      <c r="D2" s="1873" t="s">
        <v>1652</v>
      </c>
      <c r="E2" s="2607">
        <f>SUM(E6:E13)</f>
        <v>0</v>
      </c>
      <c r="F2" s="2707"/>
      <c r="G2" s="1489"/>
      <c r="H2" s="1489"/>
      <c r="I2" s="1489"/>
      <c r="J2" s="1489"/>
      <c r="K2" s="1489"/>
      <c r="L2" s="1489"/>
      <c r="M2" s="1489"/>
      <c r="N2" s="1489"/>
      <c r="O2" s="1489"/>
      <c r="P2" s="1489"/>
      <c r="Q2" s="1489"/>
      <c r="R2" s="1489"/>
      <c r="S2" s="1489"/>
    </row>
    <row r="3" spans="1:22" ht="15.75">
      <c r="A3" s="1870" t="s">
        <v>686</v>
      </c>
      <c r="B3" s="2601" t="e">
        <f ca="1">ROUND(B2*10000/E2,0)</f>
        <v>#DIV/0!</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59" t="s">
        <v>1654</v>
      </c>
      <c r="C5" s="3660"/>
      <c r="D5" s="2708"/>
      <c r="E5" s="1874" t="s">
        <v>1655</v>
      </c>
      <c r="F5" s="1875" t="s">
        <v>1656</v>
      </c>
      <c r="G5" s="1489"/>
      <c r="H5" s="1489"/>
      <c r="I5" s="1489"/>
      <c r="J5" s="1489"/>
      <c r="K5" s="1489"/>
      <c r="L5" s="1489"/>
      <c r="M5" s="1489"/>
      <c r="N5" s="1489"/>
      <c r="O5" s="1489"/>
      <c r="P5" s="1489"/>
      <c r="Q5" s="1489"/>
      <c r="R5" s="1489"/>
      <c r="S5" s="1489"/>
    </row>
    <row r="6" spans="1:22">
      <c r="A6" s="2604">
        <f>'数据-取费表'!AN6</f>
        <v>0</v>
      </c>
      <c r="B6" s="2602" t="e">
        <f ca="1">IF(F6="是",'数据-取费表'!AO6,0)</f>
        <v>#REF!</v>
      </c>
      <c r="C6" s="1872" t="s">
        <v>1651</v>
      </c>
      <c r="D6" s="2709"/>
      <c r="E6" s="2606">
        <f>IF(OR(A6=0,F6="否"),0,'数据-取费表'!K6+'数据-取费表'!S6)</f>
        <v>0</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t="e">
        <f>IF(C2="——",C49,ROUND(B2*10000/D3,0))</f>
        <v>#DIV/0!</v>
      </c>
      <c r="C3" s="354" t="s">
        <v>1665</v>
      </c>
      <c r="D3" s="353">
        <f>IF(D1="",'数据-汇总表'!E3,SUMIF('数据-汇总表'!$C19:$C33,D1,'数据-汇总表'!$E19:$E33))</f>
        <v>0</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79" t="s">
        <v>1667</v>
      </c>
      <c r="D4" s="3680"/>
      <c r="E4" s="3681" t="s">
        <v>1668</v>
      </c>
      <c r="F4" s="3682"/>
      <c r="G4" s="3679" t="s">
        <v>1669</v>
      </c>
      <c r="H4" s="3680"/>
      <c r="I4" s="3679" t="s">
        <v>1670</v>
      </c>
      <c r="J4" s="3680"/>
      <c r="K4" s="1889" t="s">
        <v>1671</v>
      </c>
      <c r="L4" s="2715"/>
      <c r="M4" s="2716"/>
      <c r="N4" s="2716"/>
      <c r="O4" s="2716"/>
      <c r="P4" s="3683" t="s">
        <v>1672</v>
      </c>
      <c r="Q4" s="3684"/>
      <c r="R4" s="3689" t="s">
        <v>1668</v>
      </c>
      <c r="S4" s="3690"/>
      <c r="T4" s="3689" t="s">
        <v>1669</v>
      </c>
      <c r="U4" s="3690"/>
      <c r="V4" s="3695" t="s">
        <v>1670</v>
      </c>
      <c r="W4" s="3695"/>
      <c r="X4" s="1355"/>
      <c r="Y4" s="3689" t="s">
        <v>1672</v>
      </c>
      <c r="Z4" s="3690"/>
      <c r="AA4" s="3676" t="s">
        <v>1668</v>
      </c>
      <c r="AB4" s="3676" t="s">
        <v>1669</v>
      </c>
      <c r="AC4" s="3676" t="s">
        <v>1670</v>
      </c>
    </row>
    <row r="5" spans="1:29" ht="15">
      <c r="A5" s="358"/>
      <c r="B5" s="359"/>
      <c r="C5" s="3698" t="s">
        <v>1673</v>
      </c>
      <c r="D5" s="3699"/>
      <c r="E5" s="3705" t="s">
        <v>1674</v>
      </c>
      <c r="F5" s="3706"/>
      <c r="G5" s="3698" t="s">
        <v>1675</v>
      </c>
      <c r="H5" s="3699"/>
      <c r="I5" s="3698" t="s">
        <v>1676</v>
      </c>
      <c r="J5" s="3699"/>
      <c r="K5" s="1890"/>
      <c r="L5" s="2715"/>
      <c r="M5" s="2716"/>
      <c r="N5" s="2716"/>
      <c r="O5" s="2716"/>
      <c r="P5" s="3685"/>
      <c r="Q5" s="3686"/>
      <c r="R5" s="3691"/>
      <c r="S5" s="3692"/>
      <c r="T5" s="3691"/>
      <c r="U5" s="3692"/>
      <c r="V5" s="3695"/>
      <c r="W5" s="3695"/>
      <c r="X5" s="1355"/>
      <c r="Y5" s="3691"/>
      <c r="Z5" s="3692"/>
      <c r="AA5" s="3677"/>
      <c r="AB5" s="3677"/>
      <c r="AC5" s="3677"/>
    </row>
    <row r="6" spans="1:29" ht="15.75" thickBot="1">
      <c r="A6" s="360"/>
      <c r="B6" s="361"/>
      <c r="C6" s="3696" t="s">
        <v>1677</v>
      </c>
      <c r="D6" s="3697"/>
      <c r="E6" s="3703" t="s">
        <v>1677</v>
      </c>
      <c r="F6" s="3704"/>
      <c r="G6" s="3696" t="s">
        <v>1677</v>
      </c>
      <c r="H6" s="3697"/>
      <c r="I6" s="3696" t="s">
        <v>1677</v>
      </c>
      <c r="J6" s="3697"/>
      <c r="K6" s="1890" t="s">
        <v>1678</v>
      </c>
      <c r="L6" s="2715"/>
      <c r="M6" s="2716"/>
      <c r="N6" s="2716"/>
      <c r="O6" s="2716"/>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45604</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0" t="s">
        <v>1680</v>
      </c>
      <c r="Q7" s="3702"/>
      <c r="R7" s="701" t="s">
        <v>20</v>
      </c>
      <c r="S7" s="702">
        <f t="shared" ref="S7:S15" si="0">F7</f>
        <v>0</v>
      </c>
      <c r="T7" s="701" t="s">
        <v>20</v>
      </c>
      <c r="U7" s="702">
        <f t="shared" ref="U7:U15" si="1">H7</f>
        <v>0</v>
      </c>
      <c r="V7" s="701" t="s">
        <v>20</v>
      </c>
      <c r="W7" s="702">
        <f t="shared" ref="W7:W15"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0" t="s">
        <v>1683</v>
      </c>
      <c r="Q8" s="3701"/>
      <c r="R8" s="701" t="s">
        <v>20</v>
      </c>
      <c r="S8" s="702">
        <f t="shared" si="0"/>
        <v>100</v>
      </c>
      <c r="T8" s="701" t="s">
        <v>20</v>
      </c>
      <c r="U8" s="702">
        <f t="shared" si="1"/>
        <v>100</v>
      </c>
      <c r="V8" s="701" t="s">
        <v>20</v>
      </c>
      <c r="W8" s="702">
        <f t="shared" si="2"/>
        <v>100</v>
      </c>
      <c r="X8" s="703"/>
      <c r="Y8" s="3700" t="s">
        <v>1683</v>
      </c>
      <c r="Z8" s="3701"/>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5"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5"/>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5"/>
      <c r="Q11" s="1343" t="str">
        <f t="shared" si="6"/>
        <v>容积率</v>
      </c>
      <c r="R11" s="701" t="s">
        <v>18</v>
      </c>
      <c r="S11" s="702" t="e">
        <f t="shared" si="0"/>
        <v>#N/A</v>
      </c>
      <c r="T11" s="701" t="s">
        <v>18</v>
      </c>
      <c r="U11" s="702" t="e">
        <f t="shared" si="1"/>
        <v>#N/A</v>
      </c>
      <c r="V11" s="701" t="s">
        <v>18</v>
      </c>
      <c r="W11" s="702" t="e">
        <f t="shared" si="2"/>
        <v>#N/A</v>
      </c>
      <c r="X11" s="703"/>
      <c r="Y11" s="353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5"/>
      <c r="Q12" s="1343">
        <f t="shared" si="6"/>
        <v>111</v>
      </c>
      <c r="R12" s="701" t="s">
        <v>18</v>
      </c>
      <c r="S12" s="702">
        <f t="shared" si="0"/>
        <v>100</v>
      </c>
      <c r="T12" s="701" t="s">
        <v>18</v>
      </c>
      <c r="U12" s="702">
        <f t="shared" si="1"/>
        <v>100</v>
      </c>
      <c r="V12" s="701" t="s">
        <v>18</v>
      </c>
      <c r="W12" s="702">
        <f t="shared" si="2"/>
        <v>100</v>
      </c>
      <c r="X12" s="703"/>
      <c r="Y12" s="35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5"/>
      <c r="Q13" s="1343">
        <f t="shared" si="6"/>
        <v>111</v>
      </c>
      <c r="R13" s="701" t="s">
        <v>18</v>
      </c>
      <c r="S13" s="702">
        <f t="shared" si="0"/>
        <v>100</v>
      </c>
      <c r="T13" s="701" t="s">
        <v>18</v>
      </c>
      <c r="U13" s="702">
        <f t="shared" si="1"/>
        <v>100</v>
      </c>
      <c r="V13" s="701" t="s">
        <v>18</v>
      </c>
      <c r="W13" s="702">
        <f t="shared" si="2"/>
        <v>100</v>
      </c>
      <c r="X13" s="703"/>
      <c r="Y13" s="353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5"/>
      <c r="Q14" s="1343">
        <f t="shared" si="6"/>
        <v>111</v>
      </c>
      <c r="R14" s="701" t="s">
        <v>18</v>
      </c>
      <c r="S14" s="702">
        <f t="shared" si="0"/>
        <v>100</v>
      </c>
      <c r="T14" s="701" t="s">
        <v>18</v>
      </c>
      <c r="U14" s="702">
        <f t="shared" si="1"/>
        <v>100</v>
      </c>
      <c r="V14" s="701" t="s">
        <v>18</v>
      </c>
      <c r="W14" s="702">
        <f t="shared" si="2"/>
        <v>100</v>
      </c>
      <c r="X14" s="703"/>
      <c r="Y14" s="353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3" t="s">
        <v>1691</v>
      </c>
      <c r="Q15" s="1352" t="str">
        <f t="shared" si="6"/>
        <v>居住社区成熟度</v>
      </c>
      <c r="R15" s="705" t="s">
        <v>18</v>
      </c>
      <c r="S15" s="706">
        <f t="shared" si="0"/>
        <v>100</v>
      </c>
      <c r="T15" s="705" t="s">
        <v>18</v>
      </c>
      <c r="U15" s="706">
        <f t="shared" si="1"/>
        <v>100</v>
      </c>
      <c r="V15" s="705" t="s">
        <v>18</v>
      </c>
      <c r="W15" s="706">
        <f t="shared" si="2"/>
        <v>100</v>
      </c>
      <c r="X15" s="1355"/>
      <c r="Y15" s="366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4"/>
      <c r="Q16" s="1352"/>
      <c r="R16" s="705"/>
      <c r="S16" s="706"/>
      <c r="T16" s="705"/>
      <c r="U16" s="706"/>
      <c r="V16" s="705"/>
      <c r="W16" s="706"/>
      <c r="X16" s="1355"/>
      <c r="Y16" s="3667"/>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4"/>
      <c r="Q17" s="1352" t="str">
        <f>B17</f>
        <v>交通便捷度</v>
      </c>
      <c r="R17" s="705" t="s">
        <v>18</v>
      </c>
      <c r="S17" s="706">
        <f>F17</f>
        <v>100</v>
      </c>
      <c r="T17" s="705" t="s">
        <v>18</v>
      </c>
      <c r="U17" s="706">
        <f>H17</f>
        <v>100</v>
      </c>
      <c r="V17" s="705" t="s">
        <v>18</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4"/>
      <c r="Q18" s="1352"/>
      <c r="R18" s="705"/>
      <c r="S18" s="706"/>
      <c r="T18" s="705"/>
      <c r="U18" s="706"/>
      <c r="V18" s="705"/>
      <c r="W18" s="706"/>
      <c r="X18" s="1355"/>
      <c r="Y18" s="3667"/>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4"/>
      <c r="Q19" s="1352" t="str">
        <f>B19</f>
        <v>公共配套设施</v>
      </c>
      <c r="R19" s="705" t="s">
        <v>18</v>
      </c>
      <c r="S19" s="706">
        <f>F19</f>
        <v>100</v>
      </c>
      <c r="T19" s="705" t="s">
        <v>18</v>
      </c>
      <c r="U19" s="706">
        <f>H19</f>
        <v>100</v>
      </c>
      <c r="V19" s="705" t="s">
        <v>18</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4"/>
      <c r="Q20" s="1352"/>
      <c r="R20" s="705"/>
      <c r="S20" s="706"/>
      <c r="T20" s="705"/>
      <c r="U20" s="706"/>
      <c r="V20" s="705"/>
      <c r="W20" s="706"/>
      <c r="X20" s="1355"/>
      <c r="Y20" s="3667"/>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4"/>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4"/>
      <c r="Q22" s="1352"/>
      <c r="R22" s="705"/>
      <c r="S22" s="706"/>
      <c r="T22" s="705"/>
      <c r="U22" s="706"/>
      <c r="V22" s="705"/>
      <c r="W22" s="706"/>
      <c r="X22" s="1355"/>
      <c r="Y22" s="3667"/>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4"/>
      <c r="Q23" s="1352" t="str">
        <f>B23</f>
        <v>自然及人文环境</v>
      </c>
      <c r="R23" s="705" t="s">
        <v>18</v>
      </c>
      <c r="S23" s="706">
        <f>F23</f>
        <v>100</v>
      </c>
      <c r="T23" s="705" t="s">
        <v>18</v>
      </c>
      <c r="U23" s="706">
        <f>H23</f>
        <v>100</v>
      </c>
      <c r="V23" s="705" t="s">
        <v>18</v>
      </c>
      <c r="W23" s="706">
        <f>J23</f>
        <v>100</v>
      </c>
      <c r="X23" s="1355"/>
      <c r="Y23" s="366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4"/>
      <c r="Q24" s="1352"/>
      <c r="R24" s="705"/>
      <c r="S24" s="706"/>
      <c r="T24" s="705"/>
      <c r="U24" s="706"/>
      <c r="V24" s="705"/>
      <c r="W24" s="706"/>
      <c r="X24" s="1355"/>
      <c r="Y24" s="3667"/>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7"/>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4"/>
      <c r="Q26" s="1352" t="str">
        <f t="shared" si="11"/>
        <v>朝向</v>
      </c>
      <c r="R26" s="705" t="s">
        <v>18</v>
      </c>
      <c r="S26" s="706">
        <f t="shared" si="12"/>
        <v>100</v>
      </c>
      <c r="T26" s="705" t="s">
        <v>18</v>
      </c>
      <c r="U26" s="706">
        <f t="shared" si="13"/>
        <v>100</v>
      </c>
      <c r="V26" s="705" t="s">
        <v>18</v>
      </c>
      <c r="W26" s="706">
        <f t="shared" si="14"/>
        <v>100</v>
      </c>
      <c r="X26" s="1355"/>
      <c r="Y26" s="366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4"/>
      <c r="Q27" s="1343">
        <f t="shared" si="11"/>
        <v>111</v>
      </c>
      <c r="R27" s="701" t="s">
        <v>18</v>
      </c>
      <c r="S27" s="702">
        <f t="shared" si="12"/>
        <v>100</v>
      </c>
      <c r="T27" s="701" t="s">
        <v>18</v>
      </c>
      <c r="U27" s="702">
        <f t="shared" si="13"/>
        <v>100</v>
      </c>
      <c r="V27" s="701" t="s">
        <v>18</v>
      </c>
      <c r="W27" s="702">
        <f t="shared" si="14"/>
        <v>100</v>
      </c>
      <c r="X27" s="703"/>
      <c r="Y27" s="366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4"/>
      <c r="Q28" s="1352">
        <f t="shared" si="11"/>
        <v>111</v>
      </c>
      <c r="R28" s="705" t="s">
        <v>18</v>
      </c>
      <c r="S28" s="706">
        <f t="shared" si="12"/>
        <v>100</v>
      </c>
      <c r="T28" s="705" t="s">
        <v>18</v>
      </c>
      <c r="U28" s="706">
        <f t="shared" si="13"/>
        <v>100</v>
      </c>
      <c r="V28" s="705" t="s">
        <v>18</v>
      </c>
      <c r="W28" s="706">
        <f t="shared" si="14"/>
        <v>100</v>
      </c>
      <c r="X28" s="1355"/>
      <c r="Y28" s="366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4"/>
      <c r="Q29" s="1352">
        <f t="shared" si="11"/>
        <v>111</v>
      </c>
      <c r="R29" s="705" t="s">
        <v>18</v>
      </c>
      <c r="S29" s="706">
        <f t="shared" si="12"/>
        <v>100</v>
      </c>
      <c r="T29" s="705" t="s">
        <v>18</v>
      </c>
      <c r="U29" s="706">
        <f t="shared" si="13"/>
        <v>100</v>
      </c>
      <c r="V29" s="705" t="s">
        <v>18</v>
      </c>
      <c r="W29" s="706">
        <f t="shared" si="14"/>
        <v>100</v>
      </c>
      <c r="X29" s="1355"/>
      <c r="Y29" s="366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4"/>
      <c r="Q30" s="1352">
        <f t="shared" si="11"/>
        <v>111</v>
      </c>
      <c r="R30" s="705" t="s">
        <v>18</v>
      </c>
      <c r="S30" s="706">
        <f t="shared" si="12"/>
        <v>100</v>
      </c>
      <c r="T30" s="705" t="s">
        <v>18</v>
      </c>
      <c r="U30" s="706">
        <f t="shared" si="13"/>
        <v>100</v>
      </c>
      <c r="V30" s="705" t="s">
        <v>18</v>
      </c>
      <c r="W30" s="706">
        <f t="shared" si="14"/>
        <v>100</v>
      </c>
      <c r="X30" s="1355"/>
      <c r="Y30" s="366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4"/>
      <c r="Q31" s="1352">
        <f t="shared" si="11"/>
        <v>111</v>
      </c>
      <c r="R31" s="705" t="s">
        <v>18</v>
      </c>
      <c r="S31" s="706">
        <f t="shared" si="12"/>
        <v>100</v>
      </c>
      <c r="T31" s="705" t="s">
        <v>18</v>
      </c>
      <c r="U31" s="706">
        <f t="shared" si="13"/>
        <v>100</v>
      </c>
      <c r="V31" s="705" t="s">
        <v>18</v>
      </c>
      <c r="W31" s="706">
        <f t="shared" si="14"/>
        <v>100</v>
      </c>
      <c r="X31" s="1355"/>
      <c r="Y31" s="3667"/>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68" t="s">
        <v>1696</v>
      </c>
      <c r="Q32" s="1352" t="str">
        <f t="shared" si="11"/>
        <v>建筑类型</v>
      </c>
      <c r="R32" s="705" t="s">
        <v>18</v>
      </c>
      <c r="S32" s="706">
        <f t="shared" si="12"/>
        <v>100</v>
      </c>
      <c r="T32" s="705" t="s">
        <v>18</v>
      </c>
      <c r="U32" s="706">
        <f t="shared" si="13"/>
        <v>100</v>
      </c>
      <c r="V32" s="705" t="s">
        <v>18</v>
      </c>
      <c r="W32" s="706">
        <f t="shared" si="14"/>
        <v>100</v>
      </c>
      <c r="X32" s="1355"/>
      <c r="Y32" s="367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69"/>
      <c r="Q33" s="707" t="str">
        <f t="shared" si="11"/>
        <v>项目建筑规模</v>
      </c>
      <c r="R33" s="708" t="s">
        <v>18</v>
      </c>
      <c r="S33" s="709" t="e">
        <f t="shared" si="12"/>
        <v>#N/A</v>
      </c>
      <c r="T33" s="708" t="s">
        <v>18</v>
      </c>
      <c r="U33" s="709" t="e">
        <f t="shared" si="13"/>
        <v>#N/A</v>
      </c>
      <c r="V33" s="708" t="s">
        <v>18</v>
      </c>
      <c r="W33" s="709" t="e">
        <f t="shared" si="14"/>
        <v>#N/A</v>
      </c>
      <c r="X33" s="710"/>
      <c r="Y33" s="367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69"/>
      <c r="Q34" s="1352" t="str">
        <f t="shared" si="11"/>
        <v>建筑结构</v>
      </c>
      <c r="R34" s="705" t="s">
        <v>18</v>
      </c>
      <c r="S34" s="706">
        <f t="shared" si="12"/>
        <v>100</v>
      </c>
      <c r="T34" s="705" t="s">
        <v>18</v>
      </c>
      <c r="U34" s="706">
        <f t="shared" si="13"/>
        <v>100</v>
      </c>
      <c r="V34" s="705" t="s">
        <v>18</v>
      </c>
      <c r="W34" s="706">
        <f t="shared" si="14"/>
        <v>100</v>
      </c>
      <c r="X34" s="1355"/>
      <c r="Y34" s="367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69"/>
      <c r="Q35" s="1352" t="str">
        <f t="shared" si="11"/>
        <v>建筑品质</v>
      </c>
      <c r="R35" s="705" t="s">
        <v>18</v>
      </c>
      <c r="S35" s="706">
        <f t="shared" si="12"/>
        <v>100</v>
      </c>
      <c r="T35" s="705" t="s">
        <v>18</v>
      </c>
      <c r="U35" s="706">
        <f t="shared" si="13"/>
        <v>100</v>
      </c>
      <c r="V35" s="705" t="s">
        <v>18</v>
      </c>
      <c r="W35" s="706">
        <f t="shared" si="14"/>
        <v>100</v>
      </c>
      <c r="X35" s="1355"/>
      <c r="Y35" s="367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69"/>
      <c r="Q36" s="1352" t="str">
        <f t="shared" si="11"/>
        <v>公共部分装修</v>
      </c>
      <c r="R36" s="705" t="s">
        <v>18</v>
      </c>
      <c r="S36" s="706">
        <f t="shared" si="12"/>
        <v>100</v>
      </c>
      <c r="T36" s="705" t="s">
        <v>18</v>
      </c>
      <c r="U36" s="706">
        <f t="shared" si="13"/>
        <v>100</v>
      </c>
      <c r="V36" s="705" t="s">
        <v>18</v>
      </c>
      <c r="W36" s="706">
        <f t="shared" si="14"/>
        <v>100</v>
      </c>
      <c r="X36" s="1355"/>
      <c r="Y36" s="367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69"/>
      <c r="Q37" s="1343" t="str">
        <f t="shared" si="11"/>
        <v>成新度</v>
      </c>
      <c r="R37" s="701" t="s">
        <v>18</v>
      </c>
      <c r="S37" s="702" t="e">
        <f t="shared" si="12"/>
        <v>#N/A</v>
      </c>
      <c r="T37" s="701" t="s">
        <v>18</v>
      </c>
      <c r="U37" s="702" t="e">
        <f t="shared" si="13"/>
        <v>#N/A</v>
      </c>
      <c r="V37" s="701" t="s">
        <v>18</v>
      </c>
      <c r="W37" s="702" t="e">
        <f t="shared" si="14"/>
        <v>#N/A</v>
      </c>
      <c r="X37" s="703"/>
      <c r="Y37" s="367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69" t="s">
        <v>1696</v>
      </c>
      <c r="Q38" s="1352" t="str">
        <f t="shared" si="11"/>
        <v>物业管理</v>
      </c>
      <c r="R38" s="705" t="s">
        <v>18</v>
      </c>
      <c r="S38" s="706">
        <f t="shared" si="12"/>
        <v>100</v>
      </c>
      <c r="T38" s="705" t="s">
        <v>18</v>
      </c>
      <c r="U38" s="706">
        <f t="shared" si="13"/>
        <v>100</v>
      </c>
      <c r="V38" s="705" t="s">
        <v>18</v>
      </c>
      <c r="W38" s="706">
        <f t="shared" si="14"/>
        <v>100</v>
      </c>
      <c r="X38" s="1355"/>
      <c r="Y38" s="367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69"/>
      <c r="Q39" s="1352" t="str">
        <f t="shared" si="11"/>
        <v>市政基础设施</v>
      </c>
      <c r="R39" s="705" t="s">
        <v>18</v>
      </c>
      <c r="S39" s="706">
        <f t="shared" si="12"/>
        <v>100</v>
      </c>
      <c r="T39" s="705" t="s">
        <v>18</v>
      </c>
      <c r="U39" s="706">
        <f t="shared" si="13"/>
        <v>100</v>
      </c>
      <c r="V39" s="705" t="s">
        <v>18</v>
      </c>
      <c r="W39" s="706">
        <f t="shared" si="14"/>
        <v>100</v>
      </c>
      <c r="X39" s="1355"/>
      <c r="Y39" s="367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69"/>
      <c r="Q40" s="1352" t="str">
        <f t="shared" si="11"/>
        <v>房型</v>
      </c>
      <c r="R40" s="705" t="s">
        <v>18</v>
      </c>
      <c r="S40" s="706">
        <f t="shared" si="12"/>
        <v>100</v>
      </c>
      <c r="T40" s="705" t="s">
        <v>18</v>
      </c>
      <c r="U40" s="706">
        <f t="shared" si="13"/>
        <v>100</v>
      </c>
      <c r="V40" s="705" t="s">
        <v>18</v>
      </c>
      <c r="W40" s="706">
        <f t="shared" si="14"/>
        <v>100</v>
      </c>
      <c r="X40" s="1355"/>
      <c r="Y40" s="367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69"/>
      <c r="Q41" s="707" t="str">
        <f t="shared" si="11"/>
        <v>单套/主力户型建筑面积</v>
      </c>
      <c r="R41" s="708" t="s">
        <v>18</v>
      </c>
      <c r="S41" s="709">
        <f t="shared" si="12"/>
        <v>100</v>
      </c>
      <c r="T41" s="708" t="s">
        <v>18</v>
      </c>
      <c r="U41" s="709">
        <f t="shared" si="13"/>
        <v>100</v>
      </c>
      <c r="V41" s="708" t="s">
        <v>18</v>
      </c>
      <c r="W41" s="709">
        <f t="shared" si="14"/>
        <v>100</v>
      </c>
      <c r="X41" s="710"/>
      <c r="Y41" s="367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69"/>
      <c r="Q42" s="1352" t="str">
        <f t="shared" si="11"/>
        <v>内部装修</v>
      </c>
      <c r="R42" s="705" t="s">
        <v>18</v>
      </c>
      <c r="S42" s="706">
        <f t="shared" si="12"/>
        <v>100</v>
      </c>
      <c r="T42" s="705" t="s">
        <v>18</v>
      </c>
      <c r="U42" s="706">
        <f t="shared" si="13"/>
        <v>100</v>
      </c>
      <c r="V42" s="705" t="s">
        <v>18</v>
      </c>
      <c r="W42" s="706">
        <f t="shared" si="14"/>
        <v>100</v>
      </c>
      <c r="X42" s="1355"/>
      <c r="Y42" s="367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69"/>
      <c r="Q43" s="1352" t="str">
        <f t="shared" si="11"/>
        <v>内部装修维护情况</v>
      </c>
      <c r="R43" s="705" t="s">
        <v>18</v>
      </c>
      <c r="S43" s="706">
        <f t="shared" si="12"/>
        <v>100</v>
      </c>
      <c r="T43" s="705" t="s">
        <v>18</v>
      </c>
      <c r="U43" s="706">
        <f t="shared" si="13"/>
        <v>100</v>
      </c>
      <c r="V43" s="705" t="s">
        <v>18</v>
      </c>
      <c r="W43" s="706">
        <f t="shared" si="14"/>
        <v>100</v>
      </c>
      <c r="X43" s="1355"/>
      <c r="Y43" s="367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69"/>
      <c r="Q44" s="1343">
        <f t="shared" si="11"/>
        <v>111</v>
      </c>
      <c r="R44" s="701" t="s">
        <v>18</v>
      </c>
      <c r="S44" s="702">
        <f t="shared" si="12"/>
        <v>100</v>
      </c>
      <c r="T44" s="701" t="s">
        <v>18</v>
      </c>
      <c r="U44" s="702">
        <f t="shared" si="13"/>
        <v>100</v>
      </c>
      <c r="V44" s="701" t="s">
        <v>18</v>
      </c>
      <c r="W44" s="702">
        <f t="shared" si="14"/>
        <v>100</v>
      </c>
      <c r="X44" s="703"/>
      <c r="Y44" s="367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69"/>
      <c r="Q45" s="1352">
        <f t="shared" si="11"/>
        <v>111</v>
      </c>
      <c r="R45" s="705" t="s">
        <v>18</v>
      </c>
      <c r="S45" s="706">
        <f t="shared" si="12"/>
        <v>100</v>
      </c>
      <c r="T45" s="705" t="s">
        <v>18</v>
      </c>
      <c r="U45" s="706">
        <f t="shared" si="13"/>
        <v>100</v>
      </c>
      <c r="V45" s="705" t="s">
        <v>18</v>
      </c>
      <c r="W45" s="706">
        <f t="shared" si="14"/>
        <v>100</v>
      </c>
      <c r="X45" s="1355"/>
      <c r="Y45" s="367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0"/>
      <c r="Q46" s="1352">
        <f t="shared" si="11"/>
        <v>111</v>
      </c>
      <c r="R46" s="705" t="s">
        <v>17</v>
      </c>
      <c r="S46" s="706">
        <f t="shared" si="12"/>
        <v>100</v>
      </c>
      <c r="T46" s="705" t="s">
        <v>17</v>
      </c>
      <c r="U46" s="706">
        <f t="shared" si="13"/>
        <v>100</v>
      </c>
      <c r="V46" s="705" t="s">
        <v>17</v>
      </c>
      <c r="W46" s="706">
        <f t="shared" si="14"/>
        <v>100</v>
      </c>
      <c r="X46" s="1355"/>
      <c r="Y46" s="3672"/>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64" t="str">
        <f>A47</f>
        <v>成交单价（元/平方米）</v>
      </c>
      <c r="Q47" s="3664"/>
      <c r="R47" s="3665">
        <f>E47</f>
        <v>0</v>
      </c>
      <c r="S47" s="3665"/>
      <c r="T47" s="3665">
        <f>G47</f>
        <v>0</v>
      </c>
      <c r="U47" s="3665"/>
      <c r="V47" s="3665">
        <f>I47</f>
        <v>0</v>
      </c>
      <c r="W47" s="3665"/>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64" t="str">
        <f>A48</f>
        <v>比较价值（元/平方米）</v>
      </c>
      <c r="Q48" s="3664"/>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1" t="str">
        <f>A49</f>
        <v>估价对象XX用房的比较价值（楼面单价，元/平方米）</v>
      </c>
      <c r="Q49" s="3662"/>
      <c r="R49" s="3663" t="e">
        <f>IF(F1="售价",ROUND(IF(D48="简单平均",AVERAGE(R48:V48),R48*F48+T48*H48+V48*J48),0),ROUND(IF(D48="简单平均",AVERAGE(R48:V48),R48*F48+T48*H48+V48*J48),1))</f>
        <v>#DIV/0!</v>
      </c>
      <c r="S49" s="3663"/>
      <c r="T49" s="3663"/>
      <c r="U49" s="3663"/>
      <c r="V49" s="3663"/>
      <c r="W49" s="366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2024-11</v>
      </c>
      <c r="D58" s="1185">
        <f>EDATE(C58,-1)</f>
        <v>45566</v>
      </c>
      <c r="E58" s="1185">
        <f>EDATE(D58,-1)</f>
        <v>45536</v>
      </c>
      <c r="F58" s="1185">
        <f t="shared" ref="F58:O58" si="19">EDATE(E58,-1)</f>
        <v>45505</v>
      </c>
      <c r="G58" s="1185">
        <f t="shared" si="19"/>
        <v>45474</v>
      </c>
      <c r="H58" s="1185">
        <f t="shared" si="19"/>
        <v>45444</v>
      </c>
      <c r="I58" s="1185">
        <f t="shared" si="19"/>
        <v>45413</v>
      </c>
      <c r="J58" s="1185">
        <f t="shared" si="19"/>
        <v>45383</v>
      </c>
      <c r="K58" s="1185">
        <f t="shared" si="19"/>
        <v>45352</v>
      </c>
      <c r="L58" s="1185">
        <f t="shared" si="19"/>
        <v>45323</v>
      </c>
      <c r="M58" s="1185">
        <f t="shared" si="19"/>
        <v>45292</v>
      </c>
      <c r="N58" s="1185">
        <f t="shared" si="19"/>
        <v>45261</v>
      </c>
      <c r="O58" s="1185">
        <f t="shared" si="19"/>
        <v>45231</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t="e">
        <f>IF(C2="——",C49,ROUND(B2*10000/D3,0))</f>
        <v>#DIV/0!</v>
      </c>
      <c r="C3" s="354" t="s">
        <v>1768</v>
      </c>
      <c r="D3" s="353">
        <f>IF(D1="",'数据-汇总表'!E3,SUMIF('数据-汇总表'!$C19:$C33,D1,'数据-汇总表'!$E19:$E33))</f>
        <v>0</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95" t="s">
        <v>1772</v>
      </c>
      <c r="AC4" s="3676" t="s">
        <v>1773</v>
      </c>
    </row>
    <row r="5" spans="1:29"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95"/>
      <c r="AC5" s="3677"/>
    </row>
    <row r="6" spans="1:29" ht="15.75" thickBot="1">
      <c r="A6" s="360"/>
      <c r="B6" s="361"/>
      <c r="C6" s="3696" t="s">
        <v>1677</v>
      </c>
      <c r="D6" s="3697"/>
      <c r="E6" s="3703" t="s">
        <v>1677</v>
      </c>
      <c r="F6" s="3704"/>
      <c r="G6" s="3696" t="s">
        <v>1677</v>
      </c>
      <c r="H6" s="3697"/>
      <c r="I6" s="3696" t="s">
        <v>1677</v>
      </c>
      <c r="J6" s="3697"/>
      <c r="K6" s="559" t="s">
        <v>1678</v>
      </c>
      <c r="L6" s="2715"/>
      <c r="M6" s="2716"/>
      <c r="N6" s="2716"/>
      <c r="O6" s="2716"/>
      <c r="P6" s="3687"/>
      <c r="Q6" s="3688"/>
      <c r="R6" s="3691"/>
      <c r="S6" s="3692"/>
      <c r="T6" s="3693"/>
      <c r="U6" s="3694"/>
      <c r="V6" s="3695"/>
      <c r="W6" s="3695"/>
      <c r="X6" s="1355"/>
      <c r="Y6" s="3693"/>
      <c r="Z6" s="3694"/>
      <c r="AA6" s="3678"/>
      <c r="AB6" s="3695"/>
      <c r="AC6" s="3678"/>
    </row>
    <row r="7" spans="1:29" s="108" customFormat="1" ht="15.75" thickBot="1">
      <c r="A7" s="362" t="s">
        <v>1679</v>
      </c>
      <c r="B7" s="363"/>
      <c r="C7" s="364">
        <f>'数据-取费表'!B2</f>
        <v>45604</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0" t="s">
        <v>1683</v>
      </c>
      <c r="Q8" s="3701"/>
      <c r="R8" s="701" t="s">
        <v>14</v>
      </c>
      <c r="S8" s="702">
        <f t="shared" si="0"/>
        <v>100</v>
      </c>
      <c r="T8" s="701" t="s">
        <v>14</v>
      </c>
      <c r="U8" s="702">
        <f t="shared" si="1"/>
        <v>100</v>
      </c>
      <c r="V8" s="701" t="s">
        <v>14</v>
      </c>
      <c r="W8" s="702">
        <f t="shared" si="2"/>
        <v>100</v>
      </c>
      <c r="X8" s="703"/>
      <c r="Y8" s="3700" t="s">
        <v>1683</v>
      </c>
      <c r="Z8" s="3701"/>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5"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5"/>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5"/>
      <c r="Q11" s="1343" t="str">
        <f t="shared" si="6"/>
        <v>容积率</v>
      </c>
      <c r="R11" s="701" t="s">
        <v>14</v>
      </c>
      <c r="S11" s="702" t="e">
        <f t="shared" si="0"/>
        <v>#N/A</v>
      </c>
      <c r="T11" s="701" t="s">
        <v>14</v>
      </c>
      <c r="U11" s="702" t="e">
        <f t="shared" si="1"/>
        <v>#N/A</v>
      </c>
      <c r="V11" s="701" t="s">
        <v>14</v>
      </c>
      <c r="W11" s="702" t="e">
        <f t="shared" si="2"/>
        <v>#N/A</v>
      </c>
      <c r="X11" s="703"/>
      <c r="Y11" s="353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5"/>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5"/>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5"/>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3" t="s">
        <v>1691</v>
      </c>
      <c r="Q15" s="1352" t="str">
        <f t="shared" si="6"/>
        <v>商业繁华度</v>
      </c>
      <c r="R15" s="705" t="s">
        <v>14</v>
      </c>
      <c r="S15" s="706">
        <f t="shared" si="0"/>
        <v>100</v>
      </c>
      <c r="T15" s="705" t="s">
        <v>14</v>
      </c>
      <c r="U15" s="706">
        <f t="shared" si="1"/>
        <v>100</v>
      </c>
      <c r="V15" s="705" t="s">
        <v>14</v>
      </c>
      <c r="W15" s="706">
        <f t="shared" si="2"/>
        <v>100</v>
      </c>
      <c r="X15" s="1355"/>
      <c r="Y15" s="3666"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4"/>
      <c r="Q16" s="1352"/>
      <c r="R16" s="705"/>
      <c r="S16" s="706"/>
      <c r="T16" s="705"/>
      <c r="U16" s="706"/>
      <c r="V16" s="705"/>
      <c r="W16" s="706"/>
      <c r="X16" s="1355"/>
      <c r="Y16" s="3667"/>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4"/>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4"/>
      <c r="Q18" s="1352"/>
      <c r="R18" s="705"/>
      <c r="S18" s="706"/>
      <c r="T18" s="705"/>
      <c r="U18" s="706"/>
      <c r="V18" s="705"/>
      <c r="W18" s="706"/>
      <c r="X18" s="1355"/>
      <c r="Y18" s="3667"/>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4"/>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4"/>
      <c r="Q20" s="1352"/>
      <c r="R20" s="705"/>
      <c r="S20" s="706"/>
      <c r="T20" s="705"/>
      <c r="U20" s="706"/>
      <c r="V20" s="705"/>
      <c r="W20" s="706"/>
      <c r="X20" s="1355"/>
      <c r="Y20" s="3667"/>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4"/>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4"/>
      <c r="Q22" s="1352"/>
      <c r="R22" s="705"/>
      <c r="S22" s="706"/>
      <c r="T22" s="705"/>
      <c r="U22" s="706"/>
      <c r="V22" s="705"/>
      <c r="W22" s="706"/>
      <c r="X22" s="1355"/>
      <c r="Y22" s="3667"/>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4"/>
      <c r="Q23" s="1352" t="str">
        <f>B23</f>
        <v>自然及人文环境</v>
      </c>
      <c r="R23" s="705" t="s">
        <v>14</v>
      </c>
      <c r="S23" s="706">
        <f>F23</f>
        <v>100</v>
      </c>
      <c r="T23" s="705" t="s">
        <v>14</v>
      </c>
      <c r="U23" s="706">
        <f>H23</f>
        <v>100</v>
      </c>
      <c r="V23" s="705" t="s">
        <v>14</v>
      </c>
      <c r="W23" s="706">
        <f>J23</f>
        <v>100</v>
      </c>
      <c r="X23" s="1355"/>
      <c r="Y23" s="366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4"/>
      <c r="Q24" s="1352"/>
      <c r="R24" s="705"/>
      <c r="S24" s="706"/>
      <c r="T24" s="705"/>
      <c r="U24" s="706"/>
      <c r="V24" s="705"/>
      <c r="W24" s="706"/>
      <c r="X24" s="1355"/>
      <c r="Y24" s="3667"/>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4"/>
      <c r="Q25" s="1352" t="str">
        <f t="shared" ref="Q25:Q46" si="11">B25</f>
        <v>临街状况</v>
      </c>
      <c r="R25" s="705" t="s">
        <v>14</v>
      </c>
      <c r="S25" s="706">
        <f>F25</f>
        <v>100</v>
      </c>
      <c r="T25" s="705" t="s">
        <v>14</v>
      </c>
      <c r="U25" s="706">
        <f>H25</f>
        <v>100</v>
      </c>
      <c r="V25" s="705" t="s">
        <v>14</v>
      </c>
      <c r="W25" s="706">
        <f>J25</f>
        <v>100</v>
      </c>
      <c r="X25" s="1355"/>
      <c r="Y25" s="3667"/>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4"/>
      <c r="Q26" s="1352" t="str">
        <f t="shared" si="11"/>
        <v>平面位置/可视性</v>
      </c>
      <c r="R26" s="705" t="s">
        <v>14</v>
      </c>
      <c r="S26" s="706">
        <f>F26</f>
        <v>100</v>
      </c>
      <c r="T26" s="705" t="s">
        <v>14</v>
      </c>
      <c r="U26" s="706">
        <f>H26</f>
        <v>100</v>
      </c>
      <c r="V26" s="705" t="s">
        <v>14</v>
      </c>
      <c r="W26" s="706">
        <f>J26</f>
        <v>100</v>
      </c>
      <c r="X26" s="1355"/>
      <c r="Y26" s="3667"/>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4"/>
      <c r="Q27" s="1343" t="str">
        <f t="shared" si="11"/>
        <v>人流量</v>
      </c>
      <c r="R27" s="701" t="s">
        <v>14</v>
      </c>
      <c r="S27" s="702">
        <f>F27</f>
        <v>100</v>
      </c>
      <c r="T27" s="701" t="s">
        <v>14</v>
      </c>
      <c r="U27" s="702">
        <f>H27</f>
        <v>100</v>
      </c>
      <c r="V27" s="701" t="s">
        <v>14</v>
      </c>
      <c r="W27" s="702">
        <f>J27</f>
        <v>100</v>
      </c>
      <c r="X27" s="703"/>
      <c r="Y27" s="3667"/>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4"/>
      <c r="Q29" s="1352">
        <f t="shared" si="11"/>
        <v>111</v>
      </c>
      <c r="R29" s="705" t="s">
        <v>14</v>
      </c>
      <c r="S29" s="706">
        <f t="shared" si="12"/>
        <v>100</v>
      </c>
      <c r="T29" s="705" t="s">
        <v>14</v>
      </c>
      <c r="U29" s="706">
        <f t="shared" si="13"/>
        <v>100</v>
      </c>
      <c r="V29" s="705" t="s">
        <v>14</v>
      </c>
      <c r="W29" s="706">
        <f t="shared" si="14"/>
        <v>100</v>
      </c>
      <c r="X29" s="1355"/>
      <c r="Y29" s="366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4"/>
      <c r="Q30" s="1352">
        <f t="shared" si="11"/>
        <v>111</v>
      </c>
      <c r="R30" s="705" t="s">
        <v>14</v>
      </c>
      <c r="S30" s="706">
        <f t="shared" si="12"/>
        <v>100</v>
      </c>
      <c r="T30" s="705" t="s">
        <v>14</v>
      </c>
      <c r="U30" s="706">
        <f t="shared" si="13"/>
        <v>100</v>
      </c>
      <c r="V30" s="705" t="s">
        <v>14</v>
      </c>
      <c r="W30" s="706">
        <f t="shared" si="14"/>
        <v>100</v>
      </c>
      <c r="X30" s="1355"/>
      <c r="Y30" s="366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4"/>
      <c r="Q31" s="1352">
        <f t="shared" si="11"/>
        <v>111</v>
      </c>
      <c r="R31" s="705" t="s">
        <v>14</v>
      </c>
      <c r="S31" s="706">
        <f t="shared" si="12"/>
        <v>100</v>
      </c>
      <c r="T31" s="705" t="s">
        <v>14</v>
      </c>
      <c r="U31" s="706">
        <f t="shared" si="13"/>
        <v>100</v>
      </c>
      <c r="V31" s="705" t="s">
        <v>14</v>
      </c>
      <c r="W31" s="706">
        <f t="shared" si="14"/>
        <v>100</v>
      </c>
      <c r="X31" s="1355"/>
      <c r="Y31" s="3667"/>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68" t="s">
        <v>1696</v>
      </c>
      <c r="Q32" s="1352" t="str">
        <f t="shared" si="11"/>
        <v>商业类型</v>
      </c>
      <c r="R32" s="705" t="s">
        <v>14</v>
      </c>
      <c r="S32" s="706">
        <f t="shared" si="12"/>
        <v>100</v>
      </c>
      <c r="T32" s="705" t="s">
        <v>14</v>
      </c>
      <c r="U32" s="706">
        <f t="shared" si="13"/>
        <v>100</v>
      </c>
      <c r="V32" s="705" t="s">
        <v>14</v>
      </c>
      <c r="W32" s="706">
        <f t="shared" si="14"/>
        <v>100</v>
      </c>
      <c r="X32" s="1355"/>
      <c r="Y32" s="367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69"/>
      <c r="Q33" s="707" t="str">
        <f t="shared" si="11"/>
        <v>项目建筑规模</v>
      </c>
      <c r="R33" s="708" t="s">
        <v>14</v>
      </c>
      <c r="S33" s="709" t="e">
        <f t="shared" si="12"/>
        <v>#N/A</v>
      </c>
      <c r="T33" s="708" t="s">
        <v>14</v>
      </c>
      <c r="U33" s="709" t="e">
        <f t="shared" si="13"/>
        <v>#N/A</v>
      </c>
      <c r="V33" s="708" t="s">
        <v>14</v>
      </c>
      <c r="W33" s="709" t="e">
        <f t="shared" si="14"/>
        <v>#N/A</v>
      </c>
      <c r="X33" s="710"/>
      <c r="Y33" s="367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69"/>
      <c r="Q34" s="1352" t="str">
        <f t="shared" si="11"/>
        <v>建筑结构</v>
      </c>
      <c r="R34" s="705" t="s">
        <v>14</v>
      </c>
      <c r="S34" s="706">
        <f t="shared" si="12"/>
        <v>100</v>
      </c>
      <c r="T34" s="705" t="s">
        <v>14</v>
      </c>
      <c r="U34" s="706">
        <f t="shared" si="13"/>
        <v>100</v>
      </c>
      <c r="V34" s="705" t="s">
        <v>14</v>
      </c>
      <c r="W34" s="706">
        <f t="shared" si="14"/>
        <v>100</v>
      </c>
      <c r="X34" s="1355"/>
      <c r="Y34" s="367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69"/>
      <c r="Q35" s="1352" t="str">
        <f t="shared" si="11"/>
        <v>公共部分装修</v>
      </c>
      <c r="R35" s="705" t="s">
        <v>14</v>
      </c>
      <c r="S35" s="706">
        <f t="shared" si="12"/>
        <v>100</v>
      </c>
      <c r="T35" s="705" t="s">
        <v>14</v>
      </c>
      <c r="U35" s="706">
        <f t="shared" si="13"/>
        <v>100</v>
      </c>
      <c r="V35" s="705" t="s">
        <v>14</v>
      </c>
      <c r="W35" s="706">
        <f t="shared" si="14"/>
        <v>100</v>
      </c>
      <c r="X35" s="1355"/>
      <c r="Y35" s="367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69"/>
      <c r="Q36" s="1352" t="str">
        <f t="shared" si="11"/>
        <v>成新度</v>
      </c>
      <c r="R36" s="705" t="s">
        <v>14</v>
      </c>
      <c r="S36" s="706" t="e">
        <f t="shared" si="12"/>
        <v>#N/A</v>
      </c>
      <c r="T36" s="705" t="s">
        <v>14</v>
      </c>
      <c r="U36" s="706" t="e">
        <f t="shared" si="13"/>
        <v>#N/A</v>
      </c>
      <c r="V36" s="705" t="s">
        <v>14</v>
      </c>
      <c r="W36" s="706" t="e">
        <f t="shared" si="14"/>
        <v>#N/A</v>
      </c>
      <c r="X36" s="1355"/>
      <c r="Y36" s="367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69"/>
      <c r="Q37" s="1343" t="str">
        <f t="shared" si="11"/>
        <v>市政基础设施</v>
      </c>
      <c r="R37" s="701" t="s">
        <v>14</v>
      </c>
      <c r="S37" s="702">
        <f t="shared" si="12"/>
        <v>100</v>
      </c>
      <c r="T37" s="701" t="s">
        <v>14</v>
      </c>
      <c r="U37" s="702">
        <f t="shared" si="13"/>
        <v>100</v>
      </c>
      <c r="V37" s="701" t="s">
        <v>14</v>
      </c>
      <c r="W37" s="702">
        <f t="shared" si="14"/>
        <v>100</v>
      </c>
      <c r="X37" s="703"/>
      <c r="Y37" s="367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69" t="s">
        <v>1696</v>
      </c>
      <c r="Q38" s="1352" t="str">
        <f t="shared" si="11"/>
        <v>业态</v>
      </c>
      <c r="R38" s="705" t="s">
        <v>14</v>
      </c>
      <c r="S38" s="706">
        <f t="shared" si="12"/>
        <v>100</v>
      </c>
      <c r="T38" s="705" t="s">
        <v>14</v>
      </c>
      <c r="U38" s="706">
        <f t="shared" si="13"/>
        <v>100</v>
      </c>
      <c r="V38" s="705" t="s">
        <v>14</v>
      </c>
      <c r="W38" s="706">
        <f t="shared" si="14"/>
        <v>100</v>
      </c>
      <c r="X38" s="1355"/>
      <c r="Y38" s="367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69"/>
      <c r="Q39" s="1352" t="str">
        <f t="shared" si="11"/>
        <v>层高</v>
      </c>
      <c r="R39" s="705" t="s">
        <v>14</v>
      </c>
      <c r="S39" s="706">
        <f t="shared" si="12"/>
        <v>100</v>
      </c>
      <c r="T39" s="705" t="s">
        <v>14</v>
      </c>
      <c r="U39" s="706">
        <f t="shared" si="13"/>
        <v>100</v>
      </c>
      <c r="V39" s="705" t="s">
        <v>14</v>
      </c>
      <c r="W39" s="706">
        <f t="shared" si="14"/>
        <v>100</v>
      </c>
      <c r="X39" s="1355"/>
      <c r="Y39" s="367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69"/>
      <c r="Q40" s="1352" t="str">
        <f t="shared" si="11"/>
        <v>单套建筑面积</v>
      </c>
      <c r="R40" s="705" t="s">
        <v>14</v>
      </c>
      <c r="S40" s="706">
        <f t="shared" si="12"/>
        <v>100</v>
      </c>
      <c r="T40" s="705" t="s">
        <v>14</v>
      </c>
      <c r="U40" s="706">
        <f t="shared" si="13"/>
        <v>100</v>
      </c>
      <c r="V40" s="705" t="s">
        <v>14</v>
      </c>
      <c r="W40" s="706">
        <f t="shared" si="14"/>
        <v>100</v>
      </c>
      <c r="X40" s="1355"/>
      <c r="Y40" s="367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69"/>
      <c r="Q41" s="707" t="str">
        <f t="shared" si="11"/>
        <v>进深比</v>
      </c>
      <c r="R41" s="708" t="s">
        <v>14</v>
      </c>
      <c r="S41" s="709">
        <f t="shared" si="12"/>
        <v>100</v>
      </c>
      <c r="T41" s="708" t="s">
        <v>14</v>
      </c>
      <c r="U41" s="709">
        <f t="shared" si="13"/>
        <v>100</v>
      </c>
      <c r="V41" s="708" t="s">
        <v>14</v>
      </c>
      <c r="W41" s="709">
        <f t="shared" si="14"/>
        <v>100</v>
      </c>
      <c r="X41" s="710"/>
      <c r="Y41" s="367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69"/>
      <c r="Q42" s="1352" t="str">
        <f t="shared" si="11"/>
        <v>内部装修</v>
      </c>
      <c r="R42" s="705" t="s">
        <v>14</v>
      </c>
      <c r="S42" s="706">
        <f t="shared" si="12"/>
        <v>100</v>
      </c>
      <c r="T42" s="705" t="s">
        <v>14</v>
      </c>
      <c r="U42" s="706">
        <f t="shared" si="13"/>
        <v>100</v>
      </c>
      <c r="V42" s="705" t="s">
        <v>14</v>
      </c>
      <c r="W42" s="706">
        <f t="shared" si="14"/>
        <v>100</v>
      </c>
      <c r="X42" s="1355"/>
      <c r="Y42" s="367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69"/>
      <c r="Q43" s="1352" t="str">
        <f t="shared" si="11"/>
        <v>内部装修维护情况</v>
      </c>
      <c r="R43" s="705" t="s">
        <v>14</v>
      </c>
      <c r="S43" s="706">
        <f t="shared" si="12"/>
        <v>100</v>
      </c>
      <c r="T43" s="705" t="s">
        <v>14</v>
      </c>
      <c r="U43" s="706">
        <f t="shared" si="13"/>
        <v>100</v>
      </c>
      <c r="V43" s="705" t="s">
        <v>14</v>
      </c>
      <c r="W43" s="706">
        <f t="shared" si="14"/>
        <v>100</v>
      </c>
      <c r="X43" s="1355"/>
      <c r="Y43" s="367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69"/>
      <c r="Q44" s="1343">
        <f t="shared" si="11"/>
        <v>111</v>
      </c>
      <c r="R44" s="701" t="s">
        <v>14</v>
      </c>
      <c r="S44" s="702">
        <f t="shared" si="12"/>
        <v>100</v>
      </c>
      <c r="T44" s="701" t="s">
        <v>14</v>
      </c>
      <c r="U44" s="702">
        <f t="shared" si="13"/>
        <v>100</v>
      </c>
      <c r="V44" s="701" t="s">
        <v>14</v>
      </c>
      <c r="W44" s="702">
        <f t="shared" si="14"/>
        <v>100</v>
      </c>
      <c r="X44" s="703"/>
      <c r="Y44" s="367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69"/>
      <c r="Q45" s="1352">
        <f t="shared" si="11"/>
        <v>111</v>
      </c>
      <c r="R45" s="705" t="s">
        <v>14</v>
      </c>
      <c r="S45" s="706">
        <f t="shared" si="12"/>
        <v>100</v>
      </c>
      <c r="T45" s="705" t="s">
        <v>14</v>
      </c>
      <c r="U45" s="706">
        <f t="shared" si="13"/>
        <v>100</v>
      </c>
      <c r="V45" s="705" t="s">
        <v>14</v>
      </c>
      <c r="W45" s="706">
        <f t="shared" si="14"/>
        <v>100</v>
      </c>
      <c r="X45" s="1355"/>
      <c r="Y45" s="367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0"/>
      <c r="Q46" s="1352">
        <f t="shared" si="11"/>
        <v>111</v>
      </c>
      <c r="R46" s="705" t="s">
        <v>14</v>
      </c>
      <c r="S46" s="706">
        <f t="shared" si="12"/>
        <v>100</v>
      </c>
      <c r="T46" s="705" t="s">
        <v>14</v>
      </c>
      <c r="U46" s="706">
        <f t="shared" si="13"/>
        <v>100</v>
      </c>
      <c r="V46" s="705" t="s">
        <v>14</v>
      </c>
      <c r="W46" s="706">
        <f t="shared" si="14"/>
        <v>100</v>
      </c>
      <c r="X46" s="1355"/>
      <c r="Y46" s="3672"/>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64" t="str">
        <f>A47</f>
        <v>成交单价（元/平方米）</v>
      </c>
      <c r="Q47" s="3664"/>
      <c r="R47" s="3695">
        <f>E47</f>
        <v>0</v>
      </c>
      <c r="S47" s="3695"/>
      <c r="T47" s="3695">
        <f>G47</f>
        <v>0</v>
      </c>
      <c r="U47" s="3695"/>
      <c r="V47" s="3695">
        <f>I47</f>
        <v>0</v>
      </c>
      <c r="W47" s="3695"/>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64" t="str">
        <f>A48</f>
        <v>比较价值（元/平方米）</v>
      </c>
      <c r="Q48" s="3664"/>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1" t="str">
        <f>A49</f>
        <v>估价对象XX用房的比较价值（楼面单价，元/平方米）</v>
      </c>
      <c r="Q49" s="3662"/>
      <c r="R49" s="3663" t="e">
        <f>IF(F1="售价",ROUND(IF(D48="简单平均",AVERAGE(R48:V48),R48*F48+T48*H48+V48*J48),0),ROUND(IF(D48="简单平均",AVERAGE(R48:V48),R48*F48+T48*H48+V48*J48),1))</f>
        <v>#DIV/0!</v>
      </c>
      <c r="S49" s="3663"/>
      <c r="T49" s="3663"/>
      <c r="U49" s="3663"/>
      <c r="V49" s="3663"/>
      <c r="W49" s="3663"/>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2024-11</v>
      </c>
      <c r="D58" s="1185">
        <f>EDATE(C58,-1)</f>
        <v>45566</v>
      </c>
      <c r="E58" s="1185">
        <f t="shared" ref="E58:N58" si="16">EDATE(D58,-1)</f>
        <v>45536</v>
      </c>
      <c r="F58" s="1185">
        <f t="shared" si="16"/>
        <v>45505</v>
      </c>
      <c r="G58" s="1185">
        <f t="shared" si="16"/>
        <v>45474</v>
      </c>
      <c r="H58" s="1185">
        <f t="shared" si="16"/>
        <v>45444</v>
      </c>
      <c r="I58" s="1185">
        <f t="shared" si="16"/>
        <v>45413</v>
      </c>
      <c r="J58" s="1185">
        <f t="shared" si="16"/>
        <v>45383</v>
      </c>
      <c r="K58" s="1185">
        <f t="shared" si="16"/>
        <v>45352</v>
      </c>
      <c r="L58" s="1185">
        <f t="shared" si="16"/>
        <v>45323</v>
      </c>
      <c r="M58" s="1185">
        <f t="shared" si="16"/>
        <v>45292</v>
      </c>
      <c r="N58" s="1185">
        <f t="shared" si="16"/>
        <v>45261</v>
      </c>
      <c r="O58" s="1185">
        <f>EDATE(N58,-1)</f>
        <v>45231</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IF(C2="——",C50,ROUND(B2*10000/D3,0))</f>
        <v>#DIV/0!</v>
      </c>
      <c r="C3" s="354" t="s">
        <v>1768</v>
      </c>
      <c r="D3" s="353">
        <f>IF(D1="",'数据-汇总表'!E3,SUMIF('数据-汇总表'!$C19:$C33,D1,'数据-汇总表'!$E19:$E33))</f>
        <v>0</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713" t="s">
        <v>1775</v>
      </c>
      <c r="Q4" s="3714"/>
      <c r="R4" s="3717" t="s">
        <v>1771</v>
      </c>
      <c r="S4" s="3718"/>
      <c r="T4" s="3717" t="s">
        <v>1772</v>
      </c>
      <c r="U4" s="3718"/>
      <c r="V4" s="3719" t="s">
        <v>1773</v>
      </c>
      <c r="W4" s="3719"/>
      <c r="X4" s="1958"/>
      <c r="Y4" s="3717" t="s">
        <v>1775</v>
      </c>
      <c r="Z4" s="3718"/>
      <c r="AA4" s="3721" t="s">
        <v>1771</v>
      </c>
      <c r="AB4" s="3721" t="s">
        <v>1772</v>
      </c>
      <c r="AC4" s="3710" t="s">
        <v>1773</v>
      </c>
    </row>
    <row r="5" spans="1:29" ht="15">
      <c r="A5" s="358"/>
      <c r="B5" s="359"/>
      <c r="C5" s="3698" t="s">
        <v>1673</v>
      </c>
      <c r="D5" s="3699"/>
      <c r="E5" s="3705" t="s">
        <v>1674</v>
      </c>
      <c r="F5" s="3706"/>
      <c r="G5" s="3698" t="s">
        <v>1675</v>
      </c>
      <c r="H5" s="3699"/>
      <c r="I5" s="3698" t="s">
        <v>1676</v>
      </c>
      <c r="J5" s="3699"/>
      <c r="K5" s="559"/>
      <c r="L5" s="2715"/>
      <c r="M5" s="2716"/>
      <c r="N5" s="2716"/>
      <c r="O5" s="2716"/>
      <c r="P5" s="3715"/>
      <c r="Q5" s="3686"/>
      <c r="R5" s="3691"/>
      <c r="S5" s="3692"/>
      <c r="T5" s="3691"/>
      <c r="U5" s="3692"/>
      <c r="V5" s="3695"/>
      <c r="W5" s="3695"/>
      <c r="X5" s="1355"/>
      <c r="Y5" s="3691"/>
      <c r="Z5" s="3692"/>
      <c r="AA5" s="3677"/>
      <c r="AB5" s="3677"/>
      <c r="AC5" s="3711"/>
    </row>
    <row r="6" spans="1:29" ht="15.75" thickBot="1">
      <c r="A6" s="360"/>
      <c r="B6" s="361"/>
      <c r="C6" s="3696" t="s">
        <v>1677</v>
      </c>
      <c r="D6" s="3697"/>
      <c r="E6" s="3703" t="s">
        <v>1677</v>
      </c>
      <c r="F6" s="3704"/>
      <c r="G6" s="3696" t="s">
        <v>1677</v>
      </c>
      <c r="H6" s="3697"/>
      <c r="I6" s="3696" t="s">
        <v>1677</v>
      </c>
      <c r="J6" s="3697"/>
      <c r="K6" s="559" t="s">
        <v>1678</v>
      </c>
      <c r="L6" s="2715"/>
      <c r="M6" s="2716"/>
      <c r="N6" s="2716"/>
      <c r="O6" s="2716"/>
      <c r="P6" s="3716"/>
      <c r="Q6" s="3688"/>
      <c r="R6" s="3691"/>
      <c r="S6" s="3692"/>
      <c r="T6" s="3693"/>
      <c r="U6" s="3694"/>
      <c r="V6" s="3695"/>
      <c r="W6" s="3695"/>
      <c r="X6" s="1355"/>
      <c r="Y6" s="3693"/>
      <c r="Z6" s="3694"/>
      <c r="AA6" s="3678"/>
      <c r="AB6" s="3678"/>
      <c r="AC6" s="3712"/>
    </row>
    <row r="7" spans="1:29" s="108" customFormat="1" ht="15.75" thickBot="1">
      <c r="A7" s="362" t="s">
        <v>1679</v>
      </c>
      <c r="B7" s="363"/>
      <c r="C7" s="364">
        <f>'数据-取费表'!B2</f>
        <v>45604</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0" t="s">
        <v>1683</v>
      </c>
      <c r="Q8" s="3701"/>
      <c r="R8" s="701" t="s">
        <v>14</v>
      </c>
      <c r="S8" s="702">
        <f t="shared" si="0"/>
        <v>100</v>
      </c>
      <c r="T8" s="701" t="s">
        <v>14</v>
      </c>
      <c r="U8" s="702">
        <f t="shared" si="1"/>
        <v>100</v>
      </c>
      <c r="V8" s="701" t="s">
        <v>14</v>
      </c>
      <c r="W8" s="702">
        <f t="shared" si="2"/>
        <v>100</v>
      </c>
      <c r="X8" s="703"/>
      <c r="Y8" s="3700" t="s">
        <v>1683</v>
      </c>
      <c r="Z8" s="3701"/>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5"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5"/>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5"/>
      <c r="Q11" s="1343" t="str">
        <f t="shared" si="6"/>
        <v>容积率</v>
      </c>
      <c r="R11" s="701" t="s">
        <v>14</v>
      </c>
      <c r="S11" s="702">
        <f t="shared" si="0"/>
        <v>100</v>
      </c>
      <c r="T11" s="701" t="s">
        <v>14</v>
      </c>
      <c r="U11" s="702">
        <f t="shared" si="1"/>
        <v>100</v>
      </c>
      <c r="V11" s="701" t="s">
        <v>14</v>
      </c>
      <c r="W11" s="702">
        <f t="shared" si="2"/>
        <v>100</v>
      </c>
      <c r="X11" s="703"/>
      <c r="Y11" s="353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5"/>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5"/>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5"/>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3" t="s">
        <v>1691</v>
      </c>
      <c r="Q15" s="1352" t="str">
        <f t="shared" si="6"/>
        <v>办公集聚程度</v>
      </c>
      <c r="R15" s="705" t="s">
        <v>14</v>
      </c>
      <c r="S15" s="706">
        <f t="shared" si="0"/>
        <v>100</v>
      </c>
      <c r="T15" s="705" t="s">
        <v>14</v>
      </c>
      <c r="U15" s="706">
        <f t="shared" si="1"/>
        <v>100</v>
      </c>
      <c r="V15" s="705" t="s">
        <v>14</v>
      </c>
      <c r="W15" s="706">
        <f t="shared" si="2"/>
        <v>100</v>
      </c>
      <c r="X15" s="1355"/>
      <c r="Y15" s="3666"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74"/>
      <c r="Q16" s="1352"/>
      <c r="R16" s="705"/>
      <c r="S16" s="706"/>
      <c r="T16" s="705"/>
      <c r="U16" s="706"/>
      <c r="V16" s="705"/>
      <c r="W16" s="706"/>
      <c r="X16" s="1355"/>
      <c r="Y16" s="3667"/>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74"/>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74"/>
      <c r="Q18" s="1352"/>
      <c r="R18" s="705"/>
      <c r="S18" s="706"/>
      <c r="T18" s="705"/>
      <c r="U18" s="706"/>
      <c r="V18" s="705"/>
      <c r="W18" s="706"/>
      <c r="X18" s="1355"/>
      <c r="Y18" s="3667"/>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4"/>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74"/>
      <c r="Q20" s="1352"/>
      <c r="R20" s="705"/>
      <c r="S20" s="706"/>
      <c r="T20" s="705"/>
      <c r="U20" s="706"/>
      <c r="V20" s="705"/>
      <c r="W20" s="706"/>
      <c r="X20" s="1355"/>
      <c r="Y20" s="3667"/>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4"/>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74"/>
      <c r="Q22" s="1352"/>
      <c r="R22" s="705"/>
      <c r="S22" s="706"/>
      <c r="T22" s="705"/>
      <c r="U22" s="706"/>
      <c r="V22" s="705"/>
      <c r="W22" s="706"/>
      <c r="X22" s="1355"/>
      <c r="Y22" s="3667"/>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4"/>
      <c r="Q23" s="1352" t="str">
        <f>B23</f>
        <v>环境质量</v>
      </c>
      <c r="R23" s="705" t="s">
        <v>14</v>
      </c>
      <c r="S23" s="706">
        <f>F23</f>
        <v>100</v>
      </c>
      <c r="T23" s="705" t="s">
        <v>14</v>
      </c>
      <c r="U23" s="706">
        <f>H23</f>
        <v>100</v>
      </c>
      <c r="V23" s="705" t="s">
        <v>14</v>
      </c>
      <c r="W23" s="706">
        <f>J23</f>
        <v>100</v>
      </c>
      <c r="X23" s="1355"/>
      <c r="Y23" s="366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74"/>
      <c r="Q24" s="1352"/>
      <c r="R24" s="705"/>
      <c r="S24" s="706"/>
      <c r="T24" s="705"/>
      <c r="U24" s="706"/>
      <c r="V24" s="705"/>
      <c r="W24" s="706"/>
      <c r="X24" s="1355"/>
      <c r="Y24" s="3667"/>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4"/>
      <c r="Q25" s="1352" t="str">
        <f>B25</f>
        <v>毗邻道路的类型与等级</v>
      </c>
      <c r="R25" s="705" t="s">
        <v>14</v>
      </c>
      <c r="S25" s="706">
        <f>F25</f>
        <v>100</v>
      </c>
      <c r="T25" s="705" t="s">
        <v>14</v>
      </c>
      <c r="U25" s="706">
        <f>H25</f>
        <v>100</v>
      </c>
      <c r="V25" s="705" t="s">
        <v>14</v>
      </c>
      <c r="W25" s="706">
        <f>J25</f>
        <v>100</v>
      </c>
      <c r="X25" s="1355"/>
      <c r="Y25" s="366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74"/>
      <c r="Q26" s="1352"/>
      <c r="R26" s="705"/>
      <c r="S26" s="706"/>
      <c r="T26" s="705"/>
      <c r="U26" s="706"/>
      <c r="V26" s="705"/>
      <c r="W26" s="706"/>
      <c r="X26" s="1355"/>
      <c r="Y26" s="3667"/>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4"/>
      <c r="Q27" s="1352" t="str">
        <f t="shared" ref="Q27:Q47" si="11">B27</f>
        <v>楼层</v>
      </c>
      <c r="R27" s="705" t="s">
        <v>14</v>
      </c>
      <c r="S27" s="706">
        <f>F27</f>
        <v>100</v>
      </c>
      <c r="T27" s="705" t="s">
        <v>14</v>
      </c>
      <c r="U27" s="706">
        <f>H27</f>
        <v>100</v>
      </c>
      <c r="V27" s="705" t="s">
        <v>14</v>
      </c>
      <c r="W27" s="706">
        <f>J27</f>
        <v>100</v>
      </c>
      <c r="X27" s="1355"/>
      <c r="Y27" s="3667"/>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4"/>
      <c r="Q28" s="1343" t="str">
        <f t="shared" si="11"/>
        <v>朝向</v>
      </c>
      <c r="R28" s="701" t="s">
        <v>14</v>
      </c>
      <c r="S28" s="702">
        <f>F28</f>
        <v>100</v>
      </c>
      <c r="T28" s="701" t="s">
        <v>14</v>
      </c>
      <c r="U28" s="702">
        <f>H28</f>
        <v>100</v>
      </c>
      <c r="V28" s="701" t="s">
        <v>14</v>
      </c>
      <c r="W28" s="702">
        <f>J28</f>
        <v>100</v>
      </c>
      <c r="X28" s="703"/>
      <c r="Y28" s="366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4"/>
      <c r="Q29" s="1352">
        <f t="shared" si="11"/>
        <v>111</v>
      </c>
      <c r="R29" s="705" t="s">
        <v>14</v>
      </c>
      <c r="S29" s="706">
        <f t="shared" ref="S29:S47" si="12">F29</f>
        <v>100</v>
      </c>
      <c r="T29" s="705" t="s">
        <v>14</v>
      </c>
      <c r="U29" s="706">
        <f t="shared" ref="U29:U47" si="13">H29</f>
        <v>100</v>
      </c>
      <c r="V29" s="705" t="s">
        <v>14</v>
      </c>
      <c r="W29" s="706">
        <f t="shared" ref="W29:W47" si="14">J29</f>
        <v>100</v>
      </c>
      <c r="X29" s="1355"/>
      <c r="Y29" s="366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4"/>
      <c r="Q30" s="1352">
        <f t="shared" si="11"/>
        <v>111</v>
      </c>
      <c r="R30" s="705" t="s">
        <v>14</v>
      </c>
      <c r="S30" s="706">
        <f t="shared" si="12"/>
        <v>100</v>
      </c>
      <c r="T30" s="705" t="s">
        <v>14</v>
      </c>
      <c r="U30" s="706">
        <f t="shared" si="13"/>
        <v>100</v>
      </c>
      <c r="V30" s="705" t="s">
        <v>14</v>
      </c>
      <c r="W30" s="706">
        <f t="shared" si="14"/>
        <v>100</v>
      </c>
      <c r="X30" s="1355"/>
      <c r="Y30" s="366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4"/>
      <c r="Q31" s="1352">
        <f t="shared" si="11"/>
        <v>111</v>
      </c>
      <c r="R31" s="705" t="s">
        <v>14</v>
      </c>
      <c r="S31" s="706">
        <f t="shared" si="12"/>
        <v>100</v>
      </c>
      <c r="T31" s="705" t="s">
        <v>14</v>
      </c>
      <c r="U31" s="706">
        <f t="shared" si="13"/>
        <v>100</v>
      </c>
      <c r="V31" s="705" t="s">
        <v>14</v>
      </c>
      <c r="W31" s="706">
        <f t="shared" si="14"/>
        <v>100</v>
      </c>
      <c r="X31" s="1355"/>
      <c r="Y31" s="366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4"/>
      <c r="Q32" s="1352">
        <f t="shared" si="11"/>
        <v>111</v>
      </c>
      <c r="R32" s="705" t="s">
        <v>14</v>
      </c>
      <c r="S32" s="706">
        <f t="shared" si="12"/>
        <v>100</v>
      </c>
      <c r="T32" s="705" t="s">
        <v>14</v>
      </c>
      <c r="U32" s="706">
        <f t="shared" si="13"/>
        <v>100</v>
      </c>
      <c r="V32" s="705" t="s">
        <v>14</v>
      </c>
      <c r="W32" s="706">
        <f t="shared" si="14"/>
        <v>100</v>
      </c>
      <c r="X32" s="1355"/>
      <c r="Y32" s="3667"/>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68" t="s">
        <v>1696</v>
      </c>
      <c r="Q33" s="1352" t="str">
        <f t="shared" si="11"/>
        <v>建筑类型</v>
      </c>
      <c r="R33" s="705" t="s">
        <v>14</v>
      </c>
      <c r="S33" s="706">
        <f t="shared" si="12"/>
        <v>100</v>
      </c>
      <c r="T33" s="705" t="s">
        <v>14</v>
      </c>
      <c r="U33" s="706">
        <f t="shared" si="13"/>
        <v>100</v>
      </c>
      <c r="V33" s="705" t="s">
        <v>14</v>
      </c>
      <c r="W33" s="706">
        <f t="shared" si="14"/>
        <v>100</v>
      </c>
      <c r="X33" s="1355"/>
      <c r="Y33" s="3671"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69"/>
      <c r="Q34" s="707" t="str">
        <f t="shared" si="11"/>
        <v>项目建筑规模</v>
      </c>
      <c r="R34" s="708" t="s">
        <v>14</v>
      </c>
      <c r="S34" s="709" t="e">
        <f t="shared" si="12"/>
        <v>#N/A</v>
      </c>
      <c r="T34" s="708" t="s">
        <v>14</v>
      </c>
      <c r="U34" s="709" t="e">
        <f t="shared" si="13"/>
        <v>#N/A</v>
      </c>
      <c r="V34" s="708" t="s">
        <v>14</v>
      </c>
      <c r="W34" s="709" t="e">
        <f t="shared" si="14"/>
        <v>#N/A</v>
      </c>
      <c r="X34" s="710"/>
      <c r="Y34" s="3671"/>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69"/>
      <c r="Q35" s="1352" t="str">
        <f t="shared" si="11"/>
        <v>建筑结构</v>
      </c>
      <c r="R35" s="705" t="s">
        <v>14</v>
      </c>
      <c r="S35" s="706">
        <f t="shared" si="12"/>
        <v>100</v>
      </c>
      <c r="T35" s="705" t="s">
        <v>14</v>
      </c>
      <c r="U35" s="706">
        <f t="shared" si="13"/>
        <v>100</v>
      </c>
      <c r="V35" s="705" t="s">
        <v>14</v>
      </c>
      <c r="W35" s="706">
        <f t="shared" si="14"/>
        <v>100</v>
      </c>
      <c r="X35" s="1355"/>
      <c r="Y35" s="3671"/>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69"/>
      <c r="Q36" s="1352" t="str">
        <f t="shared" si="11"/>
        <v>公共部分装修</v>
      </c>
      <c r="R36" s="705" t="s">
        <v>14</v>
      </c>
      <c r="S36" s="706">
        <f t="shared" si="12"/>
        <v>100</v>
      </c>
      <c r="T36" s="705" t="s">
        <v>14</v>
      </c>
      <c r="U36" s="706">
        <f t="shared" si="13"/>
        <v>100</v>
      </c>
      <c r="V36" s="705" t="s">
        <v>14</v>
      </c>
      <c r="W36" s="706">
        <f t="shared" si="14"/>
        <v>100</v>
      </c>
      <c r="X36" s="1355"/>
      <c r="Y36" s="3671"/>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69"/>
      <c r="Q37" s="1352" t="str">
        <f t="shared" si="11"/>
        <v>成新度</v>
      </c>
      <c r="R37" s="705" t="s">
        <v>14</v>
      </c>
      <c r="S37" s="706" t="e">
        <f t="shared" si="12"/>
        <v>#N/A</v>
      </c>
      <c r="T37" s="705" t="s">
        <v>14</v>
      </c>
      <c r="U37" s="706" t="e">
        <f t="shared" si="13"/>
        <v>#N/A</v>
      </c>
      <c r="V37" s="705" t="s">
        <v>14</v>
      </c>
      <c r="W37" s="706" t="e">
        <f t="shared" si="14"/>
        <v>#N/A</v>
      </c>
      <c r="X37" s="1355"/>
      <c r="Y37" s="3671"/>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69"/>
      <c r="Q38" s="1343" t="str">
        <f t="shared" si="11"/>
        <v>写字楼等级</v>
      </c>
      <c r="R38" s="701" t="s">
        <v>14</v>
      </c>
      <c r="S38" s="702">
        <f t="shared" si="12"/>
        <v>100</v>
      </c>
      <c r="T38" s="701" t="s">
        <v>14</v>
      </c>
      <c r="U38" s="702">
        <f t="shared" si="13"/>
        <v>100</v>
      </c>
      <c r="V38" s="701" t="s">
        <v>14</v>
      </c>
      <c r="W38" s="702">
        <f t="shared" si="14"/>
        <v>100</v>
      </c>
      <c r="X38" s="703"/>
      <c r="Y38" s="3671"/>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69" t="s">
        <v>1696</v>
      </c>
      <c r="Q39" s="1352" t="str">
        <f t="shared" si="11"/>
        <v>物业管理</v>
      </c>
      <c r="R39" s="705" t="s">
        <v>14</v>
      </c>
      <c r="S39" s="706">
        <f t="shared" si="12"/>
        <v>100</v>
      </c>
      <c r="T39" s="705" t="s">
        <v>14</v>
      </c>
      <c r="U39" s="706">
        <f t="shared" si="13"/>
        <v>100</v>
      </c>
      <c r="V39" s="705" t="s">
        <v>14</v>
      </c>
      <c r="W39" s="706">
        <f t="shared" si="14"/>
        <v>100</v>
      </c>
      <c r="X39" s="1355"/>
      <c r="Y39" s="367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69"/>
      <c r="Q40" s="1352" t="str">
        <f t="shared" si="11"/>
        <v>市政基础设施</v>
      </c>
      <c r="R40" s="705" t="s">
        <v>14</v>
      </c>
      <c r="S40" s="706">
        <f t="shared" si="12"/>
        <v>100</v>
      </c>
      <c r="T40" s="705" t="s">
        <v>14</v>
      </c>
      <c r="U40" s="706">
        <f t="shared" si="13"/>
        <v>100</v>
      </c>
      <c r="V40" s="705" t="s">
        <v>14</v>
      </c>
      <c r="W40" s="706">
        <f t="shared" si="14"/>
        <v>100</v>
      </c>
      <c r="X40" s="1355"/>
      <c r="Y40" s="367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69"/>
      <c r="Q41" s="1352" t="str">
        <f t="shared" si="11"/>
        <v>层高</v>
      </c>
      <c r="R41" s="705" t="s">
        <v>14</v>
      </c>
      <c r="S41" s="706">
        <f t="shared" si="12"/>
        <v>100</v>
      </c>
      <c r="T41" s="705" t="s">
        <v>14</v>
      </c>
      <c r="U41" s="706">
        <f t="shared" si="13"/>
        <v>100</v>
      </c>
      <c r="V41" s="705" t="s">
        <v>14</v>
      </c>
      <c r="W41" s="706">
        <f t="shared" si="14"/>
        <v>100</v>
      </c>
      <c r="X41" s="1355"/>
      <c r="Y41" s="367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69"/>
      <c r="Q42" s="707" t="str">
        <f t="shared" si="11"/>
        <v>单套建筑面积</v>
      </c>
      <c r="R42" s="708" t="s">
        <v>14</v>
      </c>
      <c r="S42" s="709">
        <f t="shared" si="12"/>
        <v>100</v>
      </c>
      <c r="T42" s="708" t="s">
        <v>14</v>
      </c>
      <c r="U42" s="709">
        <f t="shared" si="13"/>
        <v>100</v>
      </c>
      <c r="V42" s="708" t="s">
        <v>14</v>
      </c>
      <c r="W42" s="709">
        <f t="shared" si="14"/>
        <v>100</v>
      </c>
      <c r="X42" s="710"/>
      <c r="Y42" s="3671"/>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69"/>
      <c r="Q43" s="1352" t="str">
        <f t="shared" si="11"/>
        <v>内部装修</v>
      </c>
      <c r="R43" s="705" t="s">
        <v>14</v>
      </c>
      <c r="S43" s="706">
        <f t="shared" si="12"/>
        <v>100</v>
      </c>
      <c r="T43" s="705" t="s">
        <v>14</v>
      </c>
      <c r="U43" s="706">
        <f t="shared" si="13"/>
        <v>100</v>
      </c>
      <c r="V43" s="705" t="s">
        <v>14</v>
      </c>
      <c r="W43" s="706">
        <f t="shared" si="14"/>
        <v>100</v>
      </c>
      <c r="X43" s="1355"/>
      <c r="Y43" s="3671"/>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69"/>
      <c r="Q44" s="1352" t="str">
        <f t="shared" si="11"/>
        <v>内部装修维护情况</v>
      </c>
      <c r="R44" s="705" t="s">
        <v>14</v>
      </c>
      <c r="S44" s="706">
        <f t="shared" si="12"/>
        <v>100</v>
      </c>
      <c r="T44" s="705" t="s">
        <v>14</v>
      </c>
      <c r="U44" s="706">
        <f t="shared" si="13"/>
        <v>100</v>
      </c>
      <c r="V44" s="705" t="s">
        <v>14</v>
      </c>
      <c r="W44" s="706">
        <f t="shared" si="14"/>
        <v>100</v>
      </c>
      <c r="X44" s="1355"/>
      <c r="Y44" s="367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69"/>
      <c r="Q45" s="1343">
        <f t="shared" si="11"/>
        <v>111</v>
      </c>
      <c r="R45" s="701" t="s">
        <v>14</v>
      </c>
      <c r="S45" s="702">
        <f t="shared" si="12"/>
        <v>100</v>
      </c>
      <c r="T45" s="701" t="s">
        <v>14</v>
      </c>
      <c r="U45" s="702">
        <f t="shared" si="13"/>
        <v>100</v>
      </c>
      <c r="V45" s="701" t="s">
        <v>14</v>
      </c>
      <c r="W45" s="702">
        <f t="shared" si="14"/>
        <v>100</v>
      </c>
      <c r="X45" s="703"/>
      <c r="Y45" s="367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69"/>
      <c r="Q46" s="1352">
        <f t="shared" si="11"/>
        <v>111</v>
      </c>
      <c r="R46" s="705" t="s">
        <v>14</v>
      </c>
      <c r="S46" s="706">
        <f t="shared" si="12"/>
        <v>100</v>
      </c>
      <c r="T46" s="705" t="s">
        <v>14</v>
      </c>
      <c r="U46" s="706">
        <f t="shared" si="13"/>
        <v>100</v>
      </c>
      <c r="V46" s="705" t="s">
        <v>14</v>
      </c>
      <c r="W46" s="706">
        <f t="shared" si="14"/>
        <v>100</v>
      </c>
      <c r="X46" s="1355"/>
      <c r="Y46" s="367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0"/>
      <c r="Q47" s="1352">
        <f t="shared" si="11"/>
        <v>111</v>
      </c>
      <c r="R47" s="705" t="s">
        <v>14</v>
      </c>
      <c r="S47" s="706">
        <f t="shared" si="12"/>
        <v>100</v>
      </c>
      <c r="T47" s="705" t="s">
        <v>14</v>
      </c>
      <c r="U47" s="706">
        <f t="shared" si="13"/>
        <v>100</v>
      </c>
      <c r="V47" s="705" t="s">
        <v>14</v>
      </c>
      <c r="W47" s="706">
        <f t="shared" si="14"/>
        <v>100</v>
      </c>
      <c r="X47" s="1355"/>
      <c r="Y47" s="3672"/>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5" t="str">
        <f>A48</f>
        <v>成交单价（元/平方米）</v>
      </c>
      <c r="Q48" s="3664"/>
      <c r="R48" s="3665">
        <f>E48</f>
        <v>0</v>
      </c>
      <c r="S48" s="3665"/>
      <c r="T48" s="3665">
        <f>G48</f>
        <v>0</v>
      </c>
      <c r="U48" s="3665"/>
      <c r="V48" s="3665">
        <f>I48</f>
        <v>0</v>
      </c>
      <c r="W48" s="3665"/>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5" t="str">
        <f>A49</f>
        <v>比较价值（元/平方米）</v>
      </c>
      <c r="Q49" s="3664"/>
      <c r="R49" s="3665" t="e">
        <f>IF(F1="售价",ROUND(PRODUCT(R48,AA7:AA47),0),ROUND(PRODUCT(R48,AA7:AA47),1))</f>
        <v>#DIV/0!</v>
      </c>
      <c r="S49" s="3665"/>
      <c r="T49" s="3665" t="e">
        <f>IF(F1="售价",ROUND(PRODUCT(T48,AB7:AB47),0),ROUND(PRODUCT(T48,AB7:AB47),1))</f>
        <v>#DIV/0!</v>
      </c>
      <c r="U49" s="3665"/>
      <c r="V49" s="3665" t="e">
        <f>IF(F1="售价",ROUND(PRODUCT(V48,AC7:AC47),0),ROUND(PRODUCT(V48,AC7:AC47),1))</f>
        <v>#DIV/0!</v>
      </c>
      <c r="W49" s="3665"/>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07" t="str">
        <f>A50</f>
        <v>估价对象XX用房的比较价值（楼面单价，元/平方米）</v>
      </c>
      <c r="Q50" s="3708"/>
      <c r="R50" s="3709" t="e">
        <f>IF(F1="售价",ROUND(IF(D49="简单平均",AVERAGE(R49:V49),R49*F49+T49*H49+V49*J49),0),ROUND(IF(D49="简单平均",AVERAGE(R49:V49),R49*F49+T49*H49+V49*J49),1))</f>
        <v>#DIV/0!</v>
      </c>
      <c r="S50" s="3709"/>
      <c r="T50" s="3709"/>
      <c r="U50" s="3709"/>
      <c r="V50" s="3709"/>
      <c r="W50" s="3709"/>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2024-11</v>
      </c>
      <c r="D59" s="1185">
        <f>EDATE(C59,-1)</f>
        <v>45566</v>
      </c>
      <c r="E59" s="1185">
        <f>EDATE(D59,-1)</f>
        <v>45536</v>
      </c>
      <c r="F59" s="1185">
        <f t="shared" ref="F59:O59" si="16">EDATE(E59,-1)</f>
        <v>45505</v>
      </c>
      <c r="G59" s="1185">
        <f t="shared" si="16"/>
        <v>45474</v>
      </c>
      <c r="H59" s="1185">
        <f t="shared" si="16"/>
        <v>45444</v>
      </c>
      <c r="I59" s="1185">
        <f t="shared" si="16"/>
        <v>45413</v>
      </c>
      <c r="J59" s="1185">
        <f t="shared" si="16"/>
        <v>45383</v>
      </c>
      <c r="K59" s="1185">
        <f t="shared" si="16"/>
        <v>45352</v>
      </c>
      <c r="L59" s="1185">
        <f t="shared" si="16"/>
        <v>45323</v>
      </c>
      <c r="M59" s="1185">
        <f t="shared" si="16"/>
        <v>45292</v>
      </c>
      <c r="N59" s="1185">
        <f t="shared" si="16"/>
        <v>45261</v>
      </c>
      <c r="O59" s="1185">
        <f t="shared" si="16"/>
        <v>45231</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t="e">
        <f>IF(C2="——",C43,ROUND(B2*10000/D3,0))</f>
        <v>#DIV/0!</v>
      </c>
      <c r="C3" s="354" t="s">
        <v>1768</v>
      </c>
      <c r="D3" s="353">
        <f>IF(D1="",'数据-汇总表'!E3,SUMIF('数据-汇总表'!$C19:$C33,D1,'数据-汇总表'!$E19:$E33))</f>
        <v>0</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913"/>
      <c r="M4" s="914"/>
      <c r="N4" s="914"/>
      <c r="O4" s="914"/>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ht="15">
      <c r="A5" s="358"/>
      <c r="B5" s="359"/>
      <c r="C5" s="3698" t="s">
        <v>1673</v>
      </c>
      <c r="D5" s="3699"/>
      <c r="E5" s="3705" t="s">
        <v>1674</v>
      </c>
      <c r="F5" s="3706"/>
      <c r="G5" s="3698" t="s">
        <v>1675</v>
      </c>
      <c r="H5" s="3699"/>
      <c r="I5" s="3698" t="s">
        <v>1676</v>
      </c>
      <c r="J5" s="3699"/>
      <c r="K5" s="559"/>
      <c r="L5" s="913"/>
      <c r="M5" s="914"/>
      <c r="N5" s="914"/>
      <c r="O5" s="914"/>
      <c r="P5" s="3685"/>
      <c r="Q5" s="3686"/>
      <c r="R5" s="3691"/>
      <c r="S5" s="3692"/>
      <c r="T5" s="3691"/>
      <c r="U5" s="3692"/>
      <c r="V5" s="3695"/>
      <c r="W5" s="3695"/>
      <c r="X5" s="1355"/>
      <c r="Y5" s="3691"/>
      <c r="Z5" s="3692"/>
      <c r="AA5" s="3677"/>
      <c r="AB5" s="3677"/>
      <c r="AC5" s="3677"/>
    </row>
    <row r="6" spans="1:29" ht="15.75" thickBot="1">
      <c r="A6" s="360"/>
      <c r="B6" s="361"/>
      <c r="C6" s="3696" t="s">
        <v>1677</v>
      </c>
      <c r="D6" s="3697"/>
      <c r="E6" s="3703" t="s">
        <v>1677</v>
      </c>
      <c r="F6" s="3704"/>
      <c r="G6" s="3696" t="s">
        <v>1677</v>
      </c>
      <c r="H6" s="3697"/>
      <c r="I6" s="3696" t="s">
        <v>1677</v>
      </c>
      <c r="J6" s="3697"/>
      <c r="K6" s="559" t="s">
        <v>1678</v>
      </c>
      <c r="L6" s="913"/>
      <c r="M6" s="914"/>
      <c r="N6" s="914"/>
      <c r="O6" s="914"/>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45604</v>
      </c>
      <c r="D7" s="365">
        <v>100</v>
      </c>
      <c r="E7" s="366"/>
      <c r="F7" s="367">
        <f>SUMIF(52:52,YEAR(E7)&amp;"-"&amp;MONTH(E7),53:53)</f>
        <v>0</v>
      </c>
      <c r="G7" s="366"/>
      <c r="H7" s="365">
        <f>SUMIF(52:52,YEAR(G7)&amp;"-"&amp;MONTH(G7),53:53)</f>
        <v>0</v>
      </c>
      <c r="I7" s="366"/>
      <c r="J7" s="365">
        <f>SUMIF(52:52,YEAR(I7)&amp;"-"&amp;MONTH(I7),53:53)</f>
        <v>0</v>
      </c>
      <c r="K7" s="560"/>
      <c r="L7" s="915"/>
      <c r="M7" s="916"/>
      <c r="N7" s="916"/>
      <c r="O7" s="916"/>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0" t="s">
        <v>1683</v>
      </c>
      <c r="Q8" s="3701"/>
      <c r="R8" s="701" t="s">
        <v>14</v>
      </c>
      <c r="S8" s="702">
        <f t="shared" si="0"/>
        <v>100</v>
      </c>
      <c r="T8" s="701" t="s">
        <v>14</v>
      </c>
      <c r="U8" s="702">
        <f t="shared" si="1"/>
        <v>100</v>
      </c>
      <c r="V8" s="701" t="s">
        <v>14</v>
      </c>
      <c r="W8" s="702">
        <f t="shared" si="2"/>
        <v>100</v>
      </c>
      <c r="X8" s="703"/>
      <c r="Y8" s="3700" t="s">
        <v>1683</v>
      </c>
      <c r="Z8" s="3701"/>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4"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64"/>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4"/>
      <c r="Q11" s="1343" t="str">
        <f t="shared" si="6"/>
        <v>容积率</v>
      </c>
      <c r="R11" s="701" t="s">
        <v>14</v>
      </c>
      <c r="S11" s="702">
        <f t="shared" si="0"/>
        <v>100</v>
      </c>
      <c r="T11" s="701" t="s">
        <v>14</v>
      </c>
      <c r="U11" s="702">
        <f t="shared" si="1"/>
        <v>100</v>
      </c>
      <c r="V11" s="701" t="s">
        <v>14</v>
      </c>
      <c r="W11" s="702">
        <f t="shared" si="2"/>
        <v>100</v>
      </c>
      <c r="X11" s="703"/>
      <c r="Y11" s="353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4"/>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6" t="s">
        <v>1691</v>
      </c>
      <c r="Q15" s="1352" t="str">
        <f t="shared" si="6"/>
        <v>产业集聚程度</v>
      </c>
      <c r="R15" s="705" t="s">
        <v>14</v>
      </c>
      <c r="S15" s="706">
        <f t="shared" si="0"/>
        <v>100</v>
      </c>
      <c r="T15" s="705" t="s">
        <v>14</v>
      </c>
      <c r="U15" s="706">
        <f t="shared" si="1"/>
        <v>100</v>
      </c>
      <c r="V15" s="705" t="s">
        <v>14</v>
      </c>
      <c r="W15" s="706">
        <f t="shared" si="2"/>
        <v>100</v>
      </c>
      <c r="X15" s="1355"/>
      <c r="Y15" s="3666"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7"/>
      <c r="Q16" s="1352"/>
      <c r="R16" s="705"/>
      <c r="S16" s="706"/>
      <c r="T16" s="705"/>
      <c r="U16" s="706"/>
      <c r="V16" s="705"/>
      <c r="W16" s="706"/>
      <c r="X16" s="1355"/>
      <c r="Y16" s="3667"/>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7"/>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7"/>
      <c r="Q18" s="1352"/>
      <c r="R18" s="705"/>
      <c r="S18" s="706"/>
      <c r="T18" s="705"/>
      <c r="U18" s="706"/>
      <c r="V18" s="705"/>
      <c r="W18" s="706"/>
      <c r="X18" s="1355"/>
      <c r="Y18" s="3667"/>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7"/>
      <c r="Q19" s="1352" t="str">
        <f>B19</f>
        <v>公共配套设施</v>
      </c>
      <c r="R19" s="705" t="s">
        <v>14</v>
      </c>
      <c r="S19" s="706">
        <f>F19</f>
        <v>100</v>
      </c>
      <c r="T19" s="705" t="s">
        <v>14</v>
      </c>
      <c r="U19" s="706">
        <f>H19</f>
        <v>100</v>
      </c>
      <c r="V19" s="705" t="s">
        <v>14</v>
      </c>
      <c r="W19" s="706">
        <f>J19</f>
        <v>100</v>
      </c>
      <c r="X19" s="1355"/>
      <c r="Y19" s="366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7"/>
      <c r="Q20" s="1352"/>
      <c r="R20" s="705"/>
      <c r="S20" s="706"/>
      <c r="T20" s="705"/>
      <c r="U20" s="706"/>
      <c r="V20" s="705"/>
      <c r="W20" s="706"/>
      <c r="X20" s="1355"/>
      <c r="Y20" s="3667"/>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7"/>
      <c r="Q21" s="1352" t="str">
        <f>B21</f>
        <v>基础设施水平</v>
      </c>
      <c r="R21" s="705" t="s">
        <v>14</v>
      </c>
      <c r="S21" s="706">
        <f>F21</f>
        <v>100</v>
      </c>
      <c r="T21" s="705" t="s">
        <v>14</v>
      </c>
      <c r="U21" s="706">
        <f>H21</f>
        <v>100</v>
      </c>
      <c r="V21" s="705" t="s">
        <v>14</v>
      </c>
      <c r="W21" s="706">
        <f>J21</f>
        <v>100</v>
      </c>
      <c r="X21" s="1355"/>
      <c r="Y21" s="366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7"/>
      <c r="Q22" s="1352"/>
      <c r="R22" s="705"/>
      <c r="S22" s="706"/>
      <c r="T22" s="705"/>
      <c r="U22" s="706"/>
      <c r="V22" s="705"/>
      <c r="W22" s="706"/>
      <c r="X22" s="1355"/>
      <c r="Y22" s="3667"/>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7"/>
      <c r="Q23" s="1352" t="str">
        <f>B23</f>
        <v>环境质量</v>
      </c>
      <c r="R23" s="705" t="s">
        <v>14</v>
      </c>
      <c r="S23" s="706">
        <f>F23</f>
        <v>100</v>
      </c>
      <c r="T23" s="705" t="s">
        <v>14</v>
      </c>
      <c r="U23" s="706">
        <f>H23</f>
        <v>100</v>
      </c>
      <c r="V23" s="705" t="s">
        <v>14</v>
      </c>
      <c r="W23" s="706">
        <f>J23</f>
        <v>100</v>
      </c>
      <c r="X23" s="1355"/>
      <c r="Y23" s="366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7"/>
      <c r="Q24" s="1352"/>
      <c r="R24" s="705"/>
      <c r="S24" s="706"/>
      <c r="T24" s="705"/>
      <c r="U24" s="706"/>
      <c r="V24" s="705"/>
      <c r="W24" s="706"/>
      <c r="X24" s="1355"/>
      <c r="Y24" s="366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7"/>
      <c r="Q25" s="1352">
        <f>B25</f>
        <v>111</v>
      </c>
      <c r="R25" s="705" t="s">
        <v>14</v>
      </c>
      <c r="S25" s="706">
        <f>F25</f>
        <v>100</v>
      </c>
      <c r="T25" s="705" t="s">
        <v>14</v>
      </c>
      <c r="U25" s="706">
        <f>H25</f>
        <v>100</v>
      </c>
      <c r="V25" s="705" t="s">
        <v>14</v>
      </c>
      <c r="W25" s="706">
        <f>J25</f>
        <v>100</v>
      </c>
      <c r="X25" s="1355"/>
      <c r="Y25" s="366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7"/>
      <c r="Q26" s="1352">
        <f t="shared" ref="Q26:Q40" si="11">B26</f>
        <v>111</v>
      </c>
      <c r="R26" s="705" t="s">
        <v>14</v>
      </c>
      <c r="S26" s="706">
        <f>F26</f>
        <v>100</v>
      </c>
      <c r="T26" s="705" t="s">
        <v>14</v>
      </c>
      <c r="U26" s="706">
        <f>H26</f>
        <v>100</v>
      </c>
      <c r="V26" s="705" t="s">
        <v>14</v>
      </c>
      <c r="W26" s="706">
        <f>J26</f>
        <v>100</v>
      </c>
      <c r="X26" s="1355"/>
      <c r="Y26" s="366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7"/>
      <c r="Q27" s="1343">
        <f t="shared" si="11"/>
        <v>111</v>
      </c>
      <c r="R27" s="701" t="s">
        <v>14</v>
      </c>
      <c r="S27" s="702">
        <f>F27</f>
        <v>100</v>
      </c>
      <c r="T27" s="701" t="s">
        <v>14</v>
      </c>
      <c r="U27" s="702">
        <f>H27</f>
        <v>100</v>
      </c>
      <c r="V27" s="701" t="s">
        <v>14</v>
      </c>
      <c r="W27" s="702">
        <f>J27</f>
        <v>100</v>
      </c>
      <c r="X27" s="703"/>
      <c r="Y27" s="366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7"/>
      <c r="Q28" s="1352">
        <f t="shared" si="11"/>
        <v>111</v>
      </c>
      <c r="R28" s="705" t="s">
        <v>14</v>
      </c>
      <c r="S28" s="706">
        <f t="shared" ref="S28:S40" si="12">F28</f>
        <v>100</v>
      </c>
      <c r="T28" s="705" t="s">
        <v>14</v>
      </c>
      <c r="U28" s="706">
        <f t="shared" ref="U28:U40" si="13">H28</f>
        <v>100</v>
      </c>
      <c r="V28" s="705" t="s">
        <v>14</v>
      </c>
      <c r="W28" s="706">
        <f t="shared" ref="W28:W40" si="14">J28</f>
        <v>100</v>
      </c>
      <c r="X28" s="1355"/>
      <c r="Y28" s="3667"/>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2" t="s">
        <v>1696</v>
      </c>
      <c r="Q29" s="1352" t="str">
        <f t="shared" si="11"/>
        <v>建筑类型</v>
      </c>
      <c r="R29" s="705" t="s">
        <v>14</v>
      </c>
      <c r="S29" s="706">
        <f t="shared" si="12"/>
        <v>100</v>
      </c>
      <c r="T29" s="705" t="s">
        <v>14</v>
      </c>
      <c r="U29" s="706">
        <f t="shared" si="13"/>
        <v>100</v>
      </c>
      <c r="V29" s="705" t="s">
        <v>14</v>
      </c>
      <c r="W29" s="706">
        <f t="shared" si="14"/>
        <v>100</v>
      </c>
      <c r="X29" s="1355"/>
      <c r="Y29" s="367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1"/>
      <c r="Q30" s="707" t="str">
        <f t="shared" si="11"/>
        <v>项目建筑规模</v>
      </c>
      <c r="R30" s="708" t="s">
        <v>14</v>
      </c>
      <c r="S30" s="709" t="e">
        <f t="shared" si="12"/>
        <v>#N/A</v>
      </c>
      <c r="T30" s="708" t="s">
        <v>14</v>
      </c>
      <c r="U30" s="709" t="e">
        <f t="shared" si="13"/>
        <v>#N/A</v>
      </c>
      <c r="V30" s="708" t="s">
        <v>14</v>
      </c>
      <c r="W30" s="709" t="e">
        <f t="shared" si="14"/>
        <v>#N/A</v>
      </c>
      <c r="X30" s="710"/>
      <c r="Y30" s="367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1"/>
      <c r="Q31" s="1352" t="str">
        <f t="shared" si="11"/>
        <v>建筑结构</v>
      </c>
      <c r="R31" s="705" t="s">
        <v>14</v>
      </c>
      <c r="S31" s="706">
        <f t="shared" si="12"/>
        <v>100</v>
      </c>
      <c r="T31" s="705" t="s">
        <v>14</v>
      </c>
      <c r="U31" s="706">
        <f t="shared" si="13"/>
        <v>100</v>
      </c>
      <c r="V31" s="705" t="s">
        <v>14</v>
      </c>
      <c r="W31" s="706">
        <f t="shared" si="14"/>
        <v>100</v>
      </c>
      <c r="X31" s="1355"/>
      <c r="Y31" s="367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1"/>
      <c r="Q32" s="1352" t="str">
        <f t="shared" si="11"/>
        <v>公共部分装修</v>
      </c>
      <c r="R32" s="705" t="s">
        <v>14</v>
      </c>
      <c r="S32" s="706">
        <f t="shared" si="12"/>
        <v>100</v>
      </c>
      <c r="T32" s="705" t="s">
        <v>14</v>
      </c>
      <c r="U32" s="706">
        <f t="shared" si="13"/>
        <v>100</v>
      </c>
      <c r="V32" s="705" t="s">
        <v>14</v>
      </c>
      <c r="W32" s="706">
        <f t="shared" si="14"/>
        <v>100</v>
      </c>
      <c r="X32" s="1355"/>
      <c r="Y32" s="3671"/>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1"/>
      <c r="Q33" s="1352" t="str">
        <f t="shared" si="11"/>
        <v>成新度</v>
      </c>
      <c r="R33" s="705" t="s">
        <v>14</v>
      </c>
      <c r="S33" s="706" t="e">
        <f t="shared" si="12"/>
        <v>#N/A</v>
      </c>
      <c r="T33" s="705" t="s">
        <v>14</v>
      </c>
      <c r="U33" s="706" t="e">
        <f t="shared" si="13"/>
        <v>#N/A</v>
      </c>
      <c r="V33" s="705" t="s">
        <v>14</v>
      </c>
      <c r="W33" s="706" t="e">
        <f t="shared" si="14"/>
        <v>#N/A</v>
      </c>
      <c r="X33" s="1355"/>
      <c r="Y33" s="3671"/>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1"/>
      <c r="Q34" s="1343" t="str">
        <f t="shared" si="11"/>
        <v>物业管理</v>
      </c>
      <c r="R34" s="701" t="s">
        <v>14</v>
      </c>
      <c r="S34" s="702">
        <f t="shared" si="12"/>
        <v>100</v>
      </c>
      <c r="T34" s="701" t="s">
        <v>14</v>
      </c>
      <c r="U34" s="702">
        <f t="shared" si="13"/>
        <v>100</v>
      </c>
      <c r="V34" s="701" t="s">
        <v>14</v>
      </c>
      <c r="W34" s="702">
        <f t="shared" si="14"/>
        <v>100</v>
      </c>
      <c r="X34" s="703"/>
      <c r="Y34" s="367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1" t="s">
        <v>1696</v>
      </c>
      <c r="Q35" s="1352" t="str">
        <f t="shared" si="11"/>
        <v>市政基础设施</v>
      </c>
      <c r="R35" s="705" t="s">
        <v>14</v>
      </c>
      <c r="S35" s="706">
        <f t="shared" si="12"/>
        <v>100</v>
      </c>
      <c r="T35" s="705" t="s">
        <v>14</v>
      </c>
      <c r="U35" s="706">
        <f t="shared" si="13"/>
        <v>100</v>
      </c>
      <c r="V35" s="705" t="s">
        <v>14</v>
      </c>
      <c r="W35" s="706">
        <f t="shared" si="14"/>
        <v>100</v>
      </c>
      <c r="X35" s="1355"/>
      <c r="Y35" s="367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1"/>
      <c r="Q36" s="1352" t="str">
        <f t="shared" si="11"/>
        <v>内部装修</v>
      </c>
      <c r="R36" s="705" t="s">
        <v>14</v>
      </c>
      <c r="S36" s="706">
        <f t="shared" si="12"/>
        <v>100</v>
      </c>
      <c r="T36" s="705" t="s">
        <v>14</v>
      </c>
      <c r="U36" s="706">
        <f t="shared" si="13"/>
        <v>100</v>
      </c>
      <c r="V36" s="705" t="s">
        <v>14</v>
      </c>
      <c r="W36" s="706">
        <f t="shared" si="14"/>
        <v>100</v>
      </c>
      <c r="X36" s="1355"/>
      <c r="Y36" s="367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1"/>
      <c r="Q37" s="1352" t="str">
        <f t="shared" si="11"/>
        <v>内部装修状况</v>
      </c>
      <c r="R37" s="705" t="s">
        <v>14</v>
      </c>
      <c r="S37" s="706">
        <f t="shared" si="12"/>
        <v>100</v>
      </c>
      <c r="T37" s="705" t="s">
        <v>14</v>
      </c>
      <c r="U37" s="706">
        <f t="shared" si="13"/>
        <v>100</v>
      </c>
      <c r="V37" s="705" t="s">
        <v>14</v>
      </c>
      <c r="W37" s="706">
        <f t="shared" si="14"/>
        <v>100</v>
      </c>
      <c r="X37" s="1355"/>
      <c r="Y37" s="367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1"/>
      <c r="Q38" s="707">
        <f t="shared" si="11"/>
        <v>111</v>
      </c>
      <c r="R38" s="708" t="s">
        <v>14</v>
      </c>
      <c r="S38" s="709">
        <f t="shared" si="12"/>
        <v>100</v>
      </c>
      <c r="T38" s="708" t="s">
        <v>14</v>
      </c>
      <c r="U38" s="709">
        <f t="shared" si="13"/>
        <v>100</v>
      </c>
      <c r="V38" s="708" t="s">
        <v>14</v>
      </c>
      <c r="W38" s="709">
        <f t="shared" si="14"/>
        <v>100</v>
      </c>
      <c r="X38" s="710"/>
      <c r="Y38" s="367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1"/>
      <c r="Q39" s="1352">
        <f t="shared" si="11"/>
        <v>111</v>
      </c>
      <c r="R39" s="705" t="s">
        <v>14</v>
      </c>
      <c r="S39" s="706">
        <f t="shared" si="12"/>
        <v>100</v>
      </c>
      <c r="T39" s="705" t="s">
        <v>14</v>
      </c>
      <c r="U39" s="706">
        <f t="shared" si="13"/>
        <v>100</v>
      </c>
      <c r="V39" s="705" t="s">
        <v>14</v>
      </c>
      <c r="W39" s="706">
        <f t="shared" si="14"/>
        <v>100</v>
      </c>
      <c r="X39" s="1355"/>
      <c r="Y39" s="367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2"/>
      <c r="Q40" s="1352">
        <f t="shared" si="11"/>
        <v>111</v>
      </c>
      <c r="R40" s="705" t="s">
        <v>14</v>
      </c>
      <c r="S40" s="706">
        <f t="shared" si="12"/>
        <v>100</v>
      </c>
      <c r="T40" s="705" t="s">
        <v>14</v>
      </c>
      <c r="U40" s="706">
        <f t="shared" si="13"/>
        <v>100</v>
      </c>
      <c r="V40" s="705" t="s">
        <v>14</v>
      </c>
      <c r="W40" s="706">
        <f t="shared" si="14"/>
        <v>100</v>
      </c>
      <c r="X40" s="1355"/>
      <c r="Y40" s="3672"/>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4" t="str">
        <f>A41</f>
        <v>成交单价（元/平方米）</v>
      </c>
      <c r="Q41" s="3664"/>
      <c r="R41" s="3665">
        <f>E41</f>
        <v>0</v>
      </c>
      <c r="S41" s="3665"/>
      <c r="T41" s="3665">
        <f>G41</f>
        <v>0</v>
      </c>
      <c r="U41" s="3665"/>
      <c r="V41" s="3665">
        <f>I41</f>
        <v>0</v>
      </c>
      <c r="W41" s="3665"/>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4" t="str">
        <f>A42</f>
        <v>比较价值（元/平方米）</v>
      </c>
      <c r="Q42" s="3664"/>
      <c r="R42" s="3665" t="e">
        <f>IF(F1="售价",ROUND(PRODUCT(R41,AA7:AA40),0),ROUND(PRODUCT(R41,AA7:AA40),1))</f>
        <v>#DIV/0!</v>
      </c>
      <c r="S42" s="3665"/>
      <c r="T42" s="3665" t="e">
        <f>IF(F1="售价",ROUND(PRODUCT(T41,AB7:AB40),0),ROUND(PRODUCT(T41,AB7:AB40),1))</f>
        <v>#DIV/0!</v>
      </c>
      <c r="U42" s="3665"/>
      <c r="V42" s="3665" t="e">
        <f>IF(F1="售价",ROUND(PRODUCT(V41,AC7:AC40),0),ROUND(PRODUCT(V41,AC7:AC40),1))</f>
        <v>#DIV/0!</v>
      </c>
      <c r="W42" s="3665"/>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1" t="str">
        <f>A43</f>
        <v>估价对象XX用房的比较价值（楼面单价，元/平方米）</v>
      </c>
      <c r="Q43" s="3662"/>
      <c r="R43" s="3663" t="e">
        <f>IF(F1="售价",ROUND(IF(D42="简单平均",AVERAGE(R42:V42),R42*F42+T42*H42+V42*J42),0),ROUND(IF(D42="简单平均",AVERAGE(R42:V42),R42*F42+T42*H42+V42*J42),1))</f>
        <v>#DIV/0!</v>
      </c>
      <c r="S43" s="3663"/>
      <c r="T43" s="3663"/>
      <c r="U43" s="3663"/>
      <c r="V43" s="3663"/>
      <c r="W43" s="3663"/>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2024-11</v>
      </c>
      <c r="D52" s="1185">
        <f>EDATE(C52,-1)</f>
        <v>45566</v>
      </c>
      <c r="E52" s="1185">
        <f t="shared" ref="E52:O52" si="16">EDATE(D52,-1)</f>
        <v>45536</v>
      </c>
      <c r="F52" s="1185">
        <f t="shared" si="16"/>
        <v>45505</v>
      </c>
      <c r="G52" s="1185">
        <f t="shared" si="16"/>
        <v>45474</v>
      </c>
      <c r="H52" s="1185">
        <f t="shared" si="16"/>
        <v>45444</v>
      </c>
      <c r="I52" s="1185">
        <f t="shared" si="16"/>
        <v>45413</v>
      </c>
      <c r="J52" s="1185">
        <f t="shared" si="16"/>
        <v>45383</v>
      </c>
      <c r="K52" s="1185">
        <f t="shared" si="16"/>
        <v>45352</v>
      </c>
      <c r="L52" s="1185">
        <f t="shared" si="16"/>
        <v>45323</v>
      </c>
      <c r="M52" s="1185">
        <f t="shared" si="16"/>
        <v>45292</v>
      </c>
      <c r="N52" s="1185">
        <f t="shared" si="16"/>
        <v>45261</v>
      </c>
      <c r="O52" s="1185">
        <f t="shared" si="16"/>
        <v>45231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3335</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77"/>
      <c r="AC5" s="3677"/>
    </row>
    <row r="6" spans="1:29" ht="15.75" thickBot="1">
      <c r="A6" s="360"/>
      <c r="B6" s="361"/>
      <c r="C6" s="3696" t="s">
        <v>1677</v>
      </c>
      <c r="D6" s="3697"/>
      <c r="E6" s="3703" t="s">
        <v>1677</v>
      </c>
      <c r="F6" s="3704"/>
      <c r="G6" s="3696" t="s">
        <v>1677</v>
      </c>
      <c r="H6" s="3697"/>
      <c r="I6" s="3696" t="s">
        <v>1677</v>
      </c>
      <c r="J6" s="3697"/>
      <c r="K6" s="559" t="s">
        <v>1678</v>
      </c>
      <c r="L6" s="2715"/>
      <c r="M6" s="2716"/>
      <c r="N6" s="2716"/>
      <c r="O6" s="2716"/>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45604</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0" t="s">
        <v>1680</v>
      </c>
      <c r="Q7" s="3702"/>
      <c r="R7" s="701" t="s">
        <v>14</v>
      </c>
      <c r="S7" s="702">
        <f t="shared" ref="S7:S14" si="0">F7</f>
        <v>0</v>
      </c>
      <c r="T7" s="701" t="s">
        <v>14</v>
      </c>
      <c r="U7" s="702">
        <f t="shared" ref="U7:U14" si="1">H7</f>
        <v>0</v>
      </c>
      <c r="V7" s="701" t="s">
        <v>14</v>
      </c>
      <c r="W7" s="702">
        <f t="shared" ref="W7:W14"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0" t="s">
        <v>1683</v>
      </c>
      <c r="Q8" s="3701"/>
      <c r="R8" s="701" t="s">
        <v>14</v>
      </c>
      <c r="S8" s="702">
        <f t="shared" si="0"/>
        <v>100</v>
      </c>
      <c r="T8" s="701" t="s">
        <v>14</v>
      </c>
      <c r="U8" s="702">
        <f t="shared" si="1"/>
        <v>100</v>
      </c>
      <c r="V8" s="701" t="s">
        <v>14</v>
      </c>
      <c r="W8" s="702">
        <f t="shared" si="2"/>
        <v>100</v>
      </c>
      <c r="X8" s="703"/>
      <c r="Y8" s="3700" t="s">
        <v>1683</v>
      </c>
      <c r="Z8" s="3701"/>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64" t="s">
        <v>1686</v>
      </c>
      <c r="Q9" s="1343" t="str">
        <f t="shared" ref="Q9:Q14" si="6">B9</f>
        <v>用途</v>
      </c>
      <c r="R9" s="701" t="s">
        <v>14</v>
      </c>
      <c r="S9" s="702">
        <f t="shared" si="0"/>
        <v>100</v>
      </c>
      <c r="T9" s="701" t="s">
        <v>14</v>
      </c>
      <c r="U9" s="702">
        <f t="shared" si="1"/>
        <v>100</v>
      </c>
      <c r="V9" s="701" t="s">
        <v>14</v>
      </c>
      <c r="W9" s="702">
        <f t="shared" si="2"/>
        <v>100</v>
      </c>
      <c r="X9" s="703"/>
      <c r="Y9" s="353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64"/>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64"/>
      <c r="Q11" s="1343">
        <f t="shared" si="6"/>
        <v>111</v>
      </c>
      <c r="R11" s="701" t="s">
        <v>14</v>
      </c>
      <c r="S11" s="702">
        <f t="shared" si="0"/>
        <v>100</v>
      </c>
      <c r="T11" s="701" t="s">
        <v>14</v>
      </c>
      <c r="U11" s="702">
        <f t="shared" si="1"/>
        <v>100</v>
      </c>
      <c r="V11" s="701" t="s">
        <v>14</v>
      </c>
      <c r="W11" s="702">
        <f t="shared" si="2"/>
        <v>100</v>
      </c>
      <c r="X11" s="703"/>
      <c r="Y11" s="353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66" t="s">
        <v>1691</v>
      </c>
      <c r="Q14" s="1352" t="str">
        <f t="shared" si="6"/>
        <v>交通便捷度</v>
      </c>
      <c r="R14" s="705" t="s">
        <v>14</v>
      </c>
      <c r="S14" s="706">
        <f t="shared" si="0"/>
        <v>100</v>
      </c>
      <c r="T14" s="705" t="s">
        <v>14</v>
      </c>
      <c r="U14" s="706">
        <f t="shared" si="1"/>
        <v>100</v>
      </c>
      <c r="V14" s="705" t="s">
        <v>14</v>
      </c>
      <c r="W14" s="706">
        <f t="shared" si="2"/>
        <v>100</v>
      </c>
      <c r="X14" s="1355"/>
      <c r="Y14" s="366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67"/>
      <c r="Q15" s="1352"/>
      <c r="R15" s="705"/>
      <c r="S15" s="706"/>
      <c r="T15" s="705"/>
      <c r="U15" s="706"/>
      <c r="V15" s="705"/>
      <c r="W15" s="706"/>
      <c r="X15" s="1355"/>
      <c r="Y15" s="3667"/>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67"/>
      <c r="Q16" s="1352" t="str">
        <f>B16</f>
        <v>公共配套设施</v>
      </c>
      <c r="R16" s="705" t="s">
        <v>14</v>
      </c>
      <c r="S16" s="706">
        <f>F16</f>
        <v>100</v>
      </c>
      <c r="T16" s="705" t="s">
        <v>14</v>
      </c>
      <c r="U16" s="706">
        <f>H16</f>
        <v>100</v>
      </c>
      <c r="V16" s="705" t="s">
        <v>14</v>
      </c>
      <c r="W16" s="706">
        <f>J16</f>
        <v>100</v>
      </c>
      <c r="X16" s="1355"/>
      <c r="Y16" s="366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67"/>
      <c r="Q17" s="1352"/>
      <c r="R17" s="705"/>
      <c r="S17" s="706"/>
      <c r="T17" s="705"/>
      <c r="U17" s="706"/>
      <c r="V17" s="705"/>
      <c r="W17" s="706"/>
      <c r="X17" s="1355"/>
      <c r="Y17" s="3667"/>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67"/>
      <c r="Q18" s="1352" t="str">
        <f>B18</f>
        <v>基础设施水平</v>
      </c>
      <c r="R18" s="705" t="s">
        <v>14</v>
      </c>
      <c r="S18" s="706">
        <f>F18</f>
        <v>100</v>
      </c>
      <c r="T18" s="705" t="s">
        <v>14</v>
      </c>
      <c r="U18" s="706">
        <f>H18</f>
        <v>100</v>
      </c>
      <c r="V18" s="705" t="s">
        <v>14</v>
      </c>
      <c r="W18" s="706">
        <f>J18</f>
        <v>100</v>
      </c>
      <c r="X18" s="1355"/>
      <c r="Y18" s="366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67"/>
      <c r="Q19" s="1352"/>
      <c r="R19" s="705"/>
      <c r="S19" s="706"/>
      <c r="T19" s="705"/>
      <c r="U19" s="706"/>
      <c r="V19" s="705"/>
      <c r="W19" s="706"/>
      <c r="X19" s="1355"/>
      <c r="Y19" s="3667"/>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67"/>
      <c r="Q20" s="1352" t="str">
        <f>B20</f>
        <v>自然及人文环境</v>
      </c>
      <c r="R20" s="705" t="s">
        <v>14</v>
      </c>
      <c r="S20" s="706">
        <f>F20</f>
        <v>100</v>
      </c>
      <c r="T20" s="705" t="s">
        <v>14</v>
      </c>
      <c r="U20" s="706">
        <f>H20</f>
        <v>100</v>
      </c>
      <c r="V20" s="705" t="s">
        <v>14</v>
      </c>
      <c r="W20" s="706">
        <f>J20</f>
        <v>100</v>
      </c>
      <c r="X20" s="1355"/>
      <c r="Y20" s="366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67"/>
      <c r="Q21" s="1352"/>
      <c r="R21" s="705"/>
      <c r="S21" s="706"/>
      <c r="T21" s="705"/>
      <c r="U21" s="706"/>
      <c r="V21" s="705"/>
      <c r="W21" s="706"/>
      <c r="X21" s="1355"/>
      <c r="Y21" s="3667"/>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67"/>
      <c r="Q22" s="1352" t="str">
        <f>B22</f>
        <v>楼层</v>
      </c>
      <c r="R22" s="705" t="s">
        <v>14</v>
      </c>
      <c r="S22" s="706">
        <f>F22</f>
        <v>100</v>
      </c>
      <c r="T22" s="705" t="s">
        <v>14</v>
      </c>
      <c r="U22" s="706">
        <f>H22</f>
        <v>100</v>
      </c>
      <c r="V22" s="705" t="s">
        <v>14</v>
      </c>
      <c r="W22" s="706">
        <f>J22</f>
        <v>100</v>
      </c>
      <c r="X22" s="1355"/>
      <c r="Y22" s="366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67"/>
      <c r="Q23" s="1352">
        <f>B23</f>
        <v>111</v>
      </c>
      <c r="R23" s="705" t="s">
        <v>14</v>
      </c>
      <c r="S23" s="706">
        <f>F23</f>
        <v>100</v>
      </c>
      <c r="T23" s="705" t="s">
        <v>14</v>
      </c>
      <c r="U23" s="706">
        <f>H23</f>
        <v>100</v>
      </c>
      <c r="V23" s="705" t="s">
        <v>14</v>
      </c>
      <c r="W23" s="706">
        <f>J23</f>
        <v>100</v>
      </c>
      <c r="X23" s="1355"/>
      <c r="Y23" s="366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67"/>
      <c r="Q24" s="1352">
        <f t="shared" ref="Q24:Q36" si="11">B24</f>
        <v>111</v>
      </c>
      <c r="R24" s="705" t="s">
        <v>14</v>
      </c>
      <c r="S24" s="706">
        <f>F24</f>
        <v>100</v>
      </c>
      <c r="T24" s="705" t="s">
        <v>14</v>
      </c>
      <c r="U24" s="706">
        <f>H24</f>
        <v>100</v>
      </c>
      <c r="V24" s="705" t="s">
        <v>14</v>
      </c>
      <c r="W24" s="706">
        <f>J24</f>
        <v>100</v>
      </c>
      <c r="X24" s="1355"/>
      <c r="Y24" s="366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67"/>
      <c r="Q25" s="1343">
        <f t="shared" si="11"/>
        <v>111</v>
      </c>
      <c r="R25" s="701" t="s">
        <v>14</v>
      </c>
      <c r="S25" s="702">
        <f>F25</f>
        <v>100</v>
      </c>
      <c r="T25" s="701" t="s">
        <v>14</v>
      </c>
      <c r="U25" s="702">
        <f>H25</f>
        <v>100</v>
      </c>
      <c r="V25" s="701" t="s">
        <v>14</v>
      </c>
      <c r="W25" s="702">
        <f>J25</f>
        <v>100</v>
      </c>
      <c r="X25" s="703"/>
      <c r="Y25" s="3667"/>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1"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1"/>
      <c r="Q27" s="707" t="str">
        <f t="shared" si="11"/>
        <v>项目停车位配比</v>
      </c>
      <c r="R27" s="708" t="s">
        <v>14</v>
      </c>
      <c r="S27" s="709">
        <f t="shared" si="12"/>
        <v>100</v>
      </c>
      <c r="T27" s="708" t="s">
        <v>14</v>
      </c>
      <c r="U27" s="709">
        <f t="shared" si="13"/>
        <v>100</v>
      </c>
      <c r="V27" s="708" t="s">
        <v>14</v>
      </c>
      <c r="W27" s="709">
        <f t="shared" si="14"/>
        <v>100</v>
      </c>
      <c r="X27" s="710"/>
      <c r="Y27" s="3671"/>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1"/>
      <c r="Q28" s="1352" t="str">
        <f t="shared" si="11"/>
        <v>公共部分装修</v>
      </c>
      <c r="R28" s="705" t="s">
        <v>14</v>
      </c>
      <c r="S28" s="706">
        <f t="shared" si="12"/>
        <v>100</v>
      </c>
      <c r="T28" s="705" t="s">
        <v>14</v>
      </c>
      <c r="U28" s="706">
        <f t="shared" si="13"/>
        <v>100</v>
      </c>
      <c r="V28" s="705" t="s">
        <v>14</v>
      </c>
      <c r="W28" s="706">
        <f t="shared" si="14"/>
        <v>100</v>
      </c>
      <c r="X28" s="1355"/>
      <c r="Y28" s="3671"/>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1"/>
      <c r="Q29" s="1352" t="str">
        <f t="shared" si="11"/>
        <v>成新率</v>
      </c>
      <c r="R29" s="705" t="s">
        <v>14</v>
      </c>
      <c r="S29" s="706" t="e">
        <f t="shared" si="12"/>
        <v>#N/A</v>
      </c>
      <c r="T29" s="705" t="s">
        <v>14</v>
      </c>
      <c r="U29" s="706" t="e">
        <f t="shared" si="13"/>
        <v>#N/A</v>
      </c>
      <c r="V29" s="705" t="s">
        <v>14</v>
      </c>
      <c r="W29" s="706" t="e">
        <f t="shared" si="14"/>
        <v>#N/A</v>
      </c>
      <c r="X29" s="1355"/>
      <c r="Y29" s="3671"/>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1"/>
      <c r="Q30" s="1352" t="str">
        <f t="shared" si="11"/>
        <v>物业等级</v>
      </c>
      <c r="R30" s="705" t="s">
        <v>14</v>
      </c>
      <c r="S30" s="706">
        <f t="shared" si="12"/>
        <v>100</v>
      </c>
      <c r="T30" s="705" t="s">
        <v>14</v>
      </c>
      <c r="U30" s="706">
        <f t="shared" si="13"/>
        <v>100</v>
      </c>
      <c r="V30" s="705" t="s">
        <v>14</v>
      </c>
      <c r="W30" s="706">
        <f t="shared" si="14"/>
        <v>100</v>
      </c>
      <c r="X30" s="1355"/>
      <c r="Y30" s="3671"/>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1"/>
      <c r="Q31" s="1343" t="str">
        <f t="shared" si="11"/>
        <v>停车位面积</v>
      </c>
      <c r="R31" s="701" t="s">
        <v>14</v>
      </c>
      <c r="S31" s="702" t="e">
        <f t="shared" si="12"/>
        <v>#N/A</v>
      </c>
      <c r="T31" s="701" t="s">
        <v>14</v>
      </c>
      <c r="U31" s="702" t="e">
        <f t="shared" si="13"/>
        <v>#N/A</v>
      </c>
      <c r="V31" s="701" t="s">
        <v>14</v>
      </c>
      <c r="W31" s="702" t="e">
        <f t="shared" si="14"/>
        <v>#N/A</v>
      </c>
      <c r="X31" s="703"/>
      <c r="Y31" s="3671"/>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1" t="s">
        <v>1696</v>
      </c>
      <c r="Q32" s="1352" t="str">
        <f t="shared" si="11"/>
        <v>车位类型</v>
      </c>
      <c r="R32" s="705" t="s">
        <v>14</v>
      </c>
      <c r="S32" s="706">
        <f t="shared" si="12"/>
        <v>100</v>
      </c>
      <c r="T32" s="705" t="s">
        <v>14</v>
      </c>
      <c r="U32" s="706">
        <f t="shared" si="13"/>
        <v>100</v>
      </c>
      <c r="V32" s="705" t="s">
        <v>14</v>
      </c>
      <c r="W32" s="706">
        <f t="shared" si="14"/>
        <v>100</v>
      </c>
      <c r="X32" s="1355"/>
      <c r="Y32" s="367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1"/>
      <c r="Q33" s="1352" t="str">
        <f t="shared" si="11"/>
        <v>是否直接入户</v>
      </c>
      <c r="R33" s="705" t="s">
        <v>14</v>
      </c>
      <c r="S33" s="706">
        <f t="shared" si="12"/>
        <v>100</v>
      </c>
      <c r="T33" s="705" t="s">
        <v>14</v>
      </c>
      <c r="U33" s="706">
        <f t="shared" si="13"/>
        <v>100</v>
      </c>
      <c r="V33" s="705" t="s">
        <v>14</v>
      </c>
      <c r="W33" s="706">
        <f t="shared" si="14"/>
        <v>100</v>
      </c>
      <c r="X33" s="1355"/>
      <c r="Y33" s="367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1"/>
      <c r="Q34" s="1352">
        <f t="shared" si="11"/>
        <v>111</v>
      </c>
      <c r="R34" s="705" t="s">
        <v>14</v>
      </c>
      <c r="S34" s="706">
        <f t="shared" si="12"/>
        <v>100</v>
      </c>
      <c r="T34" s="705" t="s">
        <v>14</v>
      </c>
      <c r="U34" s="706">
        <f t="shared" si="13"/>
        <v>100</v>
      </c>
      <c r="V34" s="705" t="s">
        <v>14</v>
      </c>
      <c r="W34" s="706">
        <f t="shared" si="14"/>
        <v>100</v>
      </c>
      <c r="X34" s="1355"/>
      <c r="Y34" s="367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1"/>
      <c r="Q35" s="707">
        <f t="shared" si="11"/>
        <v>111</v>
      </c>
      <c r="R35" s="708" t="s">
        <v>14</v>
      </c>
      <c r="S35" s="709">
        <f t="shared" si="12"/>
        <v>100</v>
      </c>
      <c r="T35" s="708" t="s">
        <v>14</v>
      </c>
      <c r="U35" s="709">
        <f t="shared" si="13"/>
        <v>100</v>
      </c>
      <c r="V35" s="708" t="s">
        <v>14</v>
      </c>
      <c r="W35" s="709">
        <f t="shared" si="14"/>
        <v>100</v>
      </c>
      <c r="X35" s="710"/>
      <c r="Y35" s="367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1"/>
      <c r="Q36" s="1352">
        <f t="shared" si="11"/>
        <v>111</v>
      </c>
      <c r="R36" s="705" t="s">
        <v>14</v>
      </c>
      <c r="S36" s="706">
        <f t="shared" si="12"/>
        <v>100</v>
      </c>
      <c r="T36" s="705" t="s">
        <v>14</v>
      </c>
      <c r="U36" s="706">
        <f t="shared" si="13"/>
        <v>100</v>
      </c>
      <c r="V36" s="705" t="s">
        <v>14</v>
      </c>
      <c r="W36" s="706">
        <f t="shared" si="14"/>
        <v>100</v>
      </c>
      <c r="X36" s="1355"/>
      <c r="Y36" s="3671"/>
      <c r="Z36" s="1356">
        <f t="shared" si="15"/>
        <v>111</v>
      </c>
      <c r="AA36" s="1353">
        <f t="shared" si="3"/>
        <v>1</v>
      </c>
      <c r="AB36" s="1353">
        <f t="shared" si="4"/>
        <v>1</v>
      </c>
      <c r="AC36" s="1353">
        <f t="shared" si="5"/>
        <v>1</v>
      </c>
    </row>
    <row r="37" spans="1:29" ht="15">
      <c r="A37" s="430" t="s">
        <v>1844</v>
      </c>
      <c r="B37" s="1973" t="s">
        <v>3356</v>
      </c>
      <c r="C37" s="1154" t="s">
        <v>0</v>
      </c>
      <c r="D37" s="1155"/>
      <c r="E37" s="1156"/>
      <c r="F37" s="1157"/>
      <c r="G37" s="1158"/>
      <c r="H37" s="1159"/>
      <c r="I37" s="1156"/>
      <c r="J37" s="1159"/>
      <c r="K37" s="568"/>
      <c r="L37" s="2724"/>
      <c r="M37" s="2725"/>
      <c r="N37" s="2716"/>
      <c r="O37" s="2725"/>
      <c r="P37" s="3664" t="str">
        <f>A37</f>
        <v>成交单价</v>
      </c>
      <c r="Q37" s="3664"/>
      <c r="R37" s="3665">
        <f>E37</f>
        <v>0</v>
      </c>
      <c r="S37" s="3665"/>
      <c r="T37" s="3665">
        <f>G37</f>
        <v>0</v>
      </c>
      <c r="U37" s="3665"/>
      <c r="V37" s="3665">
        <f>I37</f>
        <v>0</v>
      </c>
      <c r="W37" s="3665"/>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64" t="str">
        <f>A38</f>
        <v>比较价值（元/平方米）</v>
      </c>
      <c r="Q38" s="3664"/>
      <c r="R38" s="3665" t="e">
        <f>IF(F1="售价",ROUND(PRODUCT(R37,AA7:AA36),0),ROUND(PRODUCT(R37,AA7:AA36),1))</f>
        <v>#DIV/0!</v>
      </c>
      <c r="S38" s="3665"/>
      <c r="T38" s="3665" t="e">
        <f>IF(F1="售价",ROUND(PRODUCT(T37,AB7:AB36),0),ROUND(PRODUCT(T37,AB7:AB36),1))</f>
        <v>#DIV/0!</v>
      </c>
      <c r="U38" s="3665"/>
      <c r="V38" s="3665" t="e">
        <f>IF(F1="售价",ROUND(PRODUCT(V37,AC7:AC36),0),ROUND(PRODUCT(V37,AC7:AC36),1))</f>
        <v>#DIV/0!</v>
      </c>
      <c r="W38" s="3665"/>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1" t="str">
        <f>A39</f>
        <v>估价对象XX用房的比较价值（楼面单价，元/平方米）</v>
      </c>
      <c r="Q39" s="3662"/>
      <c r="R39" s="3723" t="e">
        <f>IF(F1="售价",ROUND(IF(D38="简单平均",AVERAGE(R38:W38),R38*F38+T38*H38+V38*J38),0),ROUND(IF(D38="简单平均",AVERAGE(R38:V38),R38*F38+T38*H38+V38*J38),1))</f>
        <v>#DIV/0!</v>
      </c>
      <c r="S39" s="3723"/>
      <c r="T39" s="3723"/>
      <c r="U39" s="3723"/>
      <c r="V39" s="3723"/>
      <c r="W39" s="372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2024-11</v>
      </c>
      <c r="D48" s="1185">
        <f>EDATE(C48,-1)</f>
        <v>45566</v>
      </c>
      <c r="E48" s="1185">
        <f t="shared" ref="E48:O48" si="16">EDATE(D48,-1)</f>
        <v>45536</v>
      </c>
      <c r="F48" s="1185">
        <f t="shared" si="16"/>
        <v>45505</v>
      </c>
      <c r="G48" s="1185">
        <f t="shared" si="16"/>
        <v>45474</v>
      </c>
      <c r="H48" s="1185">
        <f t="shared" si="16"/>
        <v>45444</v>
      </c>
      <c r="I48" s="1185">
        <f t="shared" si="16"/>
        <v>45413</v>
      </c>
      <c r="J48" s="1185">
        <f t="shared" si="16"/>
        <v>45383</v>
      </c>
      <c r="K48" s="1185">
        <f t="shared" si="16"/>
        <v>45352</v>
      </c>
      <c r="L48" s="1185">
        <f t="shared" si="16"/>
        <v>45323</v>
      </c>
      <c r="M48" s="1185">
        <f t="shared" si="16"/>
        <v>45292</v>
      </c>
      <c r="N48" s="1185">
        <f t="shared" si="16"/>
        <v>45261</v>
      </c>
      <c r="O48" s="1185">
        <f t="shared" si="16"/>
        <v>45231</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77"/>
      <c r="AC5" s="3677"/>
    </row>
    <row r="6" spans="1:29" ht="15.75" thickBot="1">
      <c r="A6" s="360"/>
      <c r="B6" s="361"/>
      <c r="C6" s="3696" t="s">
        <v>1677</v>
      </c>
      <c r="D6" s="3697"/>
      <c r="E6" s="3703" t="s">
        <v>1677</v>
      </c>
      <c r="F6" s="3704"/>
      <c r="G6" s="3696" t="s">
        <v>1677</v>
      </c>
      <c r="H6" s="3697"/>
      <c r="I6" s="3696" t="s">
        <v>1677</v>
      </c>
      <c r="J6" s="3697"/>
      <c r="K6" s="559" t="s">
        <v>1678</v>
      </c>
      <c r="L6" s="2715"/>
      <c r="M6" s="2716"/>
      <c r="N6" s="2716"/>
      <c r="O6" s="2716"/>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45604</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0" t="s">
        <v>1680</v>
      </c>
      <c r="Q7" s="3702"/>
      <c r="R7" s="701" t="s">
        <v>14</v>
      </c>
      <c r="S7" s="702">
        <f t="shared" ref="S7:S14" si="0">F7</f>
        <v>0</v>
      </c>
      <c r="T7" s="701" t="s">
        <v>14</v>
      </c>
      <c r="U7" s="702">
        <f t="shared" ref="U7:U14" si="1">H7</f>
        <v>0</v>
      </c>
      <c r="V7" s="701" t="s">
        <v>14</v>
      </c>
      <c r="W7" s="702">
        <f t="shared" ref="W7:W14" si="2">J7</f>
        <v>0</v>
      </c>
      <c r="X7" s="703"/>
      <c r="Y7" s="3700" t="s">
        <v>1680</v>
      </c>
      <c r="Z7" s="3701"/>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0" t="s">
        <v>1683</v>
      </c>
      <c r="Q8" s="3701"/>
      <c r="R8" s="701" t="s">
        <v>14</v>
      </c>
      <c r="S8" s="702">
        <f t="shared" si="0"/>
        <v>100</v>
      </c>
      <c r="T8" s="701" t="s">
        <v>14</v>
      </c>
      <c r="U8" s="702">
        <f t="shared" si="1"/>
        <v>100</v>
      </c>
      <c r="V8" s="701" t="s">
        <v>14</v>
      </c>
      <c r="W8" s="702">
        <f t="shared" si="2"/>
        <v>100</v>
      </c>
      <c r="X8" s="703"/>
      <c r="Y8" s="3700" t="s">
        <v>1683</v>
      </c>
      <c r="Z8" s="3701"/>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64" t="s">
        <v>1686</v>
      </c>
      <c r="Q9" s="1343" t="str">
        <f t="shared" ref="Q9:Q14" si="6">B9</f>
        <v>用途</v>
      </c>
      <c r="R9" s="701" t="s">
        <v>14</v>
      </c>
      <c r="S9" s="702">
        <f t="shared" si="0"/>
        <v>100</v>
      </c>
      <c r="T9" s="701" t="s">
        <v>14</v>
      </c>
      <c r="U9" s="702">
        <f t="shared" si="1"/>
        <v>100</v>
      </c>
      <c r="V9" s="701" t="s">
        <v>14</v>
      </c>
      <c r="W9" s="702">
        <f t="shared" si="2"/>
        <v>100</v>
      </c>
      <c r="X9" s="703"/>
      <c r="Y9" s="353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64"/>
      <c r="Q10" s="1343" t="str">
        <f t="shared" si="6"/>
        <v>土地使用年限（年）</v>
      </c>
      <c r="R10" s="701" t="s">
        <v>14</v>
      </c>
      <c r="S10" s="702">
        <f t="shared" si="0"/>
        <v>100</v>
      </c>
      <c r="T10" s="701" t="s">
        <v>14</v>
      </c>
      <c r="U10" s="702">
        <f t="shared" si="1"/>
        <v>100</v>
      </c>
      <c r="V10" s="701" t="s">
        <v>14</v>
      </c>
      <c r="W10" s="702">
        <f t="shared" si="2"/>
        <v>100</v>
      </c>
      <c r="X10" s="703"/>
      <c r="Y10" s="353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64"/>
      <c r="Q11" s="1343">
        <f t="shared" si="6"/>
        <v>111</v>
      </c>
      <c r="R11" s="701" t="s">
        <v>14</v>
      </c>
      <c r="S11" s="702">
        <f t="shared" si="0"/>
        <v>100</v>
      </c>
      <c r="T11" s="701" t="s">
        <v>14</v>
      </c>
      <c r="U11" s="702">
        <f t="shared" si="1"/>
        <v>100</v>
      </c>
      <c r="V11" s="701" t="s">
        <v>14</v>
      </c>
      <c r="W11" s="702">
        <f t="shared" si="2"/>
        <v>100</v>
      </c>
      <c r="X11" s="703"/>
      <c r="Y11" s="353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66" t="s">
        <v>1691</v>
      </c>
      <c r="Q14" s="1352" t="str">
        <f t="shared" si="6"/>
        <v>交通便捷度</v>
      </c>
      <c r="R14" s="705" t="s">
        <v>14</v>
      </c>
      <c r="S14" s="706">
        <f t="shared" si="0"/>
        <v>100</v>
      </c>
      <c r="T14" s="705" t="s">
        <v>14</v>
      </c>
      <c r="U14" s="706">
        <f t="shared" si="1"/>
        <v>100</v>
      </c>
      <c r="V14" s="705" t="s">
        <v>14</v>
      </c>
      <c r="W14" s="706">
        <f t="shared" si="2"/>
        <v>100</v>
      </c>
      <c r="X14" s="1355"/>
      <c r="Y14" s="366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67"/>
      <c r="Q15" s="1352"/>
      <c r="R15" s="705"/>
      <c r="S15" s="706"/>
      <c r="T15" s="705"/>
      <c r="U15" s="706"/>
      <c r="V15" s="705"/>
      <c r="W15" s="706"/>
      <c r="X15" s="1355"/>
      <c r="Y15" s="3667"/>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67"/>
      <c r="Q16" s="1352" t="str">
        <f>B16</f>
        <v>公共配套设施</v>
      </c>
      <c r="R16" s="705" t="s">
        <v>14</v>
      </c>
      <c r="S16" s="706">
        <f>F16</f>
        <v>100</v>
      </c>
      <c r="T16" s="705" t="s">
        <v>14</v>
      </c>
      <c r="U16" s="706">
        <f>H16</f>
        <v>100</v>
      </c>
      <c r="V16" s="705" t="s">
        <v>14</v>
      </c>
      <c r="W16" s="706">
        <f>J16</f>
        <v>100</v>
      </c>
      <c r="X16" s="1355"/>
      <c r="Y16" s="366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67"/>
      <c r="Q17" s="1352"/>
      <c r="R17" s="705"/>
      <c r="S17" s="706"/>
      <c r="T17" s="705"/>
      <c r="U17" s="706"/>
      <c r="V17" s="705"/>
      <c r="W17" s="706"/>
      <c r="X17" s="1355"/>
      <c r="Y17" s="3667"/>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67"/>
      <c r="Q18" s="1352" t="str">
        <f>B18</f>
        <v>基础设施水平</v>
      </c>
      <c r="R18" s="705" t="s">
        <v>14</v>
      </c>
      <c r="S18" s="706">
        <f>F18</f>
        <v>100</v>
      </c>
      <c r="T18" s="705" t="s">
        <v>14</v>
      </c>
      <c r="U18" s="706">
        <f>H18</f>
        <v>100</v>
      </c>
      <c r="V18" s="705" t="s">
        <v>14</v>
      </c>
      <c r="W18" s="706">
        <f>J18</f>
        <v>100</v>
      </c>
      <c r="X18" s="1355"/>
      <c r="Y18" s="366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67"/>
      <c r="Q19" s="1352"/>
      <c r="R19" s="705"/>
      <c r="S19" s="706"/>
      <c r="T19" s="705"/>
      <c r="U19" s="706"/>
      <c r="V19" s="705"/>
      <c r="W19" s="706"/>
      <c r="X19" s="1355"/>
      <c r="Y19" s="3667"/>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67"/>
      <c r="Q20" s="1352" t="str">
        <f>B20</f>
        <v>自然及人文环境</v>
      </c>
      <c r="R20" s="705" t="s">
        <v>14</v>
      </c>
      <c r="S20" s="706">
        <f>F20</f>
        <v>100</v>
      </c>
      <c r="T20" s="705" t="s">
        <v>14</v>
      </c>
      <c r="U20" s="706">
        <f>H20</f>
        <v>100</v>
      </c>
      <c r="V20" s="705" t="s">
        <v>14</v>
      </c>
      <c r="W20" s="706">
        <f>J20</f>
        <v>100</v>
      </c>
      <c r="X20" s="1355"/>
      <c r="Y20" s="366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67"/>
      <c r="Q21" s="1352"/>
      <c r="R21" s="705"/>
      <c r="S21" s="706"/>
      <c r="T21" s="705"/>
      <c r="U21" s="706"/>
      <c r="V21" s="705"/>
      <c r="W21" s="706"/>
      <c r="X21" s="1355"/>
      <c r="Y21" s="3667"/>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67"/>
      <c r="Q22" s="1352" t="str">
        <f>B22</f>
        <v>楼层</v>
      </c>
      <c r="R22" s="705" t="s">
        <v>14</v>
      </c>
      <c r="S22" s="706">
        <f>F22</f>
        <v>100</v>
      </c>
      <c r="T22" s="705" t="s">
        <v>14</v>
      </c>
      <c r="U22" s="706">
        <f>H22</f>
        <v>100</v>
      </c>
      <c r="V22" s="705" t="s">
        <v>14</v>
      </c>
      <c r="W22" s="706">
        <f>J22</f>
        <v>100</v>
      </c>
      <c r="X22" s="1355"/>
      <c r="Y22" s="366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67"/>
      <c r="Q23" s="1352">
        <f>B23</f>
        <v>111</v>
      </c>
      <c r="R23" s="705" t="s">
        <v>14</v>
      </c>
      <c r="S23" s="706">
        <f>F23</f>
        <v>100</v>
      </c>
      <c r="T23" s="705" t="s">
        <v>14</v>
      </c>
      <c r="U23" s="706">
        <f>H23</f>
        <v>100</v>
      </c>
      <c r="V23" s="705" t="s">
        <v>14</v>
      </c>
      <c r="W23" s="706">
        <f>J23</f>
        <v>100</v>
      </c>
      <c r="X23" s="1355"/>
      <c r="Y23" s="366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67"/>
      <c r="Q24" s="1352">
        <f t="shared" ref="Q24:Q34" si="11">B24</f>
        <v>111</v>
      </c>
      <c r="R24" s="705" t="s">
        <v>14</v>
      </c>
      <c r="S24" s="706">
        <f>F24</f>
        <v>100</v>
      </c>
      <c r="T24" s="705" t="s">
        <v>14</v>
      </c>
      <c r="U24" s="706">
        <f>H24</f>
        <v>100</v>
      </c>
      <c r="V24" s="705" t="s">
        <v>14</v>
      </c>
      <c r="W24" s="706">
        <f>J24</f>
        <v>100</v>
      </c>
      <c r="X24" s="1355"/>
      <c r="Y24" s="366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67"/>
      <c r="Q25" s="1343">
        <f t="shared" si="11"/>
        <v>111</v>
      </c>
      <c r="R25" s="701" t="s">
        <v>14</v>
      </c>
      <c r="S25" s="702">
        <f>F25</f>
        <v>100</v>
      </c>
      <c r="T25" s="701" t="s">
        <v>14</v>
      </c>
      <c r="U25" s="702">
        <f>H25</f>
        <v>100</v>
      </c>
      <c r="V25" s="701" t="s">
        <v>14</v>
      </c>
      <c r="W25" s="702">
        <f>J25</f>
        <v>100</v>
      </c>
      <c r="X25" s="703"/>
      <c r="Y25" s="3667"/>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1"/>
      <c r="Q27" s="707" t="str">
        <f t="shared" si="11"/>
        <v>成新率</v>
      </c>
      <c r="R27" s="708" t="s">
        <v>14</v>
      </c>
      <c r="S27" s="709" t="e">
        <f t="shared" si="12"/>
        <v>#N/A</v>
      </c>
      <c r="T27" s="708" t="s">
        <v>14</v>
      </c>
      <c r="U27" s="709" t="e">
        <f t="shared" si="13"/>
        <v>#N/A</v>
      </c>
      <c r="V27" s="708" t="s">
        <v>14</v>
      </c>
      <c r="W27" s="709" t="e">
        <f t="shared" si="14"/>
        <v>#N/A</v>
      </c>
      <c r="X27" s="710"/>
      <c r="Y27" s="367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1"/>
      <c r="Q28" s="1352" t="str">
        <f t="shared" si="11"/>
        <v>物业等级</v>
      </c>
      <c r="R28" s="705" t="s">
        <v>14</v>
      </c>
      <c r="S28" s="706">
        <f t="shared" si="12"/>
        <v>100</v>
      </c>
      <c r="T28" s="705" t="s">
        <v>14</v>
      </c>
      <c r="U28" s="706">
        <f t="shared" si="13"/>
        <v>100</v>
      </c>
      <c r="V28" s="705" t="s">
        <v>14</v>
      </c>
      <c r="W28" s="706">
        <f t="shared" si="14"/>
        <v>100</v>
      </c>
      <c r="X28" s="1355"/>
      <c r="Y28" s="367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1"/>
      <c r="Q29" s="1352" t="str">
        <f t="shared" si="11"/>
        <v>有无电梯</v>
      </c>
      <c r="R29" s="705" t="s">
        <v>14</v>
      </c>
      <c r="S29" s="706">
        <f t="shared" si="12"/>
        <v>100</v>
      </c>
      <c r="T29" s="705" t="s">
        <v>14</v>
      </c>
      <c r="U29" s="706">
        <f t="shared" si="13"/>
        <v>100</v>
      </c>
      <c r="V29" s="705" t="s">
        <v>14</v>
      </c>
      <c r="W29" s="706">
        <f t="shared" si="14"/>
        <v>100</v>
      </c>
      <c r="X29" s="1355"/>
      <c r="Y29" s="367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1"/>
      <c r="Q30" s="1352" t="str">
        <f t="shared" si="11"/>
        <v>建筑面积</v>
      </c>
      <c r="R30" s="705" t="s">
        <v>14</v>
      </c>
      <c r="S30" s="706" t="e">
        <f t="shared" si="12"/>
        <v>#N/A</v>
      </c>
      <c r="T30" s="705" t="s">
        <v>14</v>
      </c>
      <c r="U30" s="706" t="e">
        <f t="shared" si="13"/>
        <v>#N/A</v>
      </c>
      <c r="V30" s="705" t="s">
        <v>14</v>
      </c>
      <c r="W30" s="706" t="e">
        <f t="shared" si="14"/>
        <v>#N/A</v>
      </c>
      <c r="X30" s="1355"/>
      <c r="Y30" s="367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1"/>
      <c r="Q31" s="1343" t="str">
        <f t="shared" si="11"/>
        <v>是否封闭</v>
      </c>
      <c r="R31" s="701" t="s">
        <v>14</v>
      </c>
      <c r="S31" s="702">
        <f t="shared" si="12"/>
        <v>100</v>
      </c>
      <c r="T31" s="701" t="s">
        <v>14</v>
      </c>
      <c r="U31" s="702">
        <f t="shared" si="13"/>
        <v>100</v>
      </c>
      <c r="V31" s="701" t="s">
        <v>14</v>
      </c>
      <c r="W31" s="702">
        <f t="shared" si="14"/>
        <v>100</v>
      </c>
      <c r="X31" s="703"/>
      <c r="Y31" s="367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1" t="s">
        <v>1696</v>
      </c>
      <c r="Q32" s="1352">
        <f t="shared" si="11"/>
        <v>111</v>
      </c>
      <c r="R32" s="705" t="s">
        <v>14</v>
      </c>
      <c r="S32" s="706">
        <f t="shared" si="12"/>
        <v>100</v>
      </c>
      <c r="T32" s="705" t="s">
        <v>14</v>
      </c>
      <c r="U32" s="706">
        <f t="shared" si="13"/>
        <v>100</v>
      </c>
      <c r="V32" s="705" t="s">
        <v>14</v>
      </c>
      <c r="W32" s="706">
        <f t="shared" si="14"/>
        <v>100</v>
      </c>
      <c r="X32" s="1355"/>
      <c r="Y32" s="367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1"/>
      <c r="Q33" s="1352">
        <f t="shared" si="11"/>
        <v>111</v>
      </c>
      <c r="R33" s="705" t="s">
        <v>14</v>
      </c>
      <c r="S33" s="706">
        <f t="shared" si="12"/>
        <v>100</v>
      </c>
      <c r="T33" s="705" t="s">
        <v>14</v>
      </c>
      <c r="U33" s="706">
        <f t="shared" si="13"/>
        <v>100</v>
      </c>
      <c r="V33" s="705" t="s">
        <v>14</v>
      </c>
      <c r="W33" s="706">
        <f t="shared" si="14"/>
        <v>100</v>
      </c>
      <c r="X33" s="1355"/>
      <c r="Y33" s="367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1"/>
      <c r="Q34" s="1352">
        <f t="shared" si="11"/>
        <v>111</v>
      </c>
      <c r="R34" s="705" t="s">
        <v>14</v>
      </c>
      <c r="S34" s="706">
        <f t="shared" si="12"/>
        <v>100</v>
      </c>
      <c r="T34" s="705" t="s">
        <v>14</v>
      </c>
      <c r="U34" s="706">
        <f t="shared" si="13"/>
        <v>100</v>
      </c>
      <c r="V34" s="705" t="s">
        <v>14</v>
      </c>
      <c r="W34" s="706">
        <f t="shared" si="14"/>
        <v>100</v>
      </c>
      <c r="X34" s="1355"/>
      <c r="Y34" s="367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64" t="str">
        <f>A35</f>
        <v>成交单价（元/平方米）</v>
      </c>
      <c r="Q35" s="3664"/>
      <c r="R35" s="3665">
        <f>E35</f>
        <v>0</v>
      </c>
      <c r="S35" s="3665"/>
      <c r="T35" s="3665">
        <f>G35</f>
        <v>0</v>
      </c>
      <c r="U35" s="3665"/>
      <c r="V35" s="3665">
        <f>I35</f>
        <v>0</v>
      </c>
      <c r="W35" s="3665"/>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64" t="str">
        <f>A36</f>
        <v>比较价值（元/平方米）</v>
      </c>
      <c r="Q36" s="3664"/>
      <c r="R36" s="3665" t="e">
        <f>IF(F1="售价",ROUND(PRODUCT(R35,AA7:AA34),0),ROUND(PRODUCT(R35,AA7:AA34),1))</f>
        <v>#DIV/0!</v>
      </c>
      <c r="S36" s="3665"/>
      <c r="T36" s="3665" t="e">
        <f>IF(F1="售价",ROUND(PRODUCT(T35,AB7:AB34),0),ROUND(PRODUCT(T35,AB7:AB34),1))</f>
        <v>#DIV/0!</v>
      </c>
      <c r="U36" s="3665"/>
      <c r="V36" s="3665" t="e">
        <f>IF(F1="售价",ROUND(PRODUCT(V35,AC7:AC34),0),ROUND(PRODUCT(V35,AC7:AC34),1))</f>
        <v>#DIV/0!</v>
      </c>
      <c r="W36" s="3665"/>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1" t="str">
        <f>A37</f>
        <v>估价对象XX用房的比较价值（楼面单价，元/平方米）</v>
      </c>
      <c r="Q37" s="3662"/>
      <c r="R37" s="3723" t="e">
        <f>IF(F1="售价",ROUND(IF(D36="简单平均",AVERAGE(R36:W36),R36*F36+T36*H36+V36*J36),0),ROUND(IF(D36="简单平均",AVERAGE(R36:V36),R36*F36+T36*H36+V36*J36),1))</f>
        <v>#DIV/0!</v>
      </c>
      <c r="S37" s="3723"/>
      <c r="T37" s="3723"/>
      <c r="U37" s="3723"/>
      <c r="V37" s="3723"/>
      <c r="W37" s="372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2024-11</v>
      </c>
      <c r="D46" s="1185">
        <f>EDATE(C46,-1)</f>
        <v>45566</v>
      </c>
      <c r="E46" s="1185">
        <f t="shared" ref="E46:O46" si="16">EDATE(D46,-1)</f>
        <v>45536</v>
      </c>
      <c r="F46" s="1185">
        <f t="shared" si="16"/>
        <v>45505</v>
      </c>
      <c r="G46" s="1185">
        <f t="shared" si="16"/>
        <v>45474</v>
      </c>
      <c r="H46" s="1185">
        <f t="shared" si="16"/>
        <v>45444</v>
      </c>
      <c r="I46" s="1185">
        <f t="shared" si="16"/>
        <v>45413</v>
      </c>
      <c r="J46" s="1185">
        <f t="shared" si="16"/>
        <v>45383</v>
      </c>
      <c r="K46" s="1185">
        <f t="shared" si="16"/>
        <v>45352</v>
      </c>
      <c r="L46" s="1185">
        <f t="shared" si="16"/>
        <v>45323</v>
      </c>
      <c r="M46" s="1185">
        <f t="shared" si="16"/>
        <v>45292</v>
      </c>
      <c r="N46" s="1185">
        <f t="shared" si="16"/>
        <v>45261</v>
      </c>
      <c r="O46" s="1185">
        <f t="shared" si="16"/>
        <v>45231</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30"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77"/>
      <c r="AC5" s="3677"/>
    </row>
    <row r="6" spans="1:30" ht="15.75" thickBot="1">
      <c r="A6" s="360"/>
      <c r="B6" s="361"/>
      <c r="C6" s="3696" t="s">
        <v>1677</v>
      </c>
      <c r="D6" s="3697"/>
      <c r="E6" s="3703" t="s">
        <v>1677</v>
      </c>
      <c r="F6" s="3704"/>
      <c r="G6" s="3696" t="s">
        <v>1677</v>
      </c>
      <c r="H6" s="3697"/>
      <c r="I6" s="3696" t="s">
        <v>1677</v>
      </c>
      <c r="J6" s="3697"/>
      <c r="K6" s="559" t="s">
        <v>1678</v>
      </c>
      <c r="L6" s="2715"/>
      <c r="M6" s="2716"/>
      <c r="N6" s="2716"/>
      <c r="O6" s="2716"/>
      <c r="P6" s="3687"/>
      <c r="Q6" s="3688"/>
      <c r="R6" s="3691"/>
      <c r="S6" s="3692"/>
      <c r="T6" s="3693"/>
      <c r="U6" s="3694"/>
      <c r="V6" s="3695"/>
      <c r="W6" s="3695"/>
      <c r="X6" s="1355"/>
      <c r="Y6" s="3693"/>
      <c r="Z6" s="3694"/>
      <c r="AA6" s="3678"/>
      <c r="AB6" s="3678"/>
      <c r="AC6" s="3678"/>
    </row>
    <row r="7" spans="1:30" s="108" customFormat="1" ht="15.75" thickBot="1">
      <c r="A7" s="362" t="s">
        <v>1679</v>
      </c>
      <c r="B7" s="363"/>
      <c r="C7" s="364">
        <f>'数据-取费表'!B2</f>
        <v>45604</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0" t="s">
        <v>1683</v>
      </c>
      <c r="Q8" s="3701"/>
      <c r="R8" s="701" t="s">
        <v>14</v>
      </c>
      <c r="S8" s="702">
        <f t="shared" si="0"/>
        <v>0</v>
      </c>
      <c r="T8" s="701" t="s">
        <v>14</v>
      </c>
      <c r="U8" s="702">
        <f t="shared" si="1"/>
        <v>0</v>
      </c>
      <c r="V8" s="701" t="s">
        <v>14</v>
      </c>
      <c r="W8" s="702">
        <f t="shared" si="2"/>
        <v>0</v>
      </c>
      <c r="X8" s="703"/>
      <c r="Y8" s="3700" t="s">
        <v>1683</v>
      </c>
      <c r="Z8" s="3701"/>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64"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9"/>
      <c r="M10" s="2720"/>
      <c r="N10" s="2720"/>
      <c r="O10" s="2773"/>
      <c r="P10" s="3664"/>
      <c r="Q10" s="1343" t="str">
        <f t="shared" si="6"/>
        <v>土地使用年限（年）</v>
      </c>
      <c r="R10" s="701" t="s">
        <v>14</v>
      </c>
      <c r="S10" s="702" t="e">
        <f t="shared" si="0"/>
        <v>#DIV/0!</v>
      </c>
      <c r="T10" s="701" t="s">
        <v>14</v>
      </c>
      <c r="U10" s="702" t="e">
        <f t="shared" si="1"/>
        <v>#DIV/0!</v>
      </c>
      <c r="V10" s="701" t="s">
        <v>14</v>
      </c>
      <c r="W10" s="702" t="e">
        <f t="shared" si="2"/>
        <v>#DIV/0!</v>
      </c>
      <c r="X10" s="703"/>
      <c r="Y10" s="3539"/>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64"/>
      <c r="Q11" s="1343" t="str">
        <f t="shared" si="6"/>
        <v>容积率</v>
      </c>
      <c r="R11" s="701" t="s">
        <v>14</v>
      </c>
      <c r="S11" s="702" t="e">
        <f t="shared" si="0"/>
        <v>#N/A</v>
      </c>
      <c r="T11" s="701" t="s">
        <v>14</v>
      </c>
      <c r="U11" s="702" t="e">
        <f t="shared" si="1"/>
        <v>#N/A</v>
      </c>
      <c r="V11" s="701" t="s">
        <v>14</v>
      </c>
      <c r="W11" s="702" t="e">
        <f t="shared" si="2"/>
        <v>#N/A</v>
      </c>
      <c r="X11" s="703"/>
      <c r="Y11" s="353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64"/>
      <c r="Q12" s="1343" t="str">
        <f t="shared" si="6"/>
        <v>配建</v>
      </c>
      <c r="R12" s="701" t="s">
        <v>14</v>
      </c>
      <c r="S12" s="702">
        <f t="shared" si="0"/>
        <v>100</v>
      </c>
      <c r="T12" s="701" t="s">
        <v>14</v>
      </c>
      <c r="U12" s="702">
        <f t="shared" si="1"/>
        <v>100</v>
      </c>
      <c r="V12" s="701" t="s">
        <v>14</v>
      </c>
      <c r="W12" s="702">
        <f t="shared" si="2"/>
        <v>100</v>
      </c>
      <c r="X12" s="703"/>
      <c r="Y12" s="353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64"/>
      <c r="Q14" s="1343">
        <f t="shared" si="6"/>
        <v>111</v>
      </c>
      <c r="R14" s="701" t="s">
        <v>14</v>
      </c>
      <c r="S14" s="702">
        <f t="shared" si="0"/>
        <v>100</v>
      </c>
      <c r="T14" s="701" t="s">
        <v>14</v>
      </c>
      <c r="U14" s="702">
        <f t="shared" si="1"/>
        <v>100</v>
      </c>
      <c r="V14" s="701" t="s">
        <v>14</v>
      </c>
      <c r="W14" s="702">
        <f t="shared" si="2"/>
        <v>100</v>
      </c>
      <c r="X14" s="703"/>
      <c r="Y14" s="353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66" t="s">
        <v>1691</v>
      </c>
      <c r="Q15" s="1352" t="str">
        <f t="shared" si="6"/>
        <v>居住社区成熟度</v>
      </c>
      <c r="R15" s="705" t="s">
        <v>14</v>
      </c>
      <c r="S15" s="706">
        <f t="shared" si="0"/>
        <v>100</v>
      </c>
      <c r="T15" s="705" t="s">
        <v>14</v>
      </c>
      <c r="U15" s="706">
        <f t="shared" si="1"/>
        <v>100</v>
      </c>
      <c r="V15" s="705" t="s">
        <v>14</v>
      </c>
      <c r="W15" s="706">
        <f t="shared" si="2"/>
        <v>100</v>
      </c>
      <c r="X15" s="1355"/>
      <c r="Y15" s="366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67"/>
      <c r="Q16" s="1352"/>
      <c r="R16" s="705"/>
      <c r="S16" s="706"/>
      <c r="T16" s="705"/>
      <c r="U16" s="706"/>
      <c r="V16" s="705"/>
      <c r="W16" s="706"/>
      <c r="X16" s="1355"/>
      <c r="Y16" s="3667"/>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67"/>
      <c r="Q17" s="1352" t="str">
        <f>B17</f>
        <v>商业繁华度</v>
      </c>
      <c r="R17" s="705" t="s">
        <v>14</v>
      </c>
      <c r="S17" s="706">
        <f>F17</f>
        <v>100</v>
      </c>
      <c r="T17" s="705" t="s">
        <v>14</v>
      </c>
      <c r="U17" s="706">
        <f>H17</f>
        <v>100</v>
      </c>
      <c r="V17" s="705" t="s">
        <v>14</v>
      </c>
      <c r="W17" s="706">
        <f>J17</f>
        <v>100</v>
      </c>
      <c r="X17" s="1355"/>
      <c r="Y17" s="366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67"/>
      <c r="Q18" s="1352"/>
      <c r="R18" s="705"/>
      <c r="S18" s="706"/>
      <c r="T18" s="705"/>
      <c r="U18" s="706"/>
      <c r="V18" s="705"/>
      <c r="W18" s="706"/>
      <c r="X18" s="1355"/>
      <c r="Y18" s="3667"/>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67"/>
      <c r="Q19" s="1352" t="str">
        <f>B19</f>
        <v>办公集聚程度</v>
      </c>
      <c r="R19" s="705" t="s">
        <v>14</v>
      </c>
      <c r="S19" s="706">
        <f>F19</f>
        <v>100</v>
      </c>
      <c r="T19" s="705" t="s">
        <v>14</v>
      </c>
      <c r="U19" s="706">
        <f>H19</f>
        <v>100</v>
      </c>
      <c r="V19" s="705" t="s">
        <v>14</v>
      </c>
      <c r="W19" s="706">
        <f>J19</f>
        <v>100</v>
      </c>
      <c r="X19" s="1355"/>
      <c r="Y19" s="366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67"/>
      <c r="Q20" s="1352"/>
      <c r="R20" s="705"/>
      <c r="S20" s="706"/>
      <c r="T20" s="705"/>
      <c r="U20" s="706"/>
      <c r="V20" s="705"/>
      <c r="W20" s="706"/>
      <c r="X20" s="1355"/>
      <c r="Y20" s="3667"/>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67"/>
      <c r="Q21" s="1352" t="str">
        <f>B21</f>
        <v>交通便捷度</v>
      </c>
      <c r="R21" s="705" t="s">
        <v>14</v>
      </c>
      <c r="S21" s="706">
        <f>F21</f>
        <v>100</v>
      </c>
      <c r="T21" s="705" t="s">
        <v>14</v>
      </c>
      <c r="U21" s="706">
        <f>H21</f>
        <v>100</v>
      </c>
      <c r="V21" s="705" t="s">
        <v>14</v>
      </c>
      <c r="W21" s="706">
        <f>J21</f>
        <v>100</v>
      </c>
      <c r="X21" s="1355"/>
      <c r="Y21" s="366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67"/>
      <c r="Q22" s="1352"/>
      <c r="R22" s="705"/>
      <c r="S22" s="706"/>
      <c r="T22" s="705"/>
      <c r="U22" s="706"/>
      <c r="V22" s="705"/>
      <c r="W22" s="706"/>
      <c r="X22" s="1355"/>
      <c r="Y22" s="3667"/>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67"/>
      <c r="Q23" s="1352" t="str">
        <f t="shared" ref="Q23:Q37" si="8">B23</f>
        <v>区域土地利用方向</v>
      </c>
      <c r="R23" s="705" t="s">
        <v>14</v>
      </c>
      <c r="S23" s="706">
        <f>F23</f>
        <v>100</v>
      </c>
      <c r="T23" s="705" t="s">
        <v>14</v>
      </c>
      <c r="U23" s="706">
        <f>H23</f>
        <v>100</v>
      </c>
      <c r="V23" s="705" t="s">
        <v>14</v>
      </c>
      <c r="W23" s="706">
        <f>J23</f>
        <v>100</v>
      </c>
      <c r="X23" s="1355"/>
      <c r="Y23" s="366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67"/>
      <c r="Q24" s="1352"/>
      <c r="R24" s="705"/>
      <c r="S24" s="706"/>
      <c r="T24" s="705"/>
      <c r="U24" s="706"/>
      <c r="V24" s="705"/>
      <c r="W24" s="706"/>
      <c r="X24" s="1355"/>
      <c r="Y24" s="3667"/>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67"/>
      <c r="Q25" s="1352" t="str">
        <f t="shared" si="8"/>
        <v>自然及人文环境状况</v>
      </c>
      <c r="R25" s="705" t="s">
        <v>14</v>
      </c>
      <c r="S25" s="706">
        <f>F25</f>
        <v>100</v>
      </c>
      <c r="T25" s="705" t="s">
        <v>14</v>
      </c>
      <c r="U25" s="706">
        <f>H25</f>
        <v>100</v>
      </c>
      <c r="V25" s="705" t="s">
        <v>14</v>
      </c>
      <c r="W25" s="706">
        <f>J25</f>
        <v>100</v>
      </c>
      <c r="X25" s="1355"/>
      <c r="Y25" s="366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67"/>
      <c r="Q26" s="1352"/>
      <c r="R26" s="705"/>
      <c r="S26" s="706"/>
      <c r="T26" s="705"/>
      <c r="U26" s="706"/>
      <c r="V26" s="705"/>
      <c r="W26" s="706"/>
      <c r="X26" s="1355"/>
      <c r="Y26" s="3667"/>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67"/>
      <c r="Q27" s="1343" t="str">
        <f t="shared" si="8"/>
        <v>公共配套设施</v>
      </c>
      <c r="R27" s="701" t="s">
        <v>14</v>
      </c>
      <c r="S27" s="702">
        <f>F27</f>
        <v>100</v>
      </c>
      <c r="T27" s="701" t="s">
        <v>14</v>
      </c>
      <c r="U27" s="702">
        <f>H27</f>
        <v>100</v>
      </c>
      <c r="V27" s="701" t="s">
        <v>14</v>
      </c>
      <c r="W27" s="702">
        <f>J27</f>
        <v>100</v>
      </c>
      <c r="X27" s="703"/>
      <c r="Y27" s="366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67"/>
      <c r="Q28" s="1343"/>
      <c r="R28" s="701"/>
      <c r="S28" s="702"/>
      <c r="T28" s="701"/>
      <c r="U28" s="702"/>
      <c r="V28" s="701"/>
      <c r="W28" s="702"/>
      <c r="X28" s="703"/>
      <c r="Y28" s="3667"/>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67"/>
      <c r="Q29" s="1343" t="str">
        <f t="shared" ref="Q29" si="9">B29</f>
        <v>基础设施水平</v>
      </c>
      <c r="R29" s="701" t="s">
        <v>14</v>
      </c>
      <c r="S29" s="702">
        <f>F29</f>
        <v>100</v>
      </c>
      <c r="T29" s="701" t="s">
        <v>14</v>
      </c>
      <c r="U29" s="702">
        <f>H29</f>
        <v>100</v>
      </c>
      <c r="V29" s="701" t="s">
        <v>14</v>
      </c>
      <c r="W29" s="702">
        <f>J29</f>
        <v>100</v>
      </c>
      <c r="X29" s="703"/>
      <c r="Y29" s="366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67"/>
      <c r="Q30" s="1343"/>
      <c r="R30" s="701"/>
      <c r="S30" s="702"/>
      <c r="T30" s="701"/>
      <c r="U30" s="702"/>
      <c r="V30" s="701"/>
      <c r="W30" s="702"/>
      <c r="X30" s="703"/>
      <c r="Y30" s="3667"/>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6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7"/>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67"/>
      <c r="Q32" s="1352" t="str">
        <f t="shared" si="8"/>
        <v>毗邻道路的类型与等级</v>
      </c>
      <c r="R32" s="705" t="s">
        <v>14</v>
      </c>
      <c r="S32" s="706">
        <f t="shared" si="10"/>
        <v>100</v>
      </c>
      <c r="T32" s="705" t="s">
        <v>14</v>
      </c>
      <c r="U32" s="706">
        <f t="shared" si="11"/>
        <v>100</v>
      </c>
      <c r="V32" s="705" t="s">
        <v>14</v>
      </c>
      <c r="W32" s="706">
        <f t="shared" si="12"/>
        <v>100</v>
      </c>
      <c r="X32" s="1355"/>
      <c r="Y32" s="366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67"/>
      <c r="Q33" s="1352"/>
      <c r="R33" s="705"/>
      <c r="S33" s="706"/>
      <c r="T33" s="705"/>
      <c r="U33" s="706"/>
      <c r="V33" s="705"/>
      <c r="W33" s="706"/>
      <c r="X33" s="1355"/>
      <c r="Y33" s="3667"/>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67"/>
      <c r="Q34" s="1352" t="str">
        <f t="shared" si="8"/>
        <v>土地级别</v>
      </c>
      <c r="R34" s="705" t="s">
        <v>14</v>
      </c>
      <c r="S34" s="706">
        <f t="shared" si="10"/>
        <v>100</v>
      </c>
      <c r="T34" s="705" t="s">
        <v>14</v>
      </c>
      <c r="U34" s="706">
        <f t="shared" si="11"/>
        <v>100</v>
      </c>
      <c r="V34" s="705" t="s">
        <v>14</v>
      </c>
      <c r="W34" s="706">
        <f t="shared" si="12"/>
        <v>100</v>
      </c>
      <c r="X34" s="1355"/>
      <c r="Y34" s="366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67"/>
      <c r="Q35" s="1352">
        <f t="shared" si="8"/>
        <v>111</v>
      </c>
      <c r="R35" s="705" t="s">
        <v>14</v>
      </c>
      <c r="S35" s="706">
        <f t="shared" si="10"/>
        <v>100</v>
      </c>
      <c r="T35" s="705" t="s">
        <v>14</v>
      </c>
      <c r="U35" s="706">
        <f t="shared" si="11"/>
        <v>100</v>
      </c>
      <c r="V35" s="705" t="s">
        <v>14</v>
      </c>
      <c r="W35" s="706">
        <f t="shared" si="12"/>
        <v>100</v>
      </c>
      <c r="X35" s="1355"/>
      <c r="Y35" s="366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2" t="s">
        <v>1696</v>
      </c>
      <c r="Q36" s="1352">
        <f t="shared" si="8"/>
        <v>111</v>
      </c>
      <c r="R36" s="705" t="s">
        <v>14</v>
      </c>
      <c r="S36" s="706">
        <f t="shared" si="10"/>
        <v>100</v>
      </c>
      <c r="T36" s="705" t="s">
        <v>14</v>
      </c>
      <c r="U36" s="706">
        <f t="shared" si="11"/>
        <v>100</v>
      </c>
      <c r="V36" s="705" t="s">
        <v>14</v>
      </c>
      <c r="W36" s="706">
        <f t="shared" si="12"/>
        <v>100</v>
      </c>
      <c r="X36" s="1355"/>
      <c r="Y36" s="367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1"/>
      <c r="Q37" s="1352">
        <f t="shared" si="8"/>
        <v>111</v>
      </c>
      <c r="R37" s="708" t="s">
        <v>14</v>
      </c>
      <c r="S37" s="709">
        <f t="shared" si="10"/>
        <v>100</v>
      </c>
      <c r="T37" s="708" t="s">
        <v>14</v>
      </c>
      <c r="U37" s="709">
        <f t="shared" si="11"/>
        <v>100</v>
      </c>
      <c r="V37" s="708" t="s">
        <v>14</v>
      </c>
      <c r="W37" s="709">
        <f t="shared" si="12"/>
        <v>100</v>
      </c>
      <c r="X37" s="710"/>
      <c r="Y37" s="367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1"/>
      <c r="Q38" s="1352" t="str">
        <f>B38</f>
        <v>宗地面积</v>
      </c>
      <c r="R38" s="705" t="s">
        <v>14</v>
      </c>
      <c r="S38" s="706" t="e">
        <f t="shared" si="10"/>
        <v>#N/A</v>
      </c>
      <c r="T38" s="705" t="s">
        <v>14</v>
      </c>
      <c r="U38" s="706" t="e">
        <f t="shared" si="11"/>
        <v>#N/A</v>
      </c>
      <c r="V38" s="705" t="s">
        <v>14</v>
      </c>
      <c r="W38" s="706" t="e">
        <f t="shared" si="12"/>
        <v>#N/A</v>
      </c>
      <c r="X38" s="1355"/>
      <c r="Y38" s="367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1"/>
      <c r="Q39" s="1352" t="str">
        <f t="shared" ref="Q39:Q45" si="14">B39</f>
        <v>宗地形状</v>
      </c>
      <c r="R39" s="705" t="s">
        <v>14</v>
      </c>
      <c r="S39" s="706">
        <f t="shared" si="10"/>
        <v>100</v>
      </c>
      <c r="T39" s="705" t="s">
        <v>14</v>
      </c>
      <c r="U39" s="706">
        <f t="shared" si="11"/>
        <v>100</v>
      </c>
      <c r="V39" s="705" t="s">
        <v>14</v>
      </c>
      <c r="W39" s="706">
        <f t="shared" si="12"/>
        <v>100</v>
      </c>
      <c r="X39" s="1355"/>
      <c r="Y39" s="367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1"/>
      <c r="Q40" s="1352" t="str">
        <f t="shared" si="14"/>
        <v>临街宽度及深度</v>
      </c>
      <c r="R40" s="705" t="s">
        <v>14</v>
      </c>
      <c r="S40" s="706">
        <f t="shared" si="10"/>
        <v>100</v>
      </c>
      <c r="T40" s="705" t="s">
        <v>14</v>
      </c>
      <c r="U40" s="706">
        <f t="shared" si="11"/>
        <v>100</v>
      </c>
      <c r="V40" s="705" t="s">
        <v>14</v>
      </c>
      <c r="W40" s="706">
        <f t="shared" si="12"/>
        <v>100</v>
      </c>
      <c r="X40" s="1355"/>
      <c r="Y40" s="367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1"/>
      <c r="Q41" s="1352" t="str">
        <f t="shared" si="14"/>
        <v>宗地开发程度</v>
      </c>
      <c r="R41" s="701" t="s">
        <v>14</v>
      </c>
      <c r="S41" s="702">
        <f t="shared" si="10"/>
        <v>100</v>
      </c>
      <c r="T41" s="701" t="s">
        <v>14</v>
      </c>
      <c r="U41" s="702">
        <f t="shared" si="11"/>
        <v>100</v>
      </c>
      <c r="V41" s="701" t="s">
        <v>14</v>
      </c>
      <c r="W41" s="702">
        <f t="shared" si="12"/>
        <v>100</v>
      </c>
      <c r="X41" s="703"/>
      <c r="Y41" s="367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1" t="s">
        <v>1696</v>
      </c>
      <c r="Q42" s="1352" t="str">
        <f t="shared" si="14"/>
        <v>工程地质条件</v>
      </c>
      <c r="R42" s="705" t="s">
        <v>14</v>
      </c>
      <c r="S42" s="706">
        <f t="shared" si="10"/>
        <v>100</v>
      </c>
      <c r="T42" s="705" t="s">
        <v>14</v>
      </c>
      <c r="U42" s="706">
        <f t="shared" si="11"/>
        <v>100</v>
      </c>
      <c r="V42" s="705" t="s">
        <v>14</v>
      </c>
      <c r="W42" s="706">
        <f t="shared" si="12"/>
        <v>100</v>
      </c>
      <c r="X42" s="1355"/>
      <c r="Y42" s="367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1"/>
      <c r="Q43" s="1352">
        <f t="shared" si="14"/>
        <v>111</v>
      </c>
      <c r="R43" s="705" t="s">
        <v>14</v>
      </c>
      <c r="S43" s="706">
        <f t="shared" si="10"/>
        <v>100</v>
      </c>
      <c r="T43" s="705" t="s">
        <v>14</v>
      </c>
      <c r="U43" s="706">
        <f t="shared" si="11"/>
        <v>100</v>
      </c>
      <c r="V43" s="705" t="s">
        <v>14</v>
      </c>
      <c r="W43" s="706">
        <f t="shared" si="12"/>
        <v>100</v>
      </c>
      <c r="X43" s="1355"/>
      <c r="Y43" s="367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1"/>
      <c r="Q44" s="1352">
        <f t="shared" si="14"/>
        <v>111</v>
      </c>
      <c r="R44" s="705" t="s">
        <v>14</v>
      </c>
      <c r="S44" s="706">
        <f t="shared" si="10"/>
        <v>100</v>
      </c>
      <c r="T44" s="705" t="s">
        <v>14</v>
      </c>
      <c r="U44" s="706">
        <f t="shared" si="11"/>
        <v>100</v>
      </c>
      <c r="V44" s="705" t="s">
        <v>14</v>
      </c>
      <c r="W44" s="706">
        <f t="shared" si="12"/>
        <v>100</v>
      </c>
      <c r="X44" s="1355"/>
      <c r="Y44" s="367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1"/>
      <c r="Q45" s="1352">
        <f t="shared" si="14"/>
        <v>111</v>
      </c>
      <c r="R45" s="708" t="s">
        <v>14</v>
      </c>
      <c r="S45" s="709">
        <f t="shared" si="10"/>
        <v>100</v>
      </c>
      <c r="T45" s="708" t="s">
        <v>14</v>
      </c>
      <c r="U45" s="709">
        <f t="shared" si="11"/>
        <v>100</v>
      </c>
      <c r="V45" s="708" t="s">
        <v>14</v>
      </c>
      <c r="W45" s="709">
        <f t="shared" si="12"/>
        <v>100</v>
      </c>
      <c r="X45" s="710"/>
      <c r="Y45" s="367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64" t="str">
        <f>A46</f>
        <v>成交单价</v>
      </c>
      <c r="Q46" s="3664"/>
      <c r="R46" s="3695">
        <f>E46</f>
        <v>0</v>
      </c>
      <c r="S46" s="3695"/>
      <c r="T46" s="3695">
        <f>G46</f>
        <v>0</v>
      </c>
      <c r="U46" s="3695"/>
      <c r="V46" s="3695">
        <f>I46</f>
        <v>0</v>
      </c>
      <c r="W46" s="3695"/>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64" t="str">
        <f>A47</f>
        <v>比较价值（元/平方米）</v>
      </c>
      <c r="Q47" s="3664"/>
      <c r="R47" s="3724" t="e">
        <f>ROUND(PRODUCT(R46,AA7:AA45),0)</f>
        <v>#DIV/0!</v>
      </c>
      <c r="S47" s="3724"/>
      <c r="T47" s="3724" t="e">
        <f>ROUND(PRODUCT(T46,AB7:AB45),0)</f>
        <v>#DIV/0!</v>
      </c>
      <c r="U47" s="3724"/>
      <c r="V47" s="3724" t="e">
        <f>ROUND(PRODUCT(V46,AC7:AC45),0)</f>
        <v>#DIV/0!</v>
      </c>
      <c r="W47" s="372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1" t="str">
        <f>A48</f>
        <v>估价对象XX用房的比较价值（楼面单价，元/平方米）</v>
      </c>
      <c r="Q48" s="3662"/>
      <c r="R48" s="3725" t="e">
        <f>ROUND(IF(D47="简单平均",AVERAGE(R47:W47),R47*F47+T47*H47+V47*J47),0)</f>
        <v>#DIV/0!</v>
      </c>
      <c r="S48" s="3725"/>
      <c r="T48" s="3725"/>
      <c r="U48" s="3725"/>
      <c r="V48" s="3725"/>
      <c r="W48" s="372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79" t="s">
        <v>1887</v>
      </c>
      <c r="H55" s="372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0</v>
      </c>
      <c r="F56" s="886" t="e">
        <f t="shared" ref="F56:F64" si="15">ROUND(B56*E56/10000,0)</f>
        <v>#DIV/0!</v>
      </c>
      <c r="G56" s="3675"/>
      <c r="H56" s="3664"/>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0</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2024-11-1</v>
      </c>
      <c r="D67" s="692">
        <f>EDATE(C67,-3)</f>
        <v>45505</v>
      </c>
      <c r="E67" s="692">
        <f>EDATE(D67,-3)</f>
        <v>45413</v>
      </c>
      <c r="F67" s="692">
        <f t="shared" ref="F67:O67" si="18">EDATE(E67,-3)</f>
        <v>45323</v>
      </c>
      <c r="G67" s="692">
        <f t="shared" si="18"/>
        <v>45231</v>
      </c>
      <c r="H67" s="692">
        <f t="shared" si="18"/>
        <v>45139</v>
      </c>
      <c r="I67" s="692">
        <f t="shared" si="18"/>
        <v>45047</v>
      </c>
      <c r="J67" s="692">
        <f t="shared" si="18"/>
        <v>44958</v>
      </c>
      <c r="K67" s="692">
        <f t="shared" si="18"/>
        <v>44866</v>
      </c>
      <c r="L67" s="692">
        <f t="shared" si="18"/>
        <v>44774</v>
      </c>
      <c r="M67" s="692">
        <f t="shared" si="18"/>
        <v>44682</v>
      </c>
      <c r="N67" s="692">
        <f t="shared" si="18"/>
        <v>44593</v>
      </c>
      <c r="O67" s="692">
        <f t="shared" si="18"/>
        <v>44501</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2024-4</v>
      </c>
      <c r="D69" s="1182" t="str">
        <f>YEAR(D67)&amp;"-"&amp;ROUNDUP(MONTH(D67)/3,0)</f>
        <v>2024-3</v>
      </c>
      <c r="E69" s="1182" t="str">
        <f t="shared" ref="E69:O69" si="19">YEAR(E67)&amp;"-"&amp;ROUNDUP(MONTH(E67)/3,0)</f>
        <v>2024-2</v>
      </c>
      <c r="F69" s="1182" t="str">
        <f t="shared" si="19"/>
        <v>2024-1</v>
      </c>
      <c r="G69" s="1182" t="str">
        <f t="shared" si="19"/>
        <v>2023-4</v>
      </c>
      <c r="H69" s="1182" t="str">
        <f t="shared" si="19"/>
        <v>2023-3</v>
      </c>
      <c r="I69" s="1182" t="str">
        <f t="shared" si="19"/>
        <v>2023-2</v>
      </c>
      <c r="J69" s="1182" t="str">
        <f t="shared" si="19"/>
        <v>2023-1</v>
      </c>
      <c r="K69" s="1182" t="str">
        <f t="shared" si="19"/>
        <v>2022-4</v>
      </c>
      <c r="L69" s="1182" t="str">
        <f t="shared" si="19"/>
        <v>2022-3</v>
      </c>
      <c r="M69" s="1182" t="str">
        <f t="shared" si="19"/>
        <v>2022-2</v>
      </c>
      <c r="N69" s="1182" t="str">
        <f t="shared" si="19"/>
        <v>2022-1</v>
      </c>
      <c r="O69" s="1182" t="str">
        <f t="shared" si="19"/>
        <v>2021-4</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89" t="s">
        <v>1771</v>
      </c>
      <c r="S4" s="3690"/>
      <c r="T4" s="3689" t="s">
        <v>1772</v>
      </c>
      <c r="U4" s="3690"/>
      <c r="V4" s="3695" t="s">
        <v>1773</v>
      </c>
      <c r="W4" s="3695"/>
      <c r="X4" s="1355"/>
      <c r="Y4" s="3689" t="s">
        <v>1775</v>
      </c>
      <c r="Z4" s="3690"/>
      <c r="AA4" s="3676" t="s">
        <v>1771</v>
      </c>
      <c r="AB4" s="3677" t="s">
        <v>1772</v>
      </c>
      <c r="AC4" s="3676" t="s">
        <v>1773</v>
      </c>
    </row>
    <row r="5" spans="1:29" ht="15">
      <c r="A5" s="358"/>
      <c r="B5" s="359"/>
      <c r="C5" s="3698" t="s">
        <v>1673</v>
      </c>
      <c r="D5" s="3699"/>
      <c r="E5" s="3705" t="s">
        <v>1674</v>
      </c>
      <c r="F5" s="3706"/>
      <c r="G5" s="3698" t="s">
        <v>1675</v>
      </c>
      <c r="H5" s="3699"/>
      <c r="I5" s="3698" t="s">
        <v>1676</v>
      </c>
      <c r="J5" s="3699"/>
      <c r="K5" s="559"/>
      <c r="L5" s="2715"/>
      <c r="M5" s="2716"/>
      <c r="N5" s="2716"/>
      <c r="O5" s="2716"/>
      <c r="P5" s="3685"/>
      <c r="Q5" s="3686"/>
      <c r="R5" s="3691"/>
      <c r="S5" s="3692"/>
      <c r="T5" s="3691"/>
      <c r="U5" s="3692"/>
      <c r="V5" s="3695"/>
      <c r="W5" s="3695"/>
      <c r="X5" s="1355"/>
      <c r="Y5" s="3691"/>
      <c r="Z5" s="3692"/>
      <c r="AA5" s="3677"/>
      <c r="AB5" s="3677"/>
      <c r="AC5" s="3677"/>
    </row>
    <row r="6" spans="1:29" ht="15.75" thickBot="1">
      <c r="A6" s="360"/>
      <c r="B6" s="361"/>
      <c r="C6" s="3727" t="s">
        <v>1919</v>
      </c>
      <c r="D6" s="3728"/>
      <c r="E6" s="3729" t="s">
        <v>1919</v>
      </c>
      <c r="F6" s="3730"/>
      <c r="G6" s="3727" t="s">
        <v>1919</v>
      </c>
      <c r="H6" s="3728"/>
      <c r="I6" s="3727" t="s">
        <v>1919</v>
      </c>
      <c r="J6" s="3728"/>
      <c r="K6" s="559" t="s">
        <v>1678</v>
      </c>
      <c r="L6" s="2715"/>
      <c r="M6" s="2716"/>
      <c r="N6" s="2716"/>
      <c r="O6" s="2716"/>
      <c r="P6" s="3687"/>
      <c r="Q6" s="3688"/>
      <c r="R6" s="3691"/>
      <c r="S6" s="3692"/>
      <c r="T6" s="3693"/>
      <c r="U6" s="3694"/>
      <c r="V6" s="3695"/>
      <c r="W6" s="3695"/>
      <c r="X6" s="1355"/>
      <c r="Y6" s="3693"/>
      <c r="Z6" s="3694"/>
      <c r="AA6" s="3678"/>
      <c r="AB6" s="3678"/>
      <c r="AC6" s="3678"/>
    </row>
    <row r="7" spans="1:29" s="108" customFormat="1" ht="15.75" thickBot="1">
      <c r="A7" s="362" t="s">
        <v>1679</v>
      </c>
      <c r="B7" s="363"/>
      <c r="C7" s="364">
        <f>'数据-取费表'!B2</f>
        <v>45604</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0" t="s">
        <v>1680</v>
      </c>
      <c r="Q7" s="3702"/>
      <c r="R7" s="701" t="s">
        <v>14</v>
      </c>
      <c r="S7" s="702">
        <f t="shared" ref="S7:S15" si="0">F7</f>
        <v>0</v>
      </c>
      <c r="T7" s="701" t="s">
        <v>14</v>
      </c>
      <c r="U7" s="702">
        <f t="shared" ref="U7:U15" si="1">H7</f>
        <v>0</v>
      </c>
      <c r="V7" s="701" t="s">
        <v>14</v>
      </c>
      <c r="W7" s="702">
        <f t="shared" ref="W7:W15" si="2">J7</f>
        <v>0</v>
      </c>
      <c r="X7" s="703"/>
      <c r="Y7" s="3700" t="s">
        <v>1680</v>
      </c>
      <c r="Z7" s="3701"/>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0" t="s">
        <v>1683</v>
      </c>
      <c r="Q8" s="3701"/>
      <c r="R8" s="701" t="s">
        <v>14</v>
      </c>
      <c r="S8" s="702">
        <f t="shared" si="0"/>
        <v>0</v>
      </c>
      <c r="T8" s="701" t="s">
        <v>14</v>
      </c>
      <c r="U8" s="702">
        <f t="shared" si="1"/>
        <v>0</v>
      </c>
      <c r="V8" s="701" t="s">
        <v>14</v>
      </c>
      <c r="W8" s="702">
        <f t="shared" si="2"/>
        <v>0</v>
      </c>
      <c r="X8" s="703"/>
      <c r="Y8" s="3700" t="s">
        <v>1683</v>
      </c>
      <c r="Z8" s="3701"/>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64" t="s">
        <v>1686</v>
      </c>
      <c r="Q9" s="1343" t="str">
        <f t="shared" ref="Q9:Q15" si="6">B9</f>
        <v>用途</v>
      </c>
      <c r="R9" s="701" t="s">
        <v>14</v>
      </c>
      <c r="S9" s="702">
        <f t="shared" si="0"/>
        <v>100</v>
      </c>
      <c r="T9" s="701" t="s">
        <v>14</v>
      </c>
      <c r="U9" s="702">
        <f t="shared" si="1"/>
        <v>100</v>
      </c>
      <c r="V9" s="701" t="s">
        <v>14</v>
      </c>
      <c r="W9" s="702">
        <f t="shared" si="2"/>
        <v>100</v>
      </c>
      <c r="X9" s="703"/>
      <c r="Y9" s="353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9"/>
      <c r="M10" s="2720"/>
      <c r="N10" s="2720"/>
      <c r="O10" s="2773"/>
      <c r="P10" s="3664"/>
      <c r="Q10" s="1343" t="str">
        <f t="shared" si="6"/>
        <v>土地使用年限（年）</v>
      </c>
      <c r="R10" s="701" t="s">
        <v>14</v>
      </c>
      <c r="S10" s="702" t="e">
        <f t="shared" si="0"/>
        <v>#DIV/0!</v>
      </c>
      <c r="T10" s="701" t="s">
        <v>14</v>
      </c>
      <c r="U10" s="702" t="e">
        <f t="shared" si="1"/>
        <v>#DIV/0!</v>
      </c>
      <c r="V10" s="701" t="s">
        <v>14</v>
      </c>
      <c r="W10" s="702" t="e">
        <f t="shared" si="2"/>
        <v>#DIV/0!</v>
      </c>
      <c r="X10" s="703"/>
      <c r="Y10" s="3539"/>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64"/>
      <c r="Q11" s="1343" t="str">
        <f t="shared" si="6"/>
        <v>容积率</v>
      </c>
      <c r="R11" s="701" t="s">
        <v>14</v>
      </c>
      <c r="S11" s="702" t="e">
        <f t="shared" si="0"/>
        <v>#N/A</v>
      </c>
      <c r="T11" s="701" t="s">
        <v>14</v>
      </c>
      <c r="U11" s="702" t="e">
        <f t="shared" si="1"/>
        <v>#N/A</v>
      </c>
      <c r="V11" s="701" t="s">
        <v>14</v>
      </c>
      <c r="W11" s="702" t="e">
        <f t="shared" si="2"/>
        <v>#N/A</v>
      </c>
      <c r="X11" s="703"/>
      <c r="Y11" s="353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64"/>
      <c r="Q12" s="1343">
        <f t="shared" si="6"/>
        <v>111</v>
      </c>
      <c r="R12" s="701" t="s">
        <v>14</v>
      </c>
      <c r="S12" s="702">
        <f t="shared" si="0"/>
        <v>100</v>
      </c>
      <c r="T12" s="701" t="s">
        <v>14</v>
      </c>
      <c r="U12" s="702">
        <f t="shared" si="1"/>
        <v>100</v>
      </c>
      <c r="V12" s="701" t="s">
        <v>14</v>
      </c>
      <c r="W12" s="702">
        <f t="shared" si="2"/>
        <v>100</v>
      </c>
      <c r="X12" s="703"/>
      <c r="Y12" s="353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64"/>
      <c r="Q13" s="1343">
        <f t="shared" si="6"/>
        <v>111</v>
      </c>
      <c r="R13" s="701" t="s">
        <v>14</v>
      </c>
      <c r="S13" s="702">
        <f t="shared" si="0"/>
        <v>100</v>
      </c>
      <c r="T13" s="701" t="s">
        <v>14</v>
      </c>
      <c r="U13" s="702">
        <f t="shared" si="1"/>
        <v>100</v>
      </c>
      <c r="V13" s="701" t="s">
        <v>14</v>
      </c>
      <c r="W13" s="702">
        <f t="shared" si="2"/>
        <v>100</v>
      </c>
      <c r="X13" s="703"/>
      <c r="Y13" s="353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64"/>
      <c r="Q14" s="1343">
        <f t="shared" si="6"/>
        <v>111</v>
      </c>
      <c r="R14" s="701" t="s">
        <v>14</v>
      </c>
      <c r="S14" s="702">
        <f t="shared" si="0"/>
        <v>100</v>
      </c>
      <c r="T14" s="701" t="s">
        <v>14</v>
      </c>
      <c r="U14" s="702">
        <f t="shared" si="1"/>
        <v>100</v>
      </c>
      <c r="V14" s="701" t="s">
        <v>14</v>
      </c>
      <c r="W14" s="702">
        <f t="shared" si="2"/>
        <v>100</v>
      </c>
      <c r="X14" s="703"/>
      <c r="Y14" s="353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66" t="s">
        <v>1691</v>
      </c>
      <c r="Q15" s="1352" t="str">
        <f t="shared" si="6"/>
        <v>产业集聚程度</v>
      </c>
      <c r="R15" s="705" t="s">
        <v>14</v>
      </c>
      <c r="S15" s="706">
        <f t="shared" si="0"/>
        <v>100</v>
      </c>
      <c r="T15" s="705" t="s">
        <v>14</v>
      </c>
      <c r="U15" s="706">
        <f t="shared" si="1"/>
        <v>100</v>
      </c>
      <c r="V15" s="705" t="s">
        <v>14</v>
      </c>
      <c r="W15" s="706">
        <f t="shared" si="2"/>
        <v>100</v>
      </c>
      <c r="X15" s="1355"/>
      <c r="Y15" s="366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67"/>
      <c r="Q16" s="1352"/>
      <c r="R16" s="705"/>
      <c r="S16" s="706"/>
      <c r="T16" s="705"/>
      <c r="U16" s="706"/>
      <c r="V16" s="705"/>
      <c r="W16" s="706"/>
      <c r="X16" s="1355"/>
      <c r="Y16" s="3667"/>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67"/>
      <c r="Q17" s="1352" t="str">
        <f>B17</f>
        <v>交通便捷度</v>
      </c>
      <c r="R17" s="705" t="s">
        <v>14</v>
      </c>
      <c r="S17" s="706">
        <f>F17</f>
        <v>100</v>
      </c>
      <c r="T17" s="705" t="s">
        <v>14</v>
      </c>
      <c r="U17" s="706">
        <f>H17</f>
        <v>100</v>
      </c>
      <c r="V17" s="705" t="s">
        <v>14</v>
      </c>
      <c r="W17" s="706">
        <f>J17</f>
        <v>100</v>
      </c>
      <c r="X17" s="1355"/>
      <c r="Y17" s="366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67"/>
      <c r="Q18" s="1352"/>
      <c r="R18" s="705"/>
      <c r="S18" s="706"/>
      <c r="T18" s="705"/>
      <c r="U18" s="706"/>
      <c r="V18" s="705"/>
      <c r="W18" s="706"/>
      <c r="X18" s="1355"/>
      <c r="Y18" s="3667"/>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67"/>
      <c r="Q19" s="1352" t="str">
        <f t="shared" ref="Q19:Q33" si="8">B19</f>
        <v>区域土地利用方向</v>
      </c>
      <c r="R19" s="705" t="s">
        <v>14</v>
      </c>
      <c r="S19" s="706">
        <f>F19</f>
        <v>100</v>
      </c>
      <c r="T19" s="705" t="s">
        <v>14</v>
      </c>
      <c r="U19" s="706">
        <f>H19</f>
        <v>100</v>
      </c>
      <c r="V19" s="705" t="s">
        <v>14</v>
      </c>
      <c r="W19" s="706">
        <f>J19</f>
        <v>100</v>
      </c>
      <c r="X19" s="1355"/>
      <c r="Y19" s="366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67"/>
      <c r="Q20" s="1352"/>
      <c r="R20" s="705"/>
      <c r="S20" s="706"/>
      <c r="T20" s="705"/>
      <c r="U20" s="706"/>
      <c r="V20" s="705"/>
      <c r="W20" s="706"/>
      <c r="X20" s="1355"/>
      <c r="Y20" s="3667"/>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67"/>
      <c r="Q21" s="1352" t="str">
        <f t="shared" si="8"/>
        <v>环境状况</v>
      </c>
      <c r="R21" s="705" t="s">
        <v>14</v>
      </c>
      <c r="S21" s="706">
        <f>F21</f>
        <v>100</v>
      </c>
      <c r="T21" s="705" t="s">
        <v>14</v>
      </c>
      <c r="U21" s="706">
        <f>H21</f>
        <v>100</v>
      </c>
      <c r="V21" s="705" t="s">
        <v>14</v>
      </c>
      <c r="W21" s="706">
        <f>J21</f>
        <v>100</v>
      </c>
      <c r="X21" s="1355"/>
      <c r="Y21" s="366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67"/>
      <c r="Q22" s="1352"/>
      <c r="R22" s="705"/>
      <c r="S22" s="706"/>
      <c r="T22" s="705"/>
      <c r="U22" s="706"/>
      <c r="V22" s="705"/>
      <c r="W22" s="706"/>
      <c r="X22" s="1355"/>
      <c r="Y22" s="3667"/>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67"/>
      <c r="Q23" s="1343" t="str">
        <f t="shared" si="8"/>
        <v>公共配套设施</v>
      </c>
      <c r="R23" s="701" t="s">
        <v>14</v>
      </c>
      <c r="S23" s="702">
        <f>F23</f>
        <v>100</v>
      </c>
      <c r="T23" s="701" t="s">
        <v>14</v>
      </c>
      <c r="U23" s="702">
        <f>H23</f>
        <v>100</v>
      </c>
      <c r="V23" s="701" t="s">
        <v>14</v>
      </c>
      <c r="W23" s="702">
        <f>J23</f>
        <v>100</v>
      </c>
      <c r="X23" s="703"/>
      <c r="Y23" s="366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67"/>
      <c r="Q24" s="1343"/>
      <c r="R24" s="701"/>
      <c r="S24" s="702"/>
      <c r="T24" s="701"/>
      <c r="U24" s="702"/>
      <c r="V24" s="701"/>
      <c r="W24" s="702"/>
      <c r="X24" s="703"/>
      <c r="Y24" s="3667"/>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67"/>
      <c r="Q25" s="1343" t="str">
        <f t="shared" ref="Q25" si="9">B25</f>
        <v>基础设施水平</v>
      </c>
      <c r="R25" s="701" t="s">
        <v>14</v>
      </c>
      <c r="S25" s="702">
        <f>F25</f>
        <v>100</v>
      </c>
      <c r="T25" s="701" t="s">
        <v>14</v>
      </c>
      <c r="U25" s="702">
        <f>H25</f>
        <v>100</v>
      </c>
      <c r="V25" s="701" t="s">
        <v>14</v>
      </c>
      <c r="W25" s="702">
        <f>J25</f>
        <v>100</v>
      </c>
      <c r="X25" s="703"/>
      <c r="Y25" s="366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67"/>
      <c r="Q26" s="1343"/>
      <c r="R26" s="701"/>
      <c r="S26" s="702"/>
      <c r="T26" s="701"/>
      <c r="U26" s="702"/>
      <c r="V26" s="701"/>
      <c r="W26" s="702"/>
      <c r="X26" s="703"/>
      <c r="Y26" s="366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6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7"/>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67"/>
      <c r="Q28" s="1352" t="str">
        <f t="shared" si="8"/>
        <v>毗邻道路的类型与等级</v>
      </c>
      <c r="R28" s="705" t="s">
        <v>14</v>
      </c>
      <c r="S28" s="706">
        <f t="shared" si="10"/>
        <v>100</v>
      </c>
      <c r="T28" s="705" t="s">
        <v>14</v>
      </c>
      <c r="U28" s="706">
        <f t="shared" si="11"/>
        <v>100</v>
      </c>
      <c r="V28" s="705" t="s">
        <v>14</v>
      </c>
      <c r="W28" s="706">
        <f t="shared" si="12"/>
        <v>100</v>
      </c>
      <c r="X28" s="1355"/>
      <c r="Y28" s="366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67"/>
      <c r="Q29" s="1352"/>
      <c r="R29" s="705"/>
      <c r="S29" s="706"/>
      <c r="T29" s="705"/>
      <c r="U29" s="706"/>
      <c r="V29" s="705"/>
      <c r="W29" s="706"/>
      <c r="X29" s="1355"/>
      <c r="Y29" s="3667"/>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67"/>
      <c r="Q30" s="1352" t="str">
        <f t="shared" si="8"/>
        <v>土地级别</v>
      </c>
      <c r="R30" s="705" t="s">
        <v>14</v>
      </c>
      <c r="S30" s="706">
        <f t="shared" si="10"/>
        <v>100</v>
      </c>
      <c r="T30" s="705" t="s">
        <v>14</v>
      </c>
      <c r="U30" s="706">
        <f t="shared" si="11"/>
        <v>100</v>
      </c>
      <c r="V30" s="705" t="s">
        <v>14</v>
      </c>
      <c r="W30" s="706">
        <f t="shared" si="12"/>
        <v>100</v>
      </c>
      <c r="X30" s="1355"/>
      <c r="Y30" s="366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67"/>
      <c r="Q31" s="1352">
        <f t="shared" si="8"/>
        <v>111</v>
      </c>
      <c r="R31" s="705" t="s">
        <v>14</v>
      </c>
      <c r="S31" s="706">
        <f t="shared" si="10"/>
        <v>100</v>
      </c>
      <c r="T31" s="705" t="s">
        <v>14</v>
      </c>
      <c r="U31" s="706">
        <f t="shared" si="11"/>
        <v>100</v>
      </c>
      <c r="V31" s="705" t="s">
        <v>14</v>
      </c>
      <c r="W31" s="706">
        <f t="shared" si="12"/>
        <v>100</v>
      </c>
      <c r="X31" s="1355"/>
      <c r="Y31" s="366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2" t="s">
        <v>1696</v>
      </c>
      <c r="Q32" s="1352">
        <f t="shared" si="8"/>
        <v>111</v>
      </c>
      <c r="R32" s="705" t="s">
        <v>14</v>
      </c>
      <c r="S32" s="706">
        <f t="shared" si="10"/>
        <v>100</v>
      </c>
      <c r="T32" s="705" t="s">
        <v>14</v>
      </c>
      <c r="U32" s="706">
        <f t="shared" si="11"/>
        <v>100</v>
      </c>
      <c r="V32" s="705" t="s">
        <v>14</v>
      </c>
      <c r="W32" s="706">
        <f t="shared" si="12"/>
        <v>100</v>
      </c>
      <c r="X32" s="1355"/>
      <c r="Y32" s="367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1"/>
      <c r="Q33" s="1352">
        <f t="shared" si="8"/>
        <v>111</v>
      </c>
      <c r="R33" s="708" t="s">
        <v>14</v>
      </c>
      <c r="S33" s="709">
        <f t="shared" si="10"/>
        <v>100</v>
      </c>
      <c r="T33" s="708" t="s">
        <v>14</v>
      </c>
      <c r="U33" s="709">
        <f t="shared" si="11"/>
        <v>100</v>
      </c>
      <c r="V33" s="708" t="s">
        <v>14</v>
      </c>
      <c r="W33" s="709">
        <f t="shared" si="12"/>
        <v>100</v>
      </c>
      <c r="X33" s="710"/>
      <c r="Y33" s="367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1"/>
      <c r="Q34" s="1352" t="str">
        <f>B34</f>
        <v>宗地面积</v>
      </c>
      <c r="R34" s="705" t="s">
        <v>14</v>
      </c>
      <c r="S34" s="706" t="e">
        <f t="shared" si="10"/>
        <v>#N/A</v>
      </c>
      <c r="T34" s="705" t="s">
        <v>14</v>
      </c>
      <c r="U34" s="706" t="e">
        <f t="shared" si="11"/>
        <v>#N/A</v>
      </c>
      <c r="V34" s="705" t="s">
        <v>14</v>
      </c>
      <c r="W34" s="706" t="e">
        <f t="shared" si="12"/>
        <v>#N/A</v>
      </c>
      <c r="X34" s="1355"/>
      <c r="Y34" s="367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1"/>
      <c r="Q35" s="1352" t="str">
        <f t="shared" ref="Q35:Q40" si="14">B35</f>
        <v>宗地形状</v>
      </c>
      <c r="R35" s="705" t="s">
        <v>14</v>
      </c>
      <c r="S35" s="706">
        <f t="shared" si="10"/>
        <v>100</v>
      </c>
      <c r="T35" s="705" t="s">
        <v>14</v>
      </c>
      <c r="U35" s="706">
        <f t="shared" si="11"/>
        <v>100</v>
      </c>
      <c r="V35" s="705" t="s">
        <v>14</v>
      </c>
      <c r="W35" s="706">
        <f t="shared" si="12"/>
        <v>100</v>
      </c>
      <c r="X35" s="1355"/>
      <c r="Y35" s="367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1"/>
      <c r="Q36" s="1352" t="str">
        <f t="shared" si="14"/>
        <v>宗地开发程度</v>
      </c>
      <c r="R36" s="701" t="s">
        <v>14</v>
      </c>
      <c r="S36" s="702">
        <f t="shared" si="10"/>
        <v>100</v>
      </c>
      <c r="T36" s="701" t="s">
        <v>14</v>
      </c>
      <c r="U36" s="702">
        <f t="shared" si="11"/>
        <v>100</v>
      </c>
      <c r="V36" s="701" t="s">
        <v>14</v>
      </c>
      <c r="W36" s="702">
        <f t="shared" si="12"/>
        <v>100</v>
      </c>
      <c r="X36" s="703"/>
      <c r="Y36" s="367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1" t="s">
        <v>1696</v>
      </c>
      <c r="Q37" s="1352" t="str">
        <f t="shared" si="14"/>
        <v>工程地质条件</v>
      </c>
      <c r="R37" s="705" t="s">
        <v>14</v>
      </c>
      <c r="S37" s="706">
        <f t="shared" si="10"/>
        <v>100</v>
      </c>
      <c r="T37" s="705" t="s">
        <v>14</v>
      </c>
      <c r="U37" s="706">
        <f t="shared" si="11"/>
        <v>100</v>
      </c>
      <c r="V37" s="705" t="s">
        <v>14</v>
      </c>
      <c r="W37" s="706">
        <f t="shared" si="12"/>
        <v>100</v>
      </c>
      <c r="X37" s="1355"/>
      <c r="Y37" s="367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1"/>
      <c r="Q38" s="1352">
        <f t="shared" si="14"/>
        <v>111</v>
      </c>
      <c r="R38" s="705" t="s">
        <v>14</v>
      </c>
      <c r="S38" s="706">
        <f t="shared" si="10"/>
        <v>100</v>
      </c>
      <c r="T38" s="705" t="s">
        <v>14</v>
      </c>
      <c r="U38" s="706">
        <f t="shared" si="11"/>
        <v>100</v>
      </c>
      <c r="V38" s="705" t="s">
        <v>14</v>
      </c>
      <c r="W38" s="706">
        <f t="shared" si="12"/>
        <v>100</v>
      </c>
      <c r="X38" s="1355"/>
      <c r="Y38" s="367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1"/>
      <c r="Q39" s="1352">
        <f t="shared" si="14"/>
        <v>111</v>
      </c>
      <c r="R39" s="705" t="s">
        <v>14</v>
      </c>
      <c r="S39" s="706">
        <f t="shared" si="10"/>
        <v>100</v>
      </c>
      <c r="T39" s="705" t="s">
        <v>14</v>
      </c>
      <c r="U39" s="706">
        <f t="shared" si="11"/>
        <v>100</v>
      </c>
      <c r="V39" s="705" t="s">
        <v>14</v>
      </c>
      <c r="W39" s="706">
        <f t="shared" si="12"/>
        <v>100</v>
      </c>
      <c r="X39" s="1355"/>
      <c r="Y39" s="367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1"/>
      <c r="Q40" s="1352">
        <f t="shared" si="14"/>
        <v>111</v>
      </c>
      <c r="R40" s="708" t="s">
        <v>14</v>
      </c>
      <c r="S40" s="709">
        <f t="shared" si="10"/>
        <v>100</v>
      </c>
      <c r="T40" s="708" t="s">
        <v>14</v>
      </c>
      <c r="U40" s="709">
        <f t="shared" si="11"/>
        <v>100</v>
      </c>
      <c r="V40" s="708" t="s">
        <v>14</v>
      </c>
      <c r="W40" s="709">
        <f t="shared" si="12"/>
        <v>100</v>
      </c>
      <c r="X40" s="710"/>
      <c r="Y40" s="367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64" t="str">
        <f>A41</f>
        <v>成交单价</v>
      </c>
      <c r="Q41" s="3664"/>
      <c r="R41" s="3695">
        <f>E41</f>
        <v>0</v>
      </c>
      <c r="S41" s="3695"/>
      <c r="T41" s="3695">
        <f>G41</f>
        <v>0</v>
      </c>
      <c r="U41" s="3695"/>
      <c r="V41" s="3695">
        <f>I41</f>
        <v>0</v>
      </c>
      <c r="W41" s="3695"/>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64" t="str">
        <f>A42</f>
        <v>比较价值（元/平方米）</v>
      </c>
      <c r="Q42" s="3664"/>
      <c r="R42" s="3724" t="e">
        <f>ROUND(PRODUCT(R41,AA7:AA40),0)</f>
        <v>#DIV/0!</v>
      </c>
      <c r="S42" s="3724"/>
      <c r="T42" s="3724" t="e">
        <f>ROUND(PRODUCT(T41,AB7:AB40),0)</f>
        <v>#DIV/0!</v>
      </c>
      <c r="U42" s="3724"/>
      <c r="V42" s="3724" t="e">
        <f>ROUND(PRODUCT(V41,AC7:AC40),0)</f>
        <v>#DIV/0!</v>
      </c>
      <c r="W42" s="372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1" t="str">
        <f>A43</f>
        <v>估价对象XX用房的比较价值（楼面单价，元/平方米）</v>
      </c>
      <c r="Q43" s="3662"/>
      <c r="R43" s="3725" t="e">
        <f>ROUND(IF(D42="简单平均",AVERAGE(R42:W42),R42*F42+T42*H42+V42*J42),0)</f>
        <v>#DIV/0!</v>
      </c>
      <c r="S43" s="3725"/>
      <c r="T43" s="3725"/>
      <c r="U43" s="3725"/>
      <c r="V43" s="3725"/>
      <c r="W43" s="372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79" t="s">
        <v>1887</v>
      </c>
      <c r="H50" s="372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0</v>
      </c>
      <c r="F51" s="639" t="e">
        <f t="shared" ref="F51:F60" si="15">ROUND(B51*E51/10000,0)</f>
        <v>#DIV/0!</v>
      </c>
      <c r="G51" s="3675"/>
      <c r="H51" s="3664"/>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t="e">
        <f>IF(B41="楼面地价",SUM(E51:E60),'数据-汇总表'!D3)</f>
        <v>#DIV/0!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2024-11-1</v>
      </c>
      <c r="D63" s="692">
        <f>EDATE(C63,-3)</f>
        <v>45505</v>
      </c>
      <c r="E63" s="692">
        <f>EDATE(D63,-3)</f>
        <v>45413</v>
      </c>
      <c r="F63" s="692">
        <f t="shared" ref="F63:O63" si="18">EDATE(E63,-3)</f>
        <v>45323</v>
      </c>
      <c r="G63" s="692">
        <f t="shared" si="18"/>
        <v>45231</v>
      </c>
      <c r="H63" s="692">
        <f t="shared" si="18"/>
        <v>45139</v>
      </c>
      <c r="I63" s="692">
        <f t="shared" si="18"/>
        <v>45047</v>
      </c>
      <c r="J63" s="692">
        <f t="shared" si="18"/>
        <v>44958</v>
      </c>
      <c r="K63" s="692">
        <f t="shared" si="18"/>
        <v>44866</v>
      </c>
      <c r="L63" s="692">
        <f t="shared" si="18"/>
        <v>44774</v>
      </c>
      <c r="M63" s="692">
        <f t="shared" si="18"/>
        <v>44682</v>
      </c>
      <c r="N63" s="692">
        <f t="shared" si="18"/>
        <v>44593</v>
      </c>
      <c r="O63" s="692">
        <f t="shared" si="18"/>
        <v>44501</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2024-4</v>
      </c>
      <c r="D65" s="1182" t="str">
        <f t="shared" ref="D65:O65" si="19">YEAR(D63)&amp;"-"&amp;ROUNDUP(MONTH(D63)/3,0)</f>
        <v>2024-3</v>
      </c>
      <c r="E65" s="1182" t="str">
        <f t="shared" si="19"/>
        <v>2024-2</v>
      </c>
      <c r="F65" s="1182" t="str">
        <f t="shared" si="19"/>
        <v>2024-1</v>
      </c>
      <c r="G65" s="1182" t="str">
        <f t="shared" si="19"/>
        <v>2023-4</v>
      </c>
      <c r="H65" s="1182" t="str">
        <f t="shared" si="19"/>
        <v>2023-3</v>
      </c>
      <c r="I65" s="1182" t="str">
        <f t="shared" si="19"/>
        <v>2023-2</v>
      </c>
      <c r="J65" s="1182" t="str">
        <f t="shared" si="19"/>
        <v>2023-1</v>
      </c>
      <c r="K65" s="1182" t="str">
        <f t="shared" si="19"/>
        <v>2022-4</v>
      </c>
      <c r="L65" s="1182" t="str">
        <f t="shared" si="19"/>
        <v>2022-3</v>
      </c>
      <c r="M65" s="1182" t="str">
        <f t="shared" si="19"/>
        <v>2022-2</v>
      </c>
      <c r="N65" s="1182" t="str">
        <f t="shared" si="19"/>
        <v>2022-1</v>
      </c>
      <c r="O65" s="1182" t="str">
        <f t="shared" si="19"/>
        <v>2021-4</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4" t="s">
        <v>2084</v>
      </c>
      <c r="D1" s="3735"/>
      <c r="E1" s="3735"/>
      <c r="F1" s="3735"/>
      <c r="G1" s="3735"/>
      <c r="H1" s="3735"/>
      <c r="I1" s="3735"/>
      <c r="J1" s="3735"/>
      <c r="K1" s="3735"/>
      <c r="L1" s="3735"/>
      <c r="M1" s="3735"/>
      <c r="N1" s="3735"/>
      <c r="O1" s="3735"/>
      <c r="P1" s="3735"/>
      <c r="Q1" s="3735"/>
      <c r="R1" s="3735"/>
      <c r="S1" s="373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1" t="s">
        <v>27</v>
      </c>
      <c r="D22" s="3732"/>
      <c r="E22" s="3732"/>
      <c r="F22" s="3732"/>
      <c r="G22" s="3732"/>
      <c r="H22" s="3732"/>
      <c r="I22" s="3732"/>
      <c r="J22" s="3732"/>
      <c r="K22" s="3732"/>
      <c r="L22" s="3732"/>
      <c r="M22" s="3732"/>
      <c r="N22" s="3732"/>
      <c r="O22" s="3732"/>
      <c r="P22" s="3732"/>
      <c r="Q22" s="373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 zoomScaleNormal="80" zoomScaleSheetLayoutView="100" workbookViewId="0">
      <selection activeCell="C23" sqref="C2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44"/>
      <c r="B4" s="3745"/>
      <c r="C4" s="3745"/>
      <c r="D4" s="3746"/>
      <c r="E4" s="3746"/>
      <c r="F4" s="3746"/>
      <c r="G4" s="3746"/>
      <c r="H4" s="3746"/>
      <c r="I4" s="3746"/>
      <c r="J4" s="374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3239</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41" t="s">
        <v>1960</v>
      </c>
      <c r="X8" s="374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43"/>
      <c r="X9" s="3362" t="s">
        <v>3270</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4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3240</v>
      </c>
      <c r="B12" s="3305" t="s">
        <v>3241</v>
      </c>
      <c r="C12" s="3306"/>
      <c r="D12" s="3307" t="s">
        <v>3242</v>
      </c>
      <c r="E12" s="3308" t="s">
        <v>3243</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3244</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3245</v>
      </c>
      <c r="G14" s="3312" t="s">
        <v>3245</v>
      </c>
      <c r="H14" s="3312" t="s">
        <v>3245</v>
      </c>
      <c r="I14" s="3312" t="s">
        <v>3245</v>
      </c>
      <c r="J14" s="3312" t="s">
        <v>3245</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3246</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3247</v>
      </c>
      <c r="B17" s="3321" t="s">
        <v>3248</v>
      </c>
      <c r="C17" s="3331">
        <f>ROUND(IF(OR(E2="工业",E2="公共服务"),1,IF(AND(E18=0,E19=0),1,IF(AND(E18=J24,E19=G19),0.8,IF(E19=0,1+E17*(-0.2),1+E17*G17*(-0.2))))),4)</f>
        <v>1</v>
      </c>
      <c r="D17" s="3322" t="s">
        <v>3249</v>
      </c>
      <c r="E17" s="3331" t="e">
        <f>ROUND(G18/I18,2)</f>
        <v>#DIV/0!</v>
      </c>
      <c r="F17" s="3322" t="s">
        <v>3252</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3250</v>
      </c>
      <c r="E18" s="3329"/>
      <c r="F18" s="3324" t="s">
        <v>3253</v>
      </c>
      <c r="G18" s="3328">
        <f>ROUND(1-(1/(POWER(1+G24,E18))),4)</f>
        <v>0</v>
      </c>
      <c r="H18" s="3324" t="s">
        <v>3255</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3251</v>
      </c>
      <c r="E19" s="3338"/>
      <c r="F19" s="3339" t="s">
        <v>3254</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8" t="s">
        <v>3256</v>
      </c>
      <c r="B20" s="167" t="s">
        <v>1994</v>
      </c>
      <c r="C20" s="3325" t="e">
        <f>ROUND(IF(F21="与级别开发程度一致",0,(G21-E21)/C21),0)</f>
        <v>#DIV/0!</v>
      </c>
      <c r="D20" s="3341" t="s">
        <v>1998</v>
      </c>
      <c r="E20" s="3342"/>
      <c r="F20" s="3754" t="s">
        <v>1995</v>
      </c>
      <c r="G20" s="3755"/>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49"/>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2054" t="s">
        <v>2002</v>
      </c>
      <c r="E23" s="761">
        <v>44197</v>
      </c>
      <c r="F23" s="2054" t="s">
        <v>2003</v>
      </c>
      <c r="G23" s="762">
        <f>'数据-取费表'!B2</f>
        <v>45604</v>
      </c>
      <c r="H23" s="3343" t="s">
        <v>3258</v>
      </c>
      <c r="I23" s="3344" t="str">
        <f>IF(H23="季度增幅（自定义）",SUMIF(N25:N28,E2,O25:O28),"")</f>
        <v/>
      </c>
      <c r="J23" s="3446" t="s">
        <v>3257</v>
      </c>
      <c r="K23" s="1125"/>
      <c r="L23" s="2055" t="s">
        <v>2004</v>
      </c>
      <c r="M23" s="1328">
        <f>ROUND(SUMIF(地价!B2:G2,E2,地价!B16:G16),0)</f>
        <v>0</v>
      </c>
      <c r="N23" s="2056" t="s">
        <v>2005</v>
      </c>
      <c r="O23" s="763">
        <f>ROUNDDOWN(DATEDIF(E23,G23,"M")/3,0)</f>
        <v>15</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存贷款利率!E27/100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3337</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3259</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3260</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3264</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3262</v>
      </c>
      <c r="G33" s="2099"/>
      <c r="H33" s="2099"/>
      <c r="I33" s="2099"/>
      <c r="J33" s="2100"/>
      <c r="K33" s="1119"/>
      <c r="L33" s="3349" t="s">
        <v>3265</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3266</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3263</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3267</v>
      </c>
      <c r="L36" s="3447" t="e">
        <f ca="1">'数据-取费表'!B40</f>
        <v>#VALUE!</v>
      </c>
      <c r="M36" s="3358" t="e">
        <f ca="1">ROUND($L$36*(1+M31),3)</f>
        <v>#VALUE!</v>
      </c>
      <c r="N36" s="3358" t="e">
        <f ca="1">ROUND($L$36*(1+N31),3)</f>
        <v>#VALUE!</v>
      </c>
      <c r="O36" s="3358" t="e">
        <f ca="1">ROUND($L$36*(1+O31),3)</f>
        <v>#VALUE!</v>
      </c>
      <c r="P36" s="3358" t="e">
        <f ca="1">ROUND($L$36*(1+P31),3)</f>
        <v>#VALUE!</v>
      </c>
      <c r="Q36" s="3358" t="e">
        <f ca="1">ROUND($L$36*(1+Q31),3)</f>
        <v>#VALUE!</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2"/>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3268</v>
      </c>
      <c r="L37" s="3357" t="e">
        <f ca="1">L36+K38</f>
        <v>#VALUE!</v>
      </c>
      <c r="M37" s="3358" t="e">
        <f ca="1">ROUND($L$37*(1+M31),3)</f>
        <v>#VALUE!</v>
      </c>
      <c r="N37" s="3358" t="e">
        <f t="shared" ref="N37:Q37" ca="1" si="3">ROUND($L$37*(1+N31),3)</f>
        <v>#VALUE!</v>
      </c>
      <c r="O37" s="3358" t="e">
        <f t="shared" ca="1" si="3"/>
        <v>#VALUE!</v>
      </c>
      <c r="P37" s="3358" t="e">
        <f t="shared" ca="1" si="3"/>
        <v>#VALUE!</v>
      </c>
      <c r="Q37" s="3358" t="e">
        <f t="shared" ca="1" si="3"/>
        <v>#VALUE!</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3"/>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3"/>
      <c r="B39" s="2041" t="s">
        <v>3261</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3269</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3271</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3271</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3271</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3272</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2614</v>
      </c>
      <c r="B91" s="3378">
        <f>1+E93</f>
        <v>1</v>
      </c>
      <c r="C91" s="3371"/>
      <c r="D91" s="3372"/>
      <c r="E91" s="1814"/>
      <c r="F91" s="1814"/>
      <c r="G91" s="3373"/>
      <c r="H91" s="3374"/>
      <c r="I91" s="3375"/>
      <c r="J91" s="3376"/>
      <c r="K91" s="3376"/>
      <c r="L91" s="3376"/>
      <c r="M91" s="3376"/>
      <c r="N91" s="3376"/>
    </row>
    <row r="92" spans="1:37" ht="24.75">
      <c r="A92" s="3379" t="s">
        <v>3273</v>
      </c>
      <c r="B92" s="3366"/>
      <c r="C92" s="3366" t="s">
        <v>3282</v>
      </c>
      <c r="D92" s="3366" t="s">
        <v>3283</v>
      </c>
      <c r="E92" s="3348" t="s">
        <v>3284</v>
      </c>
      <c r="F92" s="3381" t="s">
        <v>3285</v>
      </c>
      <c r="G92" s="3366" t="s">
        <v>3286</v>
      </c>
      <c r="H92" s="3388" t="s">
        <v>3289</v>
      </c>
      <c r="I92" s="3366" t="s">
        <v>3290</v>
      </c>
      <c r="J92" s="3389" t="s">
        <v>3291</v>
      </c>
      <c r="K92" s="3389" t="s">
        <v>3292</v>
      </c>
      <c r="L92" s="3389" t="s">
        <v>3293</v>
      </c>
      <c r="M92" s="3389" t="s">
        <v>3294</v>
      </c>
      <c r="N92" s="3389" t="s">
        <v>3295</v>
      </c>
    </row>
    <row r="93" spans="1:37" ht="24">
      <c r="A93" s="3369" t="s">
        <v>3274</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3275</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3271</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3276</v>
      </c>
      <c r="B96" s="3385" t="s">
        <v>3287</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3277</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3278</v>
      </c>
      <c r="B98" s="3386" t="s">
        <v>3288</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3279</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3280</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3281</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50" t="s">
        <v>3296</v>
      </c>
      <c r="B103" s="3750"/>
      <c r="C103" s="3750"/>
      <c r="D103" s="3750"/>
      <c r="E103" s="3750"/>
      <c r="F103" s="3750"/>
      <c r="G103" s="3750"/>
      <c r="H103" s="3750"/>
      <c r="I103" s="3750"/>
      <c r="J103" s="3750"/>
      <c r="K103" s="3390"/>
      <c r="L103" s="3390"/>
      <c r="M103" s="3390"/>
      <c r="N103" s="3390"/>
    </row>
    <row r="104" spans="1:14">
      <c r="A104" s="3751" t="s">
        <v>3297</v>
      </c>
      <c r="B104" s="3751" t="s">
        <v>3298</v>
      </c>
      <c r="C104" s="3391" t="s">
        <v>3299</v>
      </c>
      <c r="D104" s="3392"/>
      <c r="E104" s="3392"/>
      <c r="F104" s="3392"/>
      <c r="G104" s="3392"/>
      <c r="H104" s="3392"/>
      <c r="I104" s="3392"/>
      <c r="J104" s="3393"/>
      <c r="K104" s="3394"/>
      <c r="L104" s="3394"/>
      <c r="M104" s="3394"/>
      <c r="N104" s="3394"/>
    </row>
    <row r="105" spans="1:14">
      <c r="A105" s="3751"/>
      <c r="B105" s="3751"/>
      <c r="C105" s="3395" t="s">
        <v>3300</v>
      </c>
      <c r="D105" s="3395" t="s">
        <v>3301</v>
      </c>
      <c r="E105" s="3395" t="s">
        <v>3302</v>
      </c>
      <c r="F105" s="3395" t="s">
        <v>3303</v>
      </c>
      <c r="G105" s="3395" t="s">
        <v>3304</v>
      </c>
      <c r="H105" s="3395" t="s">
        <v>3305</v>
      </c>
      <c r="I105" s="3395" t="s">
        <v>3306</v>
      </c>
      <c r="J105" s="3395" t="s">
        <v>3307</v>
      </c>
      <c r="K105" s="3395" t="s">
        <v>3308</v>
      </c>
      <c r="L105" s="3395" t="s">
        <v>3309</v>
      </c>
      <c r="M105" s="3395" t="s">
        <v>3310</v>
      </c>
      <c r="N105" s="3395" t="s">
        <v>3311</v>
      </c>
    </row>
    <row r="106" spans="1:14">
      <c r="A106" s="3737" t="s">
        <v>3312</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8"/>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8"/>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8"/>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8"/>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8"/>
      <c r="B111" s="3395" t="s">
        <v>3270</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39"/>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40" t="s">
        <v>3313</v>
      </c>
      <c r="B113" s="3740"/>
      <c r="C113" s="3740"/>
      <c r="D113" s="3740"/>
      <c r="E113" s="3740"/>
      <c r="F113" s="3740"/>
      <c r="G113" s="3740"/>
      <c r="H113" s="3740"/>
      <c r="I113" s="3740"/>
      <c r="J113" s="3740"/>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3314</v>
      </c>
      <c r="B116" s="3416">
        <f>G3</f>
        <v>0</v>
      </c>
      <c r="C116" s="3400" t="s">
        <v>3315</v>
      </c>
      <c r="D116" s="3401">
        <f>SUMPRODUCT((A118:A122=F116)*(B117:M117=H116)*B118:M122)</f>
        <v>0</v>
      </c>
      <c r="E116" s="2000" t="s">
        <v>3316</v>
      </c>
      <c r="F116" s="3402">
        <f>E2</f>
        <v>0</v>
      </c>
      <c r="G116" s="2000" t="s">
        <v>3317</v>
      </c>
      <c r="H116" s="3402">
        <f>G2</f>
        <v>0</v>
      </c>
      <c r="I116" s="2000"/>
      <c r="J116" s="3403"/>
      <c r="K116" s="3403"/>
      <c r="L116" s="3403"/>
      <c r="M116" s="3403"/>
      <c r="N116" s="3398"/>
    </row>
    <row r="117" spans="1:14">
      <c r="A117" s="3404"/>
      <c r="B117" s="3405" t="s">
        <v>3318</v>
      </c>
      <c r="C117" s="3405" t="s">
        <v>3319</v>
      </c>
      <c r="D117" s="3405" t="s">
        <v>3320</v>
      </c>
      <c r="E117" s="3406" t="s">
        <v>3321</v>
      </c>
      <c r="F117" s="3406" t="s">
        <v>3322</v>
      </c>
      <c r="G117" s="3406" t="s">
        <v>3323</v>
      </c>
      <c r="H117" s="3407" t="s">
        <v>3324</v>
      </c>
      <c r="I117" s="3407" t="s">
        <v>3325</v>
      </c>
      <c r="J117" s="3408" t="s">
        <v>3326</v>
      </c>
      <c r="K117" s="3408" t="s">
        <v>3327</v>
      </c>
      <c r="L117" s="3408" t="s">
        <v>3328</v>
      </c>
      <c r="M117" s="3409" t="s">
        <v>3329</v>
      </c>
      <c r="N117" s="3398"/>
    </row>
    <row r="118" spans="1:14">
      <c r="A118" s="3410" t="s">
        <v>3330</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3331</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3332</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3333</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2614</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2596</v>
      </c>
      <c r="B1" s="3072" t="s">
        <v>2597</v>
      </c>
      <c r="C1" s="3072" t="s">
        <v>2598</v>
      </c>
      <c r="D1" s="3072" t="s">
        <v>2599</v>
      </c>
      <c r="E1" s="3072" t="s">
        <v>2600</v>
      </c>
      <c r="F1" s="3072" t="s">
        <v>2601</v>
      </c>
      <c r="G1" s="3072" t="s">
        <v>2602</v>
      </c>
      <c r="H1" s="3072" t="s">
        <v>2603</v>
      </c>
      <c r="I1" s="3072" t="s">
        <v>2604</v>
      </c>
      <c r="J1" s="3072" t="s">
        <v>2605</v>
      </c>
      <c r="K1" s="3072" t="s">
        <v>2606</v>
      </c>
      <c r="L1" s="3072" t="s">
        <v>2607</v>
      </c>
      <c r="M1" s="3073" t="s">
        <v>2608</v>
      </c>
    </row>
    <row r="2" spans="1:13" ht="19.5" customHeight="1">
      <c r="A2" s="3075" t="s">
        <v>2609</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2610</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2611</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2612</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2613</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2614</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2615</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2616</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2617</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2618</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2619</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2620</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2621</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2622</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2623</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2624</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2625</v>
      </c>
      <c r="B18" s="3097"/>
      <c r="C18" s="3098"/>
      <c r="D18" s="3098"/>
      <c r="E18" s="3097"/>
      <c r="F18" s="3098"/>
      <c r="G18" s="3098"/>
    </row>
    <row r="19" spans="1:13" ht="19.5" customHeight="1" thickBot="1">
      <c r="A19" s="3095" t="s">
        <v>2626</v>
      </c>
      <c r="B19" s="3100" t="s">
        <v>2627</v>
      </c>
      <c r="C19" s="3100" t="s">
        <v>2628</v>
      </c>
      <c r="D19" s="3101"/>
      <c r="E19" s="3095" t="s">
        <v>2629</v>
      </c>
      <c r="F19" s="3102"/>
      <c r="G19" s="3102"/>
    </row>
    <row r="20" spans="1:13" ht="19.5" customHeight="1">
      <c r="A20" s="3765" t="s">
        <v>2609</v>
      </c>
      <c r="B20" s="3760" t="s">
        <v>2630</v>
      </c>
      <c r="C20" s="3103" t="s">
        <v>2441</v>
      </c>
      <c r="D20" s="3104"/>
      <c r="E20" s="3105">
        <v>1</v>
      </c>
      <c r="F20" s="3106" t="s">
        <v>2442</v>
      </c>
      <c r="G20" s="3106"/>
    </row>
    <row r="21" spans="1:13" ht="19.5" customHeight="1">
      <c r="A21" s="3766"/>
      <c r="B21" s="3759"/>
      <c r="C21" s="3107" t="s">
        <v>2443</v>
      </c>
      <c r="D21" s="3108"/>
      <c r="E21" s="3109">
        <v>1</v>
      </c>
      <c r="F21" s="3106" t="s">
        <v>2444</v>
      </c>
      <c r="G21" s="3106"/>
    </row>
    <row r="22" spans="1:13" ht="19.5" customHeight="1">
      <c r="A22" s="3766"/>
      <c r="B22" s="3759"/>
      <c r="C22" s="3107" t="s">
        <v>2445</v>
      </c>
      <c r="D22" s="3108"/>
      <c r="E22" s="3109">
        <v>0.9</v>
      </c>
      <c r="F22" s="3106" t="s">
        <v>2446</v>
      </c>
      <c r="G22" s="3106"/>
    </row>
    <row r="23" spans="1:13" ht="19.5" customHeight="1">
      <c r="A23" s="3766"/>
      <c r="B23" s="3759"/>
      <c r="C23" s="3107" t="s">
        <v>2447</v>
      </c>
      <c r="D23" s="3108"/>
      <c r="E23" s="3109">
        <v>0.9</v>
      </c>
      <c r="F23" s="3106" t="s">
        <v>2448</v>
      </c>
      <c r="G23" s="3106"/>
    </row>
    <row r="24" spans="1:13" ht="19.5" customHeight="1">
      <c r="A24" s="3766"/>
      <c r="B24" s="3759"/>
      <c r="C24" s="3107" t="s">
        <v>2449</v>
      </c>
      <c r="D24" s="3108"/>
      <c r="E24" s="3109">
        <v>0.8</v>
      </c>
      <c r="F24" s="3106" t="s">
        <v>2450</v>
      </c>
      <c r="G24" s="3106"/>
    </row>
    <row r="25" spans="1:13" ht="19.5" customHeight="1" thickBot="1">
      <c r="A25" s="3767"/>
      <c r="B25" s="3761"/>
      <c r="C25" s="3110" t="s">
        <v>2451</v>
      </c>
      <c r="D25" s="3111"/>
      <c r="E25" s="3112">
        <v>0.8</v>
      </c>
      <c r="F25" s="3106" t="s">
        <v>2452</v>
      </c>
      <c r="G25" s="3106"/>
    </row>
    <row r="26" spans="1:13" ht="19.5" customHeight="1" thickBot="1">
      <c r="A26" s="3113" t="s">
        <v>2631</v>
      </c>
      <c r="B26" s="3114" t="s">
        <v>2630</v>
      </c>
      <c r="C26" s="3115" t="s">
        <v>2632</v>
      </c>
      <c r="D26" s="3116"/>
      <c r="E26" s="3117">
        <v>1</v>
      </c>
      <c r="F26" s="3106" t="s">
        <v>2453</v>
      </c>
      <c r="G26" s="3106"/>
    </row>
    <row r="27" spans="1:13" ht="19.5" customHeight="1">
      <c r="A27" s="3762" t="s">
        <v>2633</v>
      </c>
      <c r="B27" s="3760" t="s">
        <v>2614</v>
      </c>
      <c r="C27" s="3103" t="s">
        <v>2454</v>
      </c>
      <c r="D27" s="3104"/>
      <c r="E27" s="3105">
        <v>1</v>
      </c>
      <c r="F27" s="3106" t="s">
        <v>2455</v>
      </c>
      <c r="G27" s="3106"/>
    </row>
    <row r="28" spans="1:13" ht="19.5" customHeight="1">
      <c r="A28" s="3763"/>
      <c r="B28" s="3759"/>
      <c r="C28" s="3107" t="s">
        <v>2456</v>
      </c>
      <c r="D28" s="3108"/>
      <c r="E28" s="3109">
        <v>1</v>
      </c>
      <c r="F28" s="3106" t="s">
        <v>2457</v>
      </c>
      <c r="G28" s="3106"/>
    </row>
    <row r="29" spans="1:13" ht="19.5" customHeight="1">
      <c r="A29" s="3763"/>
      <c r="B29" s="3759"/>
      <c r="C29" s="3107" t="s">
        <v>2458</v>
      </c>
      <c r="D29" s="3108"/>
      <c r="E29" s="3109">
        <v>0.8</v>
      </c>
      <c r="F29" s="3106" t="s">
        <v>2459</v>
      </c>
      <c r="G29" s="3106"/>
    </row>
    <row r="30" spans="1:13" ht="19.5" customHeight="1">
      <c r="A30" s="3763"/>
      <c r="B30" s="3759"/>
      <c r="C30" s="3107" t="s">
        <v>2460</v>
      </c>
      <c r="D30" s="3108"/>
      <c r="E30" s="3109">
        <v>0.8</v>
      </c>
      <c r="F30" s="3106" t="s">
        <v>2461</v>
      </c>
      <c r="G30" s="3106"/>
    </row>
    <row r="31" spans="1:13" ht="19.5" customHeight="1">
      <c r="A31" s="3763"/>
      <c r="B31" s="3759"/>
      <c r="C31" s="3107" t="s">
        <v>2462</v>
      </c>
      <c r="D31" s="3108"/>
      <c r="E31" s="3109">
        <v>0.8</v>
      </c>
      <c r="F31" s="3106" t="s">
        <v>2463</v>
      </c>
      <c r="G31" s="3106"/>
    </row>
    <row r="32" spans="1:13" ht="19.5" customHeight="1">
      <c r="A32" s="3763"/>
      <c r="B32" s="3759"/>
      <c r="C32" s="3107" t="s">
        <v>2464</v>
      </c>
      <c r="D32" s="3108"/>
      <c r="E32" s="3109">
        <v>0.7</v>
      </c>
      <c r="F32" s="3106" t="s">
        <v>2465</v>
      </c>
      <c r="G32" s="3106"/>
    </row>
    <row r="33" spans="1:7" ht="19.5" customHeight="1">
      <c r="A33" s="3763"/>
      <c r="B33" s="3759"/>
      <c r="C33" s="3107" t="s">
        <v>2466</v>
      </c>
      <c r="D33" s="3108"/>
      <c r="E33" s="3109">
        <v>0.8</v>
      </c>
      <c r="F33" s="3106" t="s">
        <v>2467</v>
      </c>
      <c r="G33" s="3106"/>
    </row>
    <row r="34" spans="1:7" ht="19.5" customHeight="1">
      <c r="A34" s="3763"/>
      <c r="B34" s="3759"/>
      <c r="C34" s="3107" t="s">
        <v>2468</v>
      </c>
      <c r="D34" s="3108"/>
      <c r="E34" s="3109">
        <v>0.6</v>
      </c>
      <c r="F34" s="3106" t="s">
        <v>2469</v>
      </c>
      <c r="G34" s="3106"/>
    </row>
    <row r="35" spans="1:7" ht="19.5" customHeight="1">
      <c r="A35" s="3763"/>
      <c r="B35" s="3759"/>
      <c r="C35" s="3107" t="s">
        <v>2470</v>
      </c>
      <c r="D35" s="3108"/>
      <c r="E35" s="3109">
        <v>0.2</v>
      </c>
      <c r="F35" s="3106" t="s">
        <v>2471</v>
      </c>
      <c r="G35" s="3106"/>
    </row>
    <row r="36" spans="1:7" ht="19.5" customHeight="1">
      <c r="A36" s="3763"/>
      <c r="B36" s="3759"/>
      <c r="C36" s="3107" t="s">
        <v>2472</v>
      </c>
      <c r="D36" s="3108"/>
      <c r="E36" s="3109">
        <v>0.2</v>
      </c>
      <c r="F36" s="3106" t="s">
        <v>2473</v>
      </c>
      <c r="G36" s="3106"/>
    </row>
    <row r="37" spans="1:7" ht="19.5" customHeight="1">
      <c r="A37" s="3763"/>
      <c r="B37" s="3757" t="s">
        <v>2634</v>
      </c>
      <c r="C37" s="3107" t="s">
        <v>2474</v>
      </c>
      <c r="D37" s="3108"/>
      <c r="E37" s="3109">
        <v>0.6</v>
      </c>
      <c r="F37" s="3106" t="s">
        <v>2475</v>
      </c>
      <c r="G37" s="3106"/>
    </row>
    <row r="38" spans="1:7" ht="19.5" customHeight="1">
      <c r="A38" s="3763"/>
      <c r="B38" s="3759"/>
      <c r="C38" s="3107" t="s">
        <v>2476</v>
      </c>
      <c r="D38" s="3108"/>
      <c r="E38" s="3109">
        <v>0.6</v>
      </c>
      <c r="F38" s="3106" t="s">
        <v>2477</v>
      </c>
      <c r="G38" s="3106"/>
    </row>
    <row r="39" spans="1:7" ht="19.5" customHeight="1" thickBot="1">
      <c r="A39" s="3764"/>
      <c r="B39" s="3761"/>
      <c r="C39" s="3110" t="s">
        <v>2478</v>
      </c>
      <c r="D39" s="3111"/>
      <c r="E39" s="3112">
        <v>0.6</v>
      </c>
      <c r="F39" s="3106" t="s">
        <v>2479</v>
      </c>
      <c r="G39" s="3106"/>
    </row>
    <row r="40" spans="1:7" ht="19.5" customHeight="1" thickBot="1">
      <c r="A40" s="3113" t="s">
        <v>2611</v>
      </c>
      <c r="B40" s="3114" t="s">
        <v>2611</v>
      </c>
      <c r="C40" s="3115" t="s">
        <v>2635</v>
      </c>
      <c r="D40" s="3116"/>
      <c r="E40" s="3117">
        <v>1</v>
      </c>
      <c r="F40" s="3106" t="s">
        <v>2480</v>
      </c>
      <c r="G40" s="3106"/>
    </row>
    <row r="41" spans="1:7" ht="19.5" customHeight="1">
      <c r="A41" s="3765" t="s">
        <v>2612</v>
      </c>
      <c r="B41" s="3760" t="s">
        <v>2636</v>
      </c>
      <c r="C41" s="3103" t="s">
        <v>2481</v>
      </c>
      <c r="D41" s="3104"/>
      <c r="E41" s="3105">
        <v>1</v>
      </c>
      <c r="F41" s="3106" t="s">
        <v>2482</v>
      </c>
      <c r="G41" s="3106"/>
    </row>
    <row r="42" spans="1:7" ht="19.5" customHeight="1">
      <c r="A42" s="3766"/>
      <c r="B42" s="3759"/>
      <c r="C42" s="3107" t="s">
        <v>2483</v>
      </c>
      <c r="D42" s="3108"/>
      <c r="E42" s="3109">
        <v>1</v>
      </c>
      <c r="F42" s="3106" t="s">
        <v>2484</v>
      </c>
      <c r="G42" s="3106"/>
    </row>
    <row r="43" spans="1:7" ht="19.5" customHeight="1">
      <c r="A43" s="3766"/>
      <c r="B43" s="3758"/>
      <c r="C43" s="3107" t="s">
        <v>2485</v>
      </c>
      <c r="D43" s="3108"/>
      <c r="E43" s="3109">
        <v>1.5</v>
      </c>
      <c r="F43" s="3106" t="s">
        <v>2486</v>
      </c>
      <c r="G43" s="3106"/>
    </row>
    <row r="44" spans="1:7" ht="19.5" customHeight="1">
      <c r="A44" s="3766"/>
      <c r="B44" s="3118" t="s">
        <v>2637</v>
      </c>
      <c r="C44" s="3107" t="s">
        <v>2638</v>
      </c>
      <c r="D44" s="3108"/>
      <c r="E44" s="3109">
        <v>2</v>
      </c>
      <c r="F44" s="3106" t="s">
        <v>2487</v>
      </c>
      <c r="G44" s="3106"/>
    </row>
    <row r="45" spans="1:7" ht="19.5" customHeight="1">
      <c r="A45" s="3766"/>
      <c r="B45" s="3757" t="s">
        <v>2639</v>
      </c>
      <c r="C45" s="3107" t="s">
        <v>2488</v>
      </c>
      <c r="D45" s="3108"/>
      <c r="E45" s="3109">
        <v>1</v>
      </c>
      <c r="F45" s="3106" t="s">
        <v>2489</v>
      </c>
      <c r="G45" s="3106"/>
    </row>
    <row r="46" spans="1:7" ht="19.5" customHeight="1">
      <c r="A46" s="3766"/>
      <c r="B46" s="3759"/>
      <c r="C46" s="3107" t="s">
        <v>2490</v>
      </c>
      <c r="D46" s="3108"/>
      <c r="E46" s="3109">
        <v>1</v>
      </c>
      <c r="F46" s="3106" t="s">
        <v>2491</v>
      </c>
      <c r="G46" s="3106"/>
    </row>
    <row r="47" spans="1:7" ht="19.5" customHeight="1">
      <c r="A47" s="3766"/>
      <c r="B47" s="3759"/>
      <c r="C47" s="3107" t="s">
        <v>2492</v>
      </c>
      <c r="D47" s="3108"/>
      <c r="E47" s="3109">
        <v>1</v>
      </c>
      <c r="F47" s="3106" t="s">
        <v>2493</v>
      </c>
      <c r="G47" s="3106"/>
    </row>
    <row r="48" spans="1:7" ht="19.5" customHeight="1">
      <c r="A48" s="3766"/>
      <c r="B48" s="3759"/>
      <c r="C48" s="3107" t="s">
        <v>2494</v>
      </c>
      <c r="D48" s="3108"/>
      <c r="E48" s="3109">
        <v>1</v>
      </c>
      <c r="F48" s="3106" t="s">
        <v>2495</v>
      </c>
      <c r="G48" s="3106"/>
    </row>
    <row r="49" spans="1:7" ht="19.5" customHeight="1">
      <c r="A49" s="3766"/>
      <c r="B49" s="3759"/>
      <c r="C49" s="3107" t="s">
        <v>2496</v>
      </c>
      <c r="D49" s="3108"/>
      <c r="E49" s="3109">
        <v>1</v>
      </c>
      <c r="F49" s="3106" t="s">
        <v>2497</v>
      </c>
      <c r="G49" s="3106"/>
    </row>
    <row r="50" spans="1:7" ht="19.5" customHeight="1">
      <c r="A50" s="3766"/>
      <c r="B50" s="3759"/>
      <c r="C50" s="3107" t="s">
        <v>2498</v>
      </c>
      <c r="D50" s="3108"/>
      <c r="E50" s="3109">
        <v>1</v>
      </c>
      <c r="F50" s="3106" t="s">
        <v>2499</v>
      </c>
      <c r="G50" s="3106"/>
    </row>
    <row r="51" spans="1:7" ht="19.5" customHeight="1" thickBot="1">
      <c r="A51" s="3767"/>
      <c r="B51" s="3761"/>
      <c r="C51" s="3110" t="s">
        <v>2500</v>
      </c>
      <c r="D51" s="3111"/>
      <c r="E51" s="3112">
        <v>1</v>
      </c>
      <c r="F51" s="3106" t="s">
        <v>2501</v>
      </c>
      <c r="G51" s="3106"/>
    </row>
    <row r="52" spans="1:7" ht="19.5" customHeight="1">
      <c r="A52" s="3119"/>
      <c r="B52" s="3119"/>
      <c r="C52" s="3119"/>
      <c r="D52" s="3119"/>
      <c r="E52" s="3119"/>
      <c r="F52" s="3119"/>
      <c r="G52" s="3119"/>
    </row>
    <row r="54" spans="1:7" ht="19.5" customHeight="1">
      <c r="A54" s="3120"/>
      <c r="B54" s="3092" t="s">
        <v>2640</v>
      </c>
      <c r="C54" s="3092" t="s">
        <v>2640</v>
      </c>
      <c r="D54" s="3092" t="s">
        <v>2640</v>
      </c>
      <c r="E54" s="3095" t="s">
        <v>2640</v>
      </c>
      <c r="F54" s="3095" t="s">
        <v>2641</v>
      </c>
      <c r="G54" s="3095" t="s">
        <v>2642</v>
      </c>
    </row>
    <row r="55" spans="1:7" ht="19.5" customHeight="1">
      <c r="A55" s="3121"/>
      <c r="B55" s="3095" t="s">
        <v>2609</v>
      </c>
      <c r="C55" s="3095" t="s">
        <v>2609</v>
      </c>
      <c r="D55" s="3095" t="s">
        <v>2609</v>
      </c>
      <c r="E55" s="3092" t="s">
        <v>2610</v>
      </c>
      <c r="F55" s="3092" t="s">
        <v>2612</v>
      </c>
      <c r="G55" s="3092" t="s">
        <v>2643</v>
      </c>
    </row>
    <row r="56" spans="1:7" ht="19.5" customHeight="1">
      <c r="A56" s="3122"/>
      <c r="B56" s="3092">
        <v>1</v>
      </c>
      <c r="C56" s="3092">
        <v>2</v>
      </c>
      <c r="D56" s="3092">
        <v>3</v>
      </c>
      <c r="E56" s="3123" t="s">
        <v>2644</v>
      </c>
      <c r="F56" s="3123" t="s">
        <v>2644</v>
      </c>
      <c r="G56" s="3123" t="s">
        <v>2644</v>
      </c>
    </row>
    <row r="57" spans="1:7" ht="19.5" customHeight="1">
      <c r="A57" s="3124" t="s">
        <v>2597</v>
      </c>
      <c r="B57" s="3092">
        <v>0.7</v>
      </c>
      <c r="C57" s="3092">
        <v>0.4</v>
      </c>
      <c r="D57" s="3092">
        <v>0.3</v>
      </c>
      <c r="E57" s="3123">
        <v>0.3</v>
      </c>
      <c r="F57" s="3092">
        <v>0.3</v>
      </c>
      <c r="G57" s="3092">
        <v>0.2</v>
      </c>
    </row>
    <row r="58" spans="1:7" ht="19.5" customHeight="1">
      <c r="A58" s="3124" t="s">
        <v>2598</v>
      </c>
      <c r="B58" s="3092">
        <v>0.7</v>
      </c>
      <c r="C58" s="3092">
        <v>0.4</v>
      </c>
      <c r="D58" s="3092">
        <v>0.3</v>
      </c>
      <c r="E58" s="3092">
        <v>0.3</v>
      </c>
      <c r="F58" s="3092">
        <v>0.3</v>
      </c>
      <c r="G58" s="3092">
        <v>0.2</v>
      </c>
    </row>
    <row r="59" spans="1:7" ht="19.5" customHeight="1">
      <c r="A59" s="3124" t="s">
        <v>2599</v>
      </c>
      <c r="B59" s="3092">
        <v>0.6</v>
      </c>
      <c r="C59" s="3092">
        <v>0.3</v>
      </c>
      <c r="D59" s="3092">
        <v>0.25</v>
      </c>
      <c r="E59" s="3092">
        <v>0.25</v>
      </c>
      <c r="F59" s="3092">
        <v>0.25</v>
      </c>
      <c r="G59" s="3092">
        <v>0.15</v>
      </c>
    </row>
    <row r="60" spans="1:7" ht="19.5" customHeight="1">
      <c r="A60" s="3124" t="s">
        <v>2600</v>
      </c>
      <c r="B60" s="3092">
        <v>0.6</v>
      </c>
      <c r="C60" s="3092">
        <v>0.3</v>
      </c>
      <c r="D60" s="3092">
        <v>0.25</v>
      </c>
      <c r="E60" s="3092">
        <v>0.25</v>
      </c>
      <c r="F60" s="3092">
        <v>0.25</v>
      </c>
      <c r="G60" s="3092">
        <v>0.15</v>
      </c>
    </row>
    <row r="61" spans="1:7" ht="19.5" customHeight="1">
      <c r="A61" s="3124" t="s">
        <v>2601</v>
      </c>
      <c r="B61" s="3092">
        <v>0.6</v>
      </c>
      <c r="C61" s="3092">
        <v>0.3</v>
      </c>
      <c r="D61" s="3092">
        <v>0.25</v>
      </c>
      <c r="E61" s="3092">
        <v>0.25</v>
      </c>
      <c r="F61" s="3092">
        <v>0.25</v>
      </c>
      <c r="G61" s="3092">
        <v>0.15</v>
      </c>
    </row>
    <row r="62" spans="1:7" ht="19.5" customHeight="1">
      <c r="A62" s="3124" t="s">
        <v>2602</v>
      </c>
      <c r="B62" s="3092">
        <v>0.6</v>
      </c>
      <c r="C62" s="3092">
        <v>0.3</v>
      </c>
      <c r="D62" s="3092">
        <v>0.25</v>
      </c>
      <c r="E62" s="3092">
        <v>0.25</v>
      </c>
      <c r="F62" s="3092">
        <v>0.25</v>
      </c>
      <c r="G62" s="3092">
        <v>0.15</v>
      </c>
    </row>
    <row r="63" spans="1:7" ht="19.5" customHeight="1">
      <c r="A63" s="3124" t="s">
        <v>2603</v>
      </c>
      <c r="B63" s="3092">
        <v>0.6</v>
      </c>
      <c r="C63" s="3092">
        <v>0.3</v>
      </c>
      <c r="D63" s="3092">
        <v>0.25</v>
      </c>
      <c r="E63" s="3092">
        <v>0.25</v>
      </c>
      <c r="F63" s="3092">
        <v>0.25</v>
      </c>
      <c r="G63" s="3092">
        <v>0.15</v>
      </c>
    </row>
    <row r="64" spans="1:7" ht="19.5" customHeight="1">
      <c r="A64" s="3124" t="s">
        <v>2604</v>
      </c>
      <c r="B64" s="3092">
        <v>0.5</v>
      </c>
      <c r="C64" s="3092">
        <v>0.2</v>
      </c>
      <c r="D64" s="3092">
        <v>0.2</v>
      </c>
      <c r="E64" s="3092">
        <v>0.2</v>
      </c>
      <c r="F64" s="3092">
        <v>0.2</v>
      </c>
      <c r="G64" s="3092">
        <v>0.1</v>
      </c>
    </row>
    <row r="65" spans="1:7" ht="19.5" customHeight="1">
      <c r="A65" s="3124" t="s">
        <v>2605</v>
      </c>
      <c r="B65" s="3092">
        <v>0.5</v>
      </c>
      <c r="C65" s="3092">
        <v>0.2</v>
      </c>
      <c r="D65" s="3092">
        <v>0.2</v>
      </c>
      <c r="E65" s="3092">
        <v>0.2</v>
      </c>
      <c r="F65" s="3092">
        <v>0.2</v>
      </c>
      <c r="G65" s="3092">
        <v>0.1</v>
      </c>
    </row>
    <row r="66" spans="1:7" ht="19.5" customHeight="1">
      <c r="A66" s="3124" t="s">
        <v>2606</v>
      </c>
      <c r="B66" s="3092">
        <v>0.5</v>
      </c>
      <c r="C66" s="3092">
        <v>0.2</v>
      </c>
      <c r="D66" s="3092">
        <v>0.2</v>
      </c>
      <c r="E66" s="3092">
        <v>0.2</v>
      </c>
      <c r="F66" s="3092">
        <v>0.2</v>
      </c>
      <c r="G66" s="3092">
        <v>0.1</v>
      </c>
    </row>
    <row r="67" spans="1:7" ht="19.5" customHeight="1">
      <c r="A67" s="3124" t="s">
        <v>2607</v>
      </c>
      <c r="B67" s="3092">
        <v>0.5</v>
      </c>
      <c r="C67" s="3092">
        <v>0.2</v>
      </c>
      <c r="D67" s="3092">
        <v>0.2</v>
      </c>
      <c r="E67" s="3092">
        <v>0.2</v>
      </c>
      <c r="F67" s="3092">
        <v>0.2</v>
      </c>
      <c r="G67" s="3092">
        <v>0.1</v>
      </c>
    </row>
    <row r="68" spans="1:7" ht="19.5" customHeight="1">
      <c r="A68" s="3124" t="s">
        <v>2608</v>
      </c>
      <c r="B68" s="3092">
        <v>0.5</v>
      </c>
      <c r="C68" s="3092">
        <v>0.2</v>
      </c>
      <c r="D68" s="3092">
        <v>0.2</v>
      </c>
      <c r="E68" s="3092">
        <v>0.2</v>
      </c>
      <c r="F68" s="3092">
        <v>0.2</v>
      </c>
      <c r="G68" s="3092">
        <v>0.1</v>
      </c>
    </row>
    <row r="70" spans="1:7" ht="19.5" customHeight="1">
      <c r="A70" s="3125"/>
      <c r="B70" s="3126"/>
      <c r="C70" s="3126"/>
      <c r="D70" s="3126" t="s">
        <v>2645</v>
      </c>
      <c r="E70" s="3126"/>
      <c r="F70" s="3126"/>
    </row>
    <row r="71" spans="1:7" ht="19.5" customHeight="1">
      <c r="A71" s="3118" t="s">
        <v>2646</v>
      </c>
      <c r="B71" s="3118" t="s">
        <v>2647</v>
      </c>
      <c r="C71" s="3118" t="s">
        <v>2648</v>
      </c>
      <c r="D71" s="3118" t="s">
        <v>2649</v>
      </c>
      <c r="E71" s="3118" t="s">
        <v>2650</v>
      </c>
      <c r="F71" s="3118" t="s">
        <v>2651</v>
      </c>
    </row>
    <row r="72" spans="1:7" ht="13.5">
      <c r="A72" s="3118"/>
      <c r="B72" s="3118"/>
      <c r="C72" s="3118" t="s">
        <v>2652</v>
      </c>
      <c r="D72" s="3118"/>
      <c r="E72" s="3118" t="s">
        <v>2623</v>
      </c>
      <c r="F72" s="3118" t="s">
        <v>2623</v>
      </c>
    </row>
    <row r="73" spans="1:7" ht="13.5">
      <c r="A73" s="3118">
        <v>1</v>
      </c>
      <c r="B73" s="3757" t="s">
        <v>2653</v>
      </c>
      <c r="C73" s="3092" t="s">
        <v>2654</v>
      </c>
      <c r="D73" s="3092" t="s">
        <v>2655</v>
      </c>
      <c r="E73" s="3118">
        <v>0.2</v>
      </c>
      <c r="F73" s="3118">
        <v>25</v>
      </c>
    </row>
    <row r="74" spans="1:7" ht="24">
      <c r="A74" s="3118">
        <v>2</v>
      </c>
      <c r="B74" s="3759"/>
      <c r="C74" s="3092" t="s">
        <v>2656</v>
      </c>
      <c r="D74" s="3092" t="s">
        <v>2657</v>
      </c>
      <c r="E74" s="3118">
        <v>0.2</v>
      </c>
      <c r="F74" s="3118">
        <v>25</v>
      </c>
    </row>
    <row r="75" spans="1:7" ht="24">
      <c r="A75" s="3118">
        <v>3</v>
      </c>
      <c r="B75" s="3759"/>
      <c r="C75" s="3092" t="s">
        <v>2658</v>
      </c>
      <c r="D75" s="3092" t="s">
        <v>2659</v>
      </c>
      <c r="E75" s="3118">
        <v>0.2</v>
      </c>
      <c r="F75" s="3118">
        <v>25</v>
      </c>
    </row>
    <row r="76" spans="1:7" ht="13.5">
      <c r="A76" s="3118">
        <v>4</v>
      </c>
      <c r="B76" s="3759"/>
      <c r="C76" s="3092" t="s">
        <v>2660</v>
      </c>
      <c r="D76" s="3092" t="s">
        <v>2661</v>
      </c>
      <c r="E76" s="3118">
        <v>0.15</v>
      </c>
      <c r="F76" s="3118">
        <v>20</v>
      </c>
    </row>
    <row r="77" spans="1:7" ht="24">
      <c r="A77" s="3118">
        <v>5</v>
      </c>
      <c r="B77" s="3759"/>
      <c r="C77" s="3092" t="s">
        <v>2662</v>
      </c>
      <c r="D77" s="3092" t="s">
        <v>2663</v>
      </c>
      <c r="E77" s="3118">
        <v>0.15</v>
      </c>
      <c r="F77" s="3118">
        <v>20</v>
      </c>
    </row>
    <row r="78" spans="1:7" ht="24">
      <c r="A78" s="3118">
        <v>6</v>
      </c>
      <c r="B78" s="3759"/>
      <c r="C78" s="3092" t="s">
        <v>2664</v>
      </c>
      <c r="D78" s="3092" t="s">
        <v>2665</v>
      </c>
      <c r="E78" s="3118">
        <v>0.15</v>
      </c>
      <c r="F78" s="3118">
        <v>20</v>
      </c>
    </row>
    <row r="79" spans="1:7" ht="24">
      <c r="A79" s="3118">
        <v>7</v>
      </c>
      <c r="B79" s="3759"/>
      <c r="C79" s="3092" t="s">
        <v>2666</v>
      </c>
      <c r="D79" s="3092" t="s">
        <v>2667</v>
      </c>
      <c r="E79" s="3118">
        <v>0.15</v>
      </c>
      <c r="F79" s="3118">
        <v>20</v>
      </c>
    </row>
    <row r="80" spans="1:7" ht="24">
      <c r="A80" s="3118">
        <v>8</v>
      </c>
      <c r="B80" s="3759"/>
      <c r="C80" s="3092" t="s">
        <v>2668</v>
      </c>
      <c r="D80" s="3092" t="s">
        <v>2669</v>
      </c>
      <c r="E80" s="3118">
        <v>0.1</v>
      </c>
      <c r="F80" s="3118">
        <v>15</v>
      </c>
    </row>
    <row r="81" spans="1:6" ht="24">
      <c r="A81" s="3118">
        <v>9</v>
      </c>
      <c r="B81" s="3759"/>
      <c r="C81" s="3092" t="s">
        <v>2670</v>
      </c>
      <c r="D81" s="3092" t="s">
        <v>2671</v>
      </c>
      <c r="E81" s="3118">
        <v>0.1</v>
      </c>
      <c r="F81" s="3118">
        <v>15</v>
      </c>
    </row>
    <row r="82" spans="1:6" ht="24">
      <c r="A82" s="3118">
        <v>10</v>
      </c>
      <c r="B82" s="3759"/>
      <c r="C82" s="3092" t="s">
        <v>2672</v>
      </c>
      <c r="D82" s="3092" t="s">
        <v>2673</v>
      </c>
      <c r="E82" s="3118">
        <v>0.1</v>
      </c>
      <c r="F82" s="3118">
        <v>15</v>
      </c>
    </row>
    <row r="83" spans="1:6" ht="24">
      <c r="A83" s="3118">
        <v>11</v>
      </c>
      <c r="B83" s="3759"/>
      <c r="C83" s="3092" t="s">
        <v>2674</v>
      </c>
      <c r="D83" s="3092" t="s">
        <v>2675</v>
      </c>
      <c r="E83" s="3118">
        <v>0.1</v>
      </c>
      <c r="F83" s="3118">
        <v>15</v>
      </c>
    </row>
    <row r="84" spans="1:6" ht="24">
      <c r="A84" s="3118">
        <v>12</v>
      </c>
      <c r="B84" s="3759"/>
      <c r="C84" s="3092" t="s">
        <v>2676</v>
      </c>
      <c r="D84" s="3092" t="s">
        <v>2677</v>
      </c>
      <c r="E84" s="3118">
        <v>0.1</v>
      </c>
      <c r="F84" s="3118">
        <v>15</v>
      </c>
    </row>
    <row r="85" spans="1:6" ht="13.5">
      <c r="A85" s="3118">
        <v>13</v>
      </c>
      <c r="B85" s="3759"/>
      <c r="C85" s="3092" t="s">
        <v>2678</v>
      </c>
      <c r="D85" s="3092" t="s">
        <v>2679</v>
      </c>
      <c r="E85" s="3118">
        <v>0.1</v>
      </c>
      <c r="F85" s="3118">
        <v>15</v>
      </c>
    </row>
    <row r="86" spans="1:6" ht="13.5">
      <c r="A86" s="3118">
        <v>14</v>
      </c>
      <c r="B86" s="3759"/>
      <c r="C86" s="3092" t="s">
        <v>2680</v>
      </c>
      <c r="D86" s="3092" t="s">
        <v>2681</v>
      </c>
      <c r="E86" s="3118">
        <v>0.1</v>
      </c>
      <c r="F86" s="3118">
        <v>15</v>
      </c>
    </row>
    <row r="87" spans="1:6" ht="13.5">
      <c r="A87" s="3118">
        <v>15</v>
      </c>
      <c r="B87" s="3759"/>
      <c r="C87" s="3092" t="s">
        <v>2682</v>
      </c>
      <c r="D87" s="3092" t="s">
        <v>2683</v>
      </c>
      <c r="E87" s="3118">
        <v>0.1</v>
      </c>
      <c r="F87" s="3118">
        <v>15</v>
      </c>
    </row>
    <row r="88" spans="1:6" ht="24">
      <c r="A88" s="3118">
        <v>16</v>
      </c>
      <c r="B88" s="3759"/>
      <c r="C88" s="3092" t="s">
        <v>2684</v>
      </c>
      <c r="D88" s="3092" t="s">
        <v>2685</v>
      </c>
      <c r="E88" s="3118">
        <v>0.1</v>
      </c>
      <c r="F88" s="3118">
        <v>15</v>
      </c>
    </row>
    <row r="89" spans="1:6" ht="24">
      <c r="A89" s="3118">
        <v>17</v>
      </c>
      <c r="B89" s="3758"/>
      <c r="C89" s="3092" t="s">
        <v>2686</v>
      </c>
      <c r="D89" s="3092" t="s">
        <v>2687</v>
      </c>
      <c r="E89" s="3118">
        <v>0.1</v>
      </c>
      <c r="F89" s="3118">
        <v>15</v>
      </c>
    </row>
    <row r="90" spans="1:6" ht="13.5">
      <c r="A90" s="3118">
        <v>18</v>
      </c>
      <c r="B90" s="3757" t="s">
        <v>2688</v>
      </c>
      <c r="C90" s="3092" t="s">
        <v>2689</v>
      </c>
      <c r="D90" s="3092" t="s">
        <v>2690</v>
      </c>
      <c r="E90" s="3118">
        <v>0.2</v>
      </c>
      <c r="F90" s="3118">
        <v>25</v>
      </c>
    </row>
    <row r="91" spans="1:6" ht="24">
      <c r="A91" s="3118">
        <v>19</v>
      </c>
      <c r="B91" s="3759"/>
      <c r="C91" s="3092" t="s">
        <v>2691</v>
      </c>
      <c r="D91" s="3092" t="s">
        <v>2692</v>
      </c>
      <c r="E91" s="3118">
        <v>0.2</v>
      </c>
      <c r="F91" s="3118">
        <v>25</v>
      </c>
    </row>
    <row r="92" spans="1:6" ht="13.5">
      <c r="A92" s="3118">
        <v>20</v>
      </c>
      <c r="B92" s="3759"/>
      <c r="C92" s="3092" t="s">
        <v>2693</v>
      </c>
      <c r="D92" s="3092" t="s">
        <v>2694</v>
      </c>
      <c r="E92" s="3118">
        <v>0.15</v>
      </c>
      <c r="F92" s="3118">
        <v>20</v>
      </c>
    </row>
    <row r="93" spans="1:6" ht="13.5">
      <c r="A93" s="3118">
        <v>21</v>
      </c>
      <c r="B93" s="3759"/>
      <c r="C93" s="3092" t="s">
        <v>2695</v>
      </c>
      <c r="D93" s="3092" t="s">
        <v>2696</v>
      </c>
      <c r="E93" s="3118">
        <v>0.15</v>
      </c>
      <c r="F93" s="3118">
        <v>20</v>
      </c>
    </row>
    <row r="94" spans="1:6" ht="13.5">
      <c r="A94" s="3118">
        <v>22</v>
      </c>
      <c r="B94" s="3759"/>
      <c r="C94" s="3092" t="s">
        <v>2697</v>
      </c>
      <c r="D94" s="3092" t="s">
        <v>2698</v>
      </c>
      <c r="E94" s="3118">
        <v>0.15</v>
      </c>
      <c r="F94" s="3118">
        <v>20</v>
      </c>
    </row>
    <row r="95" spans="1:6" ht="36">
      <c r="A95" s="3118">
        <v>23</v>
      </c>
      <c r="B95" s="3759"/>
      <c r="C95" s="3092" t="s">
        <v>2699</v>
      </c>
      <c r="D95" s="3092" t="s">
        <v>2700</v>
      </c>
      <c r="E95" s="3118">
        <v>0.15</v>
      </c>
      <c r="F95" s="3118">
        <v>20</v>
      </c>
    </row>
    <row r="96" spans="1:6" ht="13.5">
      <c r="A96" s="3118">
        <v>24</v>
      </c>
      <c r="B96" s="3759"/>
      <c r="C96" s="3092" t="s">
        <v>2701</v>
      </c>
      <c r="D96" s="3092" t="s">
        <v>2702</v>
      </c>
      <c r="E96" s="3118">
        <v>0.1</v>
      </c>
      <c r="F96" s="3118">
        <v>15</v>
      </c>
    </row>
    <row r="97" spans="1:6" ht="13.5">
      <c r="A97" s="3118">
        <v>25</v>
      </c>
      <c r="B97" s="3759"/>
      <c r="C97" s="3092" t="s">
        <v>2703</v>
      </c>
      <c r="D97" s="3092" t="s">
        <v>2704</v>
      </c>
      <c r="E97" s="3118">
        <v>0.1</v>
      </c>
      <c r="F97" s="3118">
        <v>15</v>
      </c>
    </row>
    <row r="98" spans="1:6" ht="24">
      <c r="A98" s="3118">
        <v>26</v>
      </c>
      <c r="B98" s="3759"/>
      <c r="C98" s="3092" t="s">
        <v>2705</v>
      </c>
      <c r="D98" s="3092" t="s">
        <v>2706</v>
      </c>
      <c r="E98" s="3118">
        <v>0.1</v>
      </c>
      <c r="F98" s="3118">
        <v>15</v>
      </c>
    </row>
    <row r="99" spans="1:6" ht="24">
      <c r="A99" s="3118">
        <v>27</v>
      </c>
      <c r="B99" s="3759"/>
      <c r="C99" s="3092" t="s">
        <v>2707</v>
      </c>
      <c r="D99" s="3092" t="s">
        <v>2708</v>
      </c>
      <c r="E99" s="3118">
        <v>0.1</v>
      </c>
      <c r="F99" s="3118">
        <v>15</v>
      </c>
    </row>
    <row r="100" spans="1:6" ht="13.5">
      <c r="A100" s="3118">
        <v>28</v>
      </c>
      <c r="B100" s="3759"/>
      <c r="C100" s="3092" t="s">
        <v>2709</v>
      </c>
      <c r="D100" s="3092" t="s">
        <v>2710</v>
      </c>
      <c r="E100" s="3118">
        <v>0.1</v>
      </c>
      <c r="F100" s="3118">
        <v>15</v>
      </c>
    </row>
    <row r="101" spans="1:6" ht="13.5">
      <c r="A101" s="3118">
        <v>29</v>
      </c>
      <c r="B101" s="3759"/>
      <c r="C101" s="3092" t="s">
        <v>2711</v>
      </c>
      <c r="D101" s="3092" t="s">
        <v>2712</v>
      </c>
      <c r="E101" s="3118">
        <v>0.1</v>
      </c>
      <c r="F101" s="3118">
        <v>15</v>
      </c>
    </row>
    <row r="102" spans="1:6" ht="13.5">
      <c r="A102" s="3118">
        <v>30</v>
      </c>
      <c r="B102" s="3759"/>
      <c r="C102" s="3092" t="s">
        <v>2713</v>
      </c>
      <c r="D102" s="3092" t="s">
        <v>2714</v>
      </c>
      <c r="E102" s="3118">
        <v>0.1</v>
      </c>
      <c r="F102" s="3118">
        <v>15</v>
      </c>
    </row>
    <row r="103" spans="1:6" ht="24">
      <c r="A103" s="3118">
        <v>31</v>
      </c>
      <c r="B103" s="3759"/>
      <c r="C103" s="3092" t="s">
        <v>2715</v>
      </c>
      <c r="D103" s="3092" t="s">
        <v>2716</v>
      </c>
      <c r="E103" s="3118">
        <v>0.1</v>
      </c>
      <c r="F103" s="3118">
        <v>15</v>
      </c>
    </row>
    <row r="104" spans="1:6" ht="24">
      <c r="A104" s="3118">
        <v>32</v>
      </c>
      <c r="B104" s="3759"/>
      <c r="C104" s="3092" t="s">
        <v>2717</v>
      </c>
      <c r="D104" s="3092" t="s">
        <v>2718</v>
      </c>
      <c r="E104" s="3118">
        <v>0.1</v>
      </c>
      <c r="F104" s="3118">
        <v>15</v>
      </c>
    </row>
    <row r="105" spans="1:6" ht="24">
      <c r="A105" s="3118">
        <v>33</v>
      </c>
      <c r="B105" s="3759"/>
      <c r="C105" s="3092" t="s">
        <v>2719</v>
      </c>
      <c r="D105" s="3092" t="s">
        <v>2720</v>
      </c>
      <c r="E105" s="3118">
        <v>0.1</v>
      </c>
      <c r="F105" s="3118">
        <v>15</v>
      </c>
    </row>
    <row r="106" spans="1:6" ht="24">
      <c r="A106" s="3118">
        <v>34</v>
      </c>
      <c r="B106" s="3758"/>
      <c r="C106" s="3092" t="s">
        <v>2721</v>
      </c>
      <c r="D106" s="3092" t="s">
        <v>2722</v>
      </c>
      <c r="E106" s="3118">
        <v>0.1</v>
      </c>
      <c r="F106" s="3118">
        <v>15</v>
      </c>
    </row>
    <row r="107" spans="1:6" ht="24">
      <c r="A107" s="3118">
        <v>35</v>
      </c>
      <c r="B107" s="3757" t="s">
        <v>2723</v>
      </c>
      <c r="C107" s="3118" t="s">
        <v>2724</v>
      </c>
      <c r="D107" s="3092" t="s">
        <v>2725</v>
      </c>
      <c r="E107" s="3118">
        <v>0.15</v>
      </c>
      <c r="F107" s="3118">
        <v>20</v>
      </c>
    </row>
    <row r="108" spans="1:6" ht="13.5">
      <c r="A108" s="3118">
        <v>36</v>
      </c>
      <c r="B108" s="3759"/>
      <c r="C108" s="3118" t="s">
        <v>2726</v>
      </c>
      <c r="D108" s="3092" t="s">
        <v>2727</v>
      </c>
      <c r="E108" s="3118">
        <v>0.15</v>
      </c>
      <c r="F108" s="3118">
        <v>20</v>
      </c>
    </row>
    <row r="109" spans="1:6" ht="13.5">
      <c r="A109" s="3118">
        <v>37</v>
      </c>
      <c r="B109" s="3759"/>
      <c r="C109" s="3118" t="s">
        <v>2728</v>
      </c>
      <c r="D109" s="3092" t="s">
        <v>2729</v>
      </c>
      <c r="E109" s="3118">
        <v>0.15</v>
      </c>
      <c r="F109" s="3118">
        <v>20</v>
      </c>
    </row>
    <row r="110" spans="1:6" ht="13.5">
      <c r="A110" s="3118">
        <v>38</v>
      </c>
      <c r="B110" s="3759"/>
      <c r="C110" s="3118" t="s">
        <v>2730</v>
      </c>
      <c r="D110" s="3092" t="s">
        <v>2731</v>
      </c>
      <c r="E110" s="3118">
        <v>0.1</v>
      </c>
      <c r="F110" s="3118">
        <v>15</v>
      </c>
    </row>
    <row r="111" spans="1:6" ht="24">
      <c r="A111" s="3118">
        <v>39</v>
      </c>
      <c r="B111" s="3759"/>
      <c r="C111" s="3118" t="s">
        <v>2732</v>
      </c>
      <c r="D111" s="3092" t="s">
        <v>2733</v>
      </c>
      <c r="E111" s="3118">
        <v>0.1</v>
      </c>
      <c r="F111" s="3118">
        <v>15</v>
      </c>
    </row>
    <row r="112" spans="1:6" ht="24">
      <c r="A112" s="3118">
        <v>40</v>
      </c>
      <c r="B112" s="3758"/>
      <c r="C112" s="3118" t="s">
        <v>2734</v>
      </c>
      <c r="D112" s="3092" t="s">
        <v>2735</v>
      </c>
      <c r="E112" s="3118">
        <v>0.1</v>
      </c>
      <c r="F112" s="3118">
        <v>15</v>
      </c>
    </row>
    <row r="113" spans="1:6" ht="13.5">
      <c r="A113" s="3118">
        <v>41</v>
      </c>
      <c r="B113" s="3756" t="s">
        <v>2736</v>
      </c>
      <c r="C113" s="3118" t="s">
        <v>2737</v>
      </c>
      <c r="D113" s="3092" t="s">
        <v>2738</v>
      </c>
      <c r="E113" s="3118">
        <v>0.1</v>
      </c>
      <c r="F113" s="3118">
        <v>15</v>
      </c>
    </row>
    <row r="114" spans="1:6" ht="13.5">
      <c r="A114" s="3118">
        <v>42</v>
      </c>
      <c r="B114" s="3756"/>
      <c r="C114" s="3118" t="s">
        <v>2739</v>
      </c>
      <c r="D114" s="3092" t="s">
        <v>2740</v>
      </c>
      <c r="E114" s="3118">
        <v>0.1</v>
      </c>
      <c r="F114" s="3118">
        <v>15</v>
      </c>
    </row>
    <row r="115" spans="1:6" ht="24">
      <c r="A115" s="3118">
        <v>43</v>
      </c>
      <c r="B115" s="3756"/>
      <c r="C115" s="3118" t="s">
        <v>2741</v>
      </c>
      <c r="D115" s="3092" t="s">
        <v>2742</v>
      </c>
      <c r="E115" s="3118">
        <v>0.1</v>
      </c>
      <c r="F115" s="3118">
        <v>15</v>
      </c>
    </row>
    <row r="116" spans="1:6" ht="13.5">
      <c r="A116" s="3118">
        <v>44</v>
      </c>
      <c r="B116" s="3757" t="s">
        <v>2743</v>
      </c>
      <c r="C116" s="3118" t="s">
        <v>2744</v>
      </c>
      <c r="D116" s="3092" t="s">
        <v>2745</v>
      </c>
      <c r="E116" s="3118">
        <v>0.1</v>
      </c>
      <c r="F116" s="3118">
        <v>15</v>
      </c>
    </row>
    <row r="117" spans="1:6" ht="24">
      <c r="A117" s="3118">
        <v>45</v>
      </c>
      <c r="B117" s="3758"/>
      <c r="C117" s="3092" t="s">
        <v>2746</v>
      </c>
      <c r="D117" s="3092" t="s">
        <v>2747</v>
      </c>
      <c r="E117" s="3118">
        <v>0.1</v>
      </c>
      <c r="F117" s="3118">
        <v>15</v>
      </c>
    </row>
    <row r="118" spans="1:6" ht="24">
      <c r="A118" s="3118">
        <v>46</v>
      </c>
      <c r="B118" s="3757" t="s">
        <v>2748</v>
      </c>
      <c r="C118" s="3118" t="s">
        <v>2749</v>
      </c>
      <c r="D118" s="3092" t="s">
        <v>2750</v>
      </c>
      <c r="E118" s="3118">
        <v>0.1</v>
      </c>
      <c r="F118" s="3118">
        <v>15</v>
      </c>
    </row>
    <row r="119" spans="1:6" ht="24">
      <c r="A119" s="3118">
        <v>47</v>
      </c>
      <c r="B119" s="3758"/>
      <c r="C119" s="3118" t="s">
        <v>2751</v>
      </c>
      <c r="D119" s="3092" t="s">
        <v>2752</v>
      </c>
      <c r="E119" s="3118">
        <v>0.1</v>
      </c>
      <c r="F119" s="3118">
        <v>15</v>
      </c>
    </row>
    <row r="120" spans="1:6" ht="13.5">
      <c r="A120" s="3118">
        <v>48</v>
      </c>
      <c r="B120" s="3757" t="s">
        <v>2753</v>
      </c>
      <c r="C120" s="3118" t="s">
        <v>2754</v>
      </c>
      <c r="D120" s="3092" t="s">
        <v>2755</v>
      </c>
      <c r="E120" s="3118">
        <v>0.1</v>
      </c>
      <c r="F120" s="3118">
        <v>15</v>
      </c>
    </row>
    <row r="121" spans="1:6" ht="13.5">
      <c r="A121" s="3118">
        <v>49</v>
      </c>
      <c r="B121" s="3758"/>
      <c r="C121" s="3118" t="s">
        <v>2756</v>
      </c>
      <c r="D121" s="3092" t="s">
        <v>2757</v>
      </c>
      <c r="E121" s="3118">
        <v>0.1</v>
      </c>
      <c r="F121" s="3118">
        <v>15</v>
      </c>
    </row>
    <row r="122" spans="1:6" ht="24">
      <c r="A122" s="3118">
        <v>50</v>
      </c>
      <c r="B122" s="3756" t="s">
        <v>2758</v>
      </c>
      <c r="C122" s="3118" t="s">
        <v>2759</v>
      </c>
      <c r="D122" s="3092" t="s">
        <v>2760</v>
      </c>
      <c r="E122" s="3118">
        <v>0.1</v>
      </c>
      <c r="F122" s="3118">
        <v>15</v>
      </c>
    </row>
    <row r="123" spans="1:6" ht="24">
      <c r="A123" s="3118">
        <v>51</v>
      </c>
      <c r="B123" s="3756"/>
      <c r="C123" s="3118" t="s">
        <v>2761</v>
      </c>
      <c r="D123" s="3092" t="s">
        <v>2762</v>
      </c>
      <c r="E123" s="3118">
        <v>0.1</v>
      </c>
      <c r="F123" s="3118">
        <v>15</v>
      </c>
    </row>
    <row r="124" spans="1:6" ht="24">
      <c r="A124" s="3118">
        <v>52</v>
      </c>
      <c r="B124" s="3756" t="s">
        <v>2763</v>
      </c>
      <c r="C124" s="3118" t="s">
        <v>2764</v>
      </c>
      <c r="D124" s="3092" t="s">
        <v>2765</v>
      </c>
      <c r="E124" s="3118">
        <v>0.1</v>
      </c>
      <c r="F124" s="3118">
        <v>15</v>
      </c>
    </row>
    <row r="125" spans="1:6" ht="24">
      <c r="A125" s="3118">
        <v>53</v>
      </c>
      <c r="B125" s="3756"/>
      <c r="C125" s="3118" t="s">
        <v>2766</v>
      </c>
      <c r="D125" s="3092" t="s">
        <v>2767</v>
      </c>
      <c r="E125" s="3118">
        <v>0.1</v>
      </c>
      <c r="F125" s="3118">
        <v>15</v>
      </c>
    </row>
    <row r="126" spans="1:6" ht="13.5">
      <c r="A126" s="3118">
        <v>54</v>
      </c>
      <c r="B126" s="3118" t="s">
        <v>2768</v>
      </c>
      <c r="C126" s="3118" t="s">
        <v>2769</v>
      </c>
      <c r="D126" s="3092" t="s">
        <v>2770</v>
      </c>
      <c r="E126" s="3118">
        <v>0.1</v>
      </c>
      <c r="F126" s="3118">
        <v>15</v>
      </c>
    </row>
    <row r="127" spans="1:6" ht="13.5">
      <c r="A127" s="3118">
        <v>55</v>
      </c>
      <c r="B127" s="3756" t="s">
        <v>2771</v>
      </c>
      <c r="C127" s="3118" t="s">
        <v>2772</v>
      </c>
      <c r="D127" s="3092" t="s">
        <v>2773</v>
      </c>
      <c r="E127" s="3118">
        <v>0.1</v>
      </c>
      <c r="F127" s="3118">
        <v>15</v>
      </c>
    </row>
    <row r="128" spans="1:6" ht="13.5">
      <c r="A128" s="3118">
        <v>56</v>
      </c>
      <c r="B128" s="3756"/>
      <c r="C128" s="3118" t="s">
        <v>2774</v>
      </c>
      <c r="D128" s="3092" t="s">
        <v>2775</v>
      </c>
      <c r="E128" s="3118">
        <v>0.1</v>
      </c>
      <c r="F128" s="3118">
        <v>15</v>
      </c>
    </row>
    <row r="129" spans="1:6" ht="24">
      <c r="A129" s="3118">
        <v>57</v>
      </c>
      <c r="B129" s="3756"/>
      <c r="C129" s="3118" t="s">
        <v>2776</v>
      </c>
      <c r="D129" s="3092" t="s">
        <v>2777</v>
      </c>
      <c r="E129" s="3118">
        <v>0.1</v>
      </c>
      <c r="F129" s="3118">
        <v>15</v>
      </c>
    </row>
    <row r="130" spans="1:6" ht="24">
      <c r="A130" s="3118">
        <v>58</v>
      </c>
      <c r="B130" s="3756" t="s">
        <v>2778</v>
      </c>
      <c r="C130" s="3118" t="s">
        <v>2779</v>
      </c>
      <c r="D130" s="3092" t="s">
        <v>2780</v>
      </c>
      <c r="E130" s="3118">
        <v>0.1</v>
      </c>
      <c r="F130" s="3118">
        <v>15</v>
      </c>
    </row>
    <row r="131" spans="1:6" ht="13.5">
      <c r="A131" s="3118">
        <v>59</v>
      </c>
      <c r="B131" s="3756"/>
      <c r="C131" s="3118" t="s">
        <v>2781</v>
      </c>
      <c r="D131" s="3092" t="s">
        <v>2782</v>
      </c>
      <c r="E131" s="3118">
        <v>0.1</v>
      </c>
      <c r="F131" s="3118">
        <v>15</v>
      </c>
    </row>
    <row r="132" spans="1:6" ht="13.5">
      <c r="A132" s="3118">
        <v>60</v>
      </c>
      <c r="B132" s="3757" t="s">
        <v>2783</v>
      </c>
      <c r="C132" s="3118" t="s">
        <v>2784</v>
      </c>
      <c r="D132" s="3092" t="s">
        <v>2785</v>
      </c>
      <c r="E132" s="3118">
        <v>0.1</v>
      </c>
      <c r="F132" s="3118">
        <v>15</v>
      </c>
    </row>
    <row r="133" spans="1:6" ht="13.5">
      <c r="A133" s="3118">
        <v>61</v>
      </c>
      <c r="B133" s="3758"/>
      <c r="C133" s="3118" t="s">
        <v>2786</v>
      </c>
      <c r="D133" s="3092" t="s">
        <v>2787</v>
      </c>
      <c r="E133" s="3118">
        <v>0.1</v>
      </c>
      <c r="F133" s="3118">
        <v>15</v>
      </c>
    </row>
    <row r="134" spans="1:6" ht="24">
      <c r="A134" s="3118">
        <v>62</v>
      </c>
      <c r="B134" s="3118" t="s">
        <v>2788</v>
      </c>
      <c r="C134" s="3118" t="s">
        <v>2789</v>
      </c>
      <c r="D134" s="3092" t="s">
        <v>2790</v>
      </c>
      <c r="E134" s="3118">
        <v>0.1</v>
      </c>
      <c r="F134" s="3118">
        <v>15</v>
      </c>
    </row>
    <row r="135" spans="1:6" ht="13.5">
      <c r="A135" s="3118">
        <v>63</v>
      </c>
      <c r="B135" s="3756" t="s">
        <v>2791</v>
      </c>
      <c r="C135" s="3118" t="s">
        <v>2792</v>
      </c>
      <c r="D135" s="3092" t="s">
        <v>2793</v>
      </c>
      <c r="E135" s="3118">
        <v>0.1</v>
      </c>
      <c r="F135" s="3118">
        <v>15</v>
      </c>
    </row>
    <row r="136" spans="1:6" ht="13.5">
      <c r="A136" s="3118">
        <v>64</v>
      </c>
      <c r="B136" s="3756"/>
      <c r="C136" s="3118" t="s">
        <v>2794</v>
      </c>
      <c r="D136" s="3092" t="s">
        <v>2795</v>
      </c>
      <c r="E136" s="3118">
        <v>0.1</v>
      </c>
      <c r="F136" s="3118">
        <v>15</v>
      </c>
    </row>
    <row r="137" spans="1:6" ht="13.5">
      <c r="A137" s="3118">
        <v>65</v>
      </c>
      <c r="B137" s="3118" t="s">
        <v>2796</v>
      </c>
      <c r="C137" s="3118" t="s">
        <v>2797</v>
      </c>
      <c r="D137" s="3092" t="s">
        <v>2798</v>
      </c>
      <c r="E137" s="3118">
        <v>0.1</v>
      </c>
      <c r="F137" s="3118">
        <v>15</v>
      </c>
    </row>
    <row r="138" spans="1:6" ht="13.5">
      <c r="A138" s="3118"/>
      <c r="B138" s="3118"/>
      <c r="C138" s="3118"/>
      <c r="D138" s="3118"/>
      <c r="E138" s="3118" t="s">
        <v>2799</v>
      </c>
      <c r="F138" s="3118"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2800</v>
      </c>
      <c r="B1" s="3127"/>
      <c r="C1" s="3127"/>
      <c r="D1" s="3127"/>
      <c r="E1" s="3127"/>
      <c r="F1" s="3127"/>
      <c r="G1" s="3127"/>
      <c r="H1" s="3127"/>
      <c r="I1" s="3127"/>
      <c r="J1" s="3127"/>
      <c r="K1" s="3127"/>
      <c r="L1" s="3127"/>
      <c r="M1" s="3127"/>
      <c r="N1" s="749"/>
    </row>
    <row r="2" spans="1:20">
      <c r="A2" s="3128" t="s">
        <v>2801</v>
      </c>
      <c r="B2" s="3129" t="s">
        <v>2597</v>
      </c>
      <c r="C2" s="3129" t="s">
        <v>2598</v>
      </c>
      <c r="D2" s="3129" t="s">
        <v>2599</v>
      </c>
      <c r="E2" s="3129" t="s">
        <v>2600</v>
      </c>
      <c r="F2" s="3129" t="s">
        <v>2601</v>
      </c>
      <c r="G2" s="3129" t="s">
        <v>2602</v>
      </c>
      <c r="H2" s="3130" t="s">
        <v>2603</v>
      </c>
      <c r="I2" s="3130" t="s">
        <v>2604</v>
      </c>
      <c r="J2" s="3131" t="s">
        <v>2605</v>
      </c>
      <c r="K2" s="3131" t="s">
        <v>2606</v>
      </c>
      <c r="L2" s="3131" t="s">
        <v>2607</v>
      </c>
      <c r="M2" s="3132" t="s">
        <v>2608</v>
      </c>
      <c r="Q2" s="3142" t="s">
        <v>2806</v>
      </c>
      <c r="R2" s="3142" t="s">
        <v>2807</v>
      </c>
      <c r="S2" s="3142" t="s">
        <v>2808</v>
      </c>
      <c r="T2" s="3142" t="s">
        <v>2809</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2802</v>
      </c>
      <c r="B93" s="3127"/>
      <c r="C93" s="3127"/>
      <c r="D93" s="3127"/>
      <c r="E93" s="3127"/>
      <c r="F93" s="3127"/>
      <c r="G93" s="3127"/>
      <c r="H93" s="3127"/>
      <c r="I93" s="3127"/>
      <c r="J93" s="3127"/>
      <c r="K93" s="3127"/>
      <c r="L93" s="3127"/>
      <c r="M93" s="3127"/>
    </row>
    <row r="94" spans="1:20">
      <c r="A94" s="3128" t="s">
        <v>2801</v>
      </c>
      <c r="B94" s="3129" t="s">
        <v>2597</v>
      </c>
      <c r="C94" s="3129" t="s">
        <v>2598</v>
      </c>
      <c r="D94" s="3129" t="s">
        <v>2599</v>
      </c>
      <c r="E94" s="3129" t="s">
        <v>2600</v>
      </c>
      <c r="F94" s="3129" t="s">
        <v>2601</v>
      </c>
      <c r="G94" s="3129" t="s">
        <v>2602</v>
      </c>
      <c r="H94" s="3130" t="s">
        <v>2603</v>
      </c>
      <c r="I94" s="3130" t="s">
        <v>2604</v>
      </c>
      <c r="J94" s="3131" t="s">
        <v>2605</v>
      </c>
      <c r="K94" s="3131" t="s">
        <v>2606</v>
      </c>
      <c r="L94" s="3131" t="s">
        <v>2607</v>
      </c>
      <c r="M94" s="3132" t="s">
        <v>2608</v>
      </c>
      <c r="N94" s="750">
        <f>SUMPRODUCT((A95:A184=ROUNDDOWN(基准地价修正!G3,1))*(B94:M94=基准地价修正!G2)*(B95:M184))</f>
        <v>0</v>
      </c>
      <c r="Q94" s="3142" t="s">
        <v>2806</v>
      </c>
      <c r="R94" s="3142" t="s">
        <v>2807</v>
      </c>
      <c r="S94" s="3142" t="s">
        <v>2808</v>
      </c>
      <c r="T94" s="3142" t="s">
        <v>2809</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2803</v>
      </c>
      <c r="B185" s="3127"/>
      <c r="C185" s="3127"/>
      <c r="D185" s="3127"/>
      <c r="E185" s="3127"/>
      <c r="F185" s="3127"/>
      <c r="G185" s="3127"/>
      <c r="H185" s="3127"/>
      <c r="I185" s="3127"/>
      <c r="J185" s="3127"/>
      <c r="K185" s="3127"/>
      <c r="L185" s="3127"/>
      <c r="M185" s="3127"/>
    </row>
    <row r="186" spans="1:20">
      <c r="A186" s="3128" t="s">
        <v>2801</v>
      </c>
      <c r="B186" s="3129" t="s">
        <v>2597</v>
      </c>
      <c r="C186" s="3129" t="s">
        <v>2598</v>
      </c>
      <c r="D186" s="3129" t="s">
        <v>2599</v>
      </c>
      <c r="E186" s="3129" t="s">
        <v>2600</v>
      </c>
      <c r="F186" s="3129" t="s">
        <v>2601</v>
      </c>
      <c r="G186" s="3129" t="s">
        <v>2602</v>
      </c>
      <c r="H186" s="3130" t="s">
        <v>2603</v>
      </c>
      <c r="I186" s="3130" t="s">
        <v>2604</v>
      </c>
      <c r="J186" s="3131" t="s">
        <v>2605</v>
      </c>
      <c r="K186" s="3131" t="s">
        <v>2606</v>
      </c>
      <c r="L186" s="3131" t="s">
        <v>2607</v>
      </c>
      <c r="M186" s="3132" t="s">
        <v>2608</v>
      </c>
      <c r="Q186" s="3142" t="s">
        <v>2806</v>
      </c>
      <c r="R186" s="3142" t="s">
        <v>2807</v>
      </c>
      <c r="S186" s="3142" t="s">
        <v>2808</v>
      </c>
      <c r="T186" s="3142" t="s">
        <v>2809</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2804</v>
      </c>
      <c r="B277" s="3127"/>
      <c r="C277" s="3127"/>
      <c r="D277" s="3127"/>
      <c r="E277" s="3127"/>
      <c r="F277" s="3127"/>
      <c r="G277" s="3127"/>
      <c r="H277" s="3127"/>
      <c r="I277" s="3127"/>
      <c r="J277" s="3127"/>
      <c r="K277" s="3127"/>
      <c r="L277" s="3127"/>
      <c r="M277" s="3127"/>
    </row>
    <row r="278" spans="1:21">
      <c r="A278" s="3128" t="s">
        <v>2801</v>
      </c>
      <c r="B278" s="3129" t="s">
        <v>2597</v>
      </c>
      <c r="C278" s="3129" t="s">
        <v>2598</v>
      </c>
      <c r="D278" s="3129" t="s">
        <v>2599</v>
      </c>
      <c r="E278" s="3129" t="s">
        <v>2600</v>
      </c>
      <c r="F278" s="3129" t="s">
        <v>2601</v>
      </c>
      <c r="G278" s="3129" t="s">
        <v>2602</v>
      </c>
      <c r="H278" s="3130" t="s">
        <v>2603</v>
      </c>
      <c r="I278" s="3130" t="s">
        <v>2604</v>
      </c>
      <c r="J278" s="3131" t="s">
        <v>2605</v>
      </c>
      <c r="K278" s="3131" t="s">
        <v>2606</v>
      </c>
      <c r="L278" s="3131" t="s">
        <v>2607</v>
      </c>
      <c r="M278" s="3132" t="s">
        <v>2608</v>
      </c>
      <c r="Q278" s="3142" t="s">
        <v>2806</v>
      </c>
      <c r="R278" s="3142" t="s">
        <v>2807</v>
      </c>
      <c r="S278" s="3142" t="s">
        <v>2810</v>
      </c>
      <c r="T278" s="3142" t="s">
        <v>2811</v>
      </c>
      <c r="U278" s="3142" t="s">
        <v>2809</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2805</v>
      </c>
      <c r="B369" s="3140"/>
      <c r="C369" s="3140"/>
      <c r="D369" s="3140"/>
      <c r="E369" s="3140"/>
      <c r="F369" s="3140"/>
      <c r="G369" s="3140"/>
      <c r="H369" s="3140"/>
      <c r="I369" s="3140"/>
      <c r="J369" s="3140"/>
      <c r="K369" s="3140"/>
      <c r="L369" s="3140"/>
      <c r="M369" s="3140"/>
    </row>
    <row r="370" spans="1:20">
      <c r="A370" s="3128" t="s">
        <v>2801</v>
      </c>
      <c r="B370" s="3129" t="s">
        <v>2597</v>
      </c>
      <c r="C370" s="3129" t="s">
        <v>2598</v>
      </c>
      <c r="D370" s="3129" t="s">
        <v>2599</v>
      </c>
      <c r="E370" s="3129" t="s">
        <v>2600</v>
      </c>
      <c r="F370" s="3129" t="s">
        <v>2601</v>
      </c>
      <c r="G370" s="3129" t="s">
        <v>2602</v>
      </c>
      <c r="H370" s="3130" t="s">
        <v>2603</v>
      </c>
      <c r="I370" s="3130" t="s">
        <v>2604</v>
      </c>
      <c r="J370" s="3131" t="s">
        <v>2605</v>
      </c>
      <c r="K370" s="3131" t="s">
        <v>2606</v>
      </c>
      <c r="L370" s="3131" t="s">
        <v>2607</v>
      </c>
      <c r="M370" s="3132" t="s">
        <v>2608</v>
      </c>
      <c r="N370" s="750">
        <f>SUMPRODUCT((A371:A460=ROUNDDOWN(基准地价修正!G3,1))*(B370:M370=基准地价修正!G2)*(B371:M460))</f>
        <v>0</v>
      </c>
      <c r="Q370" s="3142" t="s">
        <v>2806</v>
      </c>
      <c r="R370" s="3142" t="s">
        <v>2807</v>
      </c>
      <c r="S370" s="3142" t="s">
        <v>2808</v>
      </c>
      <c r="T370" s="3142" t="s">
        <v>2809</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t="e">
        <f ca="1">C52</f>
        <v>#VALUE!</v>
      </c>
      <c r="C2" s="2" t="s">
        <v>106</v>
      </c>
      <c r="D2" s="199"/>
      <c r="E2" s="199"/>
      <c r="F2" s="199"/>
      <c r="G2" s="199"/>
    </row>
    <row r="3" spans="1:7" s="200" customFormat="1" ht="18" customHeight="1" thickBot="1">
      <c r="A3" s="203" t="s">
        <v>58</v>
      </c>
      <c r="B3" s="204" t="e">
        <f ca="1">ROUND(B2*10000/'数据-汇总表'!E3,0)</f>
        <v>#VALUE!</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20000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0</v>
      </c>
      <c r="D7" s="220"/>
      <c r="E7" s="218"/>
      <c r="F7" s="221">
        <f>'数据-取费表'!B48+'数据-取费表'!B49</f>
        <v>0</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0</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0</v>
      </c>
      <c r="D19" s="849">
        <f>'数据-汇总表'!E3</f>
        <v>0</v>
      </c>
      <c r="E19" s="211">
        <f>'数据-取费表'!B31</f>
        <v>0</v>
      </c>
      <c r="F19" s="231"/>
      <c r="G19" s="1" t="s">
        <v>436</v>
      </c>
    </row>
    <row r="20" spans="1:7" s="214" customFormat="1" ht="13.5" customHeight="1">
      <c r="A20" s="777" t="s">
        <v>419</v>
      </c>
      <c r="B20" s="210" t="s">
        <v>77</v>
      </c>
      <c r="C20" s="232">
        <f>ROUND((C5+C19)*F20,0)</f>
        <v>0</v>
      </c>
      <c r="D20" s="232"/>
      <c r="E20" s="232"/>
      <c r="F20" s="233">
        <f>'数据-取费表'!B37</f>
        <v>0</v>
      </c>
      <c r="G20" s="1067" t="s">
        <v>430</v>
      </c>
    </row>
    <row r="21" spans="1:7" s="214" customFormat="1" ht="13.5" customHeight="1">
      <c r="A21" s="777" t="s">
        <v>421</v>
      </c>
      <c r="B21" s="210" t="s">
        <v>78</v>
      </c>
      <c r="C21" s="235">
        <f>F21</f>
        <v>0</v>
      </c>
      <c r="D21" s="236" t="s">
        <v>99</v>
      </c>
      <c r="E21" s="232"/>
      <c r="F21" s="233">
        <f>'数据-取费表'!B38</f>
        <v>0</v>
      </c>
      <c r="G21" s="234" t="s">
        <v>79</v>
      </c>
    </row>
    <row r="22" spans="1:7" s="214" customFormat="1" ht="13.5" customHeight="1">
      <c r="A22" s="777" t="s">
        <v>341</v>
      </c>
      <c r="B22" s="210" t="s">
        <v>80</v>
      </c>
      <c r="C22" s="1104" t="e">
        <f ca="1">ROUND(SUM(C23:C25),0)</f>
        <v>#VALUE!</v>
      </c>
      <c r="D22" s="235" t="e">
        <f ca="1">C26</f>
        <v>#VALUE!</v>
      </c>
      <c r="E22" s="236" t="s">
        <v>99</v>
      </c>
      <c r="F22" s="237" t="e">
        <f ca="1">'数据-取费表'!B40</f>
        <v>#VALUE!</v>
      </c>
      <c r="G22" s="1067" t="str">
        <f>IF('数据-取费表'!B22&lt;=1,"单利计息","复利计息")</f>
        <v>单利计息</v>
      </c>
    </row>
    <row r="23" spans="1:7" s="214" customFormat="1" ht="13.5" customHeight="1">
      <c r="A23" s="780" t="s">
        <v>349</v>
      </c>
      <c r="B23" s="215" t="s">
        <v>423</v>
      </c>
      <c r="C23" s="1105" t="e">
        <f ca="1">ROUND(IF('数据-取费表'!B22&lt;=1,C5*F22*'数据-取费表'!B23,C5*(POWER((1+F22),'数据-取费表'!B23)-1)),0)</f>
        <v>#VALUE!</v>
      </c>
      <c r="D23" s="238"/>
      <c r="E23" s="238"/>
      <c r="F23" s="239"/>
      <c r="G23" s="240" t="s">
        <v>81</v>
      </c>
    </row>
    <row r="24" spans="1:7" s="214" customFormat="1" ht="13.5" customHeight="1">
      <c r="A24" s="780" t="s">
        <v>347</v>
      </c>
      <c r="B24" s="215" t="s">
        <v>418</v>
      </c>
      <c r="C24" s="1105" t="e">
        <f ca="1">ROUND(IF('数据-取费表'!B22&lt;=1,C19*F22*('数据-取费表'!B19/2+'数据-取费表'!B21),C19*(POWER((1+F22),('数据-取费表'!B19/2+'数据-取费表'!B21))-1)),0)</f>
        <v>#VALUE!</v>
      </c>
      <c r="D24" s="238"/>
      <c r="E24" s="238"/>
      <c r="F24" s="239"/>
      <c r="G24" s="240" t="s">
        <v>82</v>
      </c>
    </row>
    <row r="25" spans="1:7" s="214" customFormat="1" ht="24">
      <c r="A25" s="780" t="s">
        <v>348</v>
      </c>
      <c r="B25" s="215" t="s">
        <v>420</v>
      </c>
      <c r="C25" s="1105" t="e">
        <f ca="1">ROUND(IF('数据-取费表'!B22&lt;=1,C20*F22*'数据-取费表'!B23/2,C20*(POWER((1+F22),'数据-取费表'!B23/2)-1)),0)</f>
        <v>#VALUE!</v>
      </c>
      <c r="D25" s="238"/>
      <c r="E25" s="241"/>
      <c r="F25" s="239"/>
      <c r="G25" s="242" t="s">
        <v>83</v>
      </c>
    </row>
    <row r="26" spans="1:7" s="214" customFormat="1">
      <c r="A26" s="780" t="s">
        <v>350</v>
      </c>
      <c r="B26" s="215" t="s">
        <v>422</v>
      </c>
      <c r="C26" s="238" t="e">
        <f ca="1">ROUND(IF('数据-取费表'!B22&lt;=1,F21*F22*'数据-取费表'!B23/2,F21*(POWER((1+F22),'数据-取费表'!B23/2)-1)),4)</f>
        <v>#VALUE!</v>
      </c>
      <c r="D26" s="238"/>
      <c r="E26" s="241"/>
      <c r="F26" s="239"/>
      <c r="G26" s="243"/>
    </row>
    <row r="27" spans="1:7" s="214" customFormat="1" ht="24.75">
      <c r="A27" s="777" t="s">
        <v>342</v>
      </c>
      <c r="B27" s="244" t="s">
        <v>85</v>
      </c>
      <c r="C27" s="245" t="e">
        <f>C28</f>
        <v>#DIV/0!</v>
      </c>
      <c r="D27" s="235" t="e">
        <f>C29</f>
        <v>#DIV/0!</v>
      </c>
      <c r="E27" s="236" t="s">
        <v>99</v>
      </c>
      <c r="F27" s="246" t="e">
        <f>'数据-取费表'!Q16</f>
        <v>#DIV/0!</v>
      </c>
      <c r="G27" s="247" t="s">
        <v>431</v>
      </c>
    </row>
    <row r="28" spans="1:7" s="214" customFormat="1" ht="13.5" customHeight="1">
      <c r="A28" s="780" t="s">
        <v>349</v>
      </c>
      <c r="B28" s="248" t="s">
        <v>424</v>
      </c>
      <c r="C28" s="249" t="e">
        <f>ROUND((C5+C19+C20)*F27*'数据-取费表'!B21/'数据-取费表'!B20,0)</f>
        <v>#DIV/0!</v>
      </c>
      <c r="D28" s="235"/>
      <c r="E28" s="236"/>
      <c r="F28" s="246"/>
      <c r="G28" s="247"/>
    </row>
    <row r="29" spans="1:7" s="214" customFormat="1" ht="13.5" customHeight="1">
      <c r="A29" s="780" t="s">
        <v>347</v>
      </c>
      <c r="B29" s="248" t="s">
        <v>425</v>
      </c>
      <c r="C29" s="238" t="e">
        <f>ROUND(C21*F27*'数据-取费表'!B21/'数据-取费表'!B20,4)</f>
        <v>#DIV/0!</v>
      </c>
      <c r="D29" s="235"/>
      <c r="E29" s="236"/>
      <c r="F29" s="246"/>
      <c r="G29" s="247"/>
    </row>
    <row r="30" spans="1:7" s="214" customFormat="1" ht="13.5" customHeight="1">
      <c r="A30" s="777" t="s">
        <v>343</v>
      </c>
      <c r="B30" s="210" t="s">
        <v>31</v>
      </c>
      <c r="C30" s="235">
        <f>F30</f>
        <v>0</v>
      </c>
      <c r="D30" s="236" t="s">
        <v>100</v>
      </c>
      <c r="E30" s="241"/>
      <c r="F30" s="237">
        <f>'数据-取费表'!B41</f>
        <v>0</v>
      </c>
      <c r="G30" s="234" t="s">
        <v>86</v>
      </c>
    </row>
    <row r="31" spans="1:7" ht="16.5" customHeight="1">
      <c r="A31" s="209">
        <v>1</v>
      </c>
      <c r="B31" s="210" t="s">
        <v>101</v>
      </c>
      <c r="C31" s="211" t="e">
        <f ca="1">ROUND((C5+C19+C20+C22+C27)/(1-C21-D22-D27-C30/(1+'数据-取费表'!B42)),0)</f>
        <v>#VALUE!</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0</v>
      </c>
      <c r="D34" s="217"/>
      <c r="E34" s="220"/>
      <c r="F34" s="257">
        <f>IF('数据-取费表'!B24=0,1,'数据-取费表'!N16)</f>
        <v>1</v>
      </c>
      <c r="G34" s="219" t="s">
        <v>89</v>
      </c>
    </row>
    <row r="35" spans="1:7" ht="13.5" customHeight="1">
      <c r="A35" s="780" t="s">
        <v>351</v>
      </c>
      <c r="B35" s="215" t="s">
        <v>33</v>
      </c>
      <c r="C35" s="220">
        <f>ROUND(C34*F35,0)</f>
        <v>0</v>
      </c>
      <c r="D35" s="220"/>
      <c r="E35" s="220"/>
      <c r="F35" s="259">
        <f>'数据-取费表'!B33</f>
        <v>0</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0</v>
      </c>
      <c r="D37" s="217">
        <f>'数据-汇总表'!E3</f>
        <v>0</v>
      </c>
      <c r="E37" s="249">
        <f>'数据-取费表'!B35</f>
        <v>0</v>
      </c>
      <c r="F37" s="259"/>
      <c r="G37" s="261" t="s">
        <v>92</v>
      </c>
    </row>
    <row r="38" spans="1:7" ht="13.5" customHeight="1">
      <c r="A38" s="780" t="s">
        <v>354</v>
      </c>
      <c r="B38" s="215" t="s">
        <v>36</v>
      </c>
      <c r="C38" s="220">
        <f>ROUND(C34*F38,0)</f>
        <v>0</v>
      </c>
      <c r="D38" s="220"/>
      <c r="E38" s="220"/>
      <c r="F38" s="259">
        <f>'数据-取费表'!B36</f>
        <v>0</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v>
      </c>
      <c r="D40" s="236" t="s">
        <v>102</v>
      </c>
      <c r="E40" s="232"/>
      <c r="F40" s="233"/>
      <c r="G40" s="234" t="s">
        <v>93</v>
      </c>
    </row>
    <row r="41" spans="1:7" s="214" customFormat="1" ht="13.5" customHeight="1">
      <c r="A41" s="777" t="s">
        <v>340</v>
      </c>
      <c r="B41" s="210" t="s">
        <v>80</v>
      </c>
      <c r="C41" s="232" t="e">
        <f ca="1">ROUND(SUM(C42:C43),0)</f>
        <v>#VALUE!</v>
      </c>
      <c r="D41" s="235" t="e">
        <f ca="1">C44</f>
        <v>#VALUE!</v>
      </c>
      <c r="E41" s="236" t="s">
        <v>102</v>
      </c>
      <c r="F41" s="237"/>
      <c r="G41" s="1067" t="str">
        <f>IF('数据-取费表'!B22&lt;=1,"单利计息","复利计息")</f>
        <v>单利计息</v>
      </c>
    </row>
    <row r="42" spans="1:7" ht="13.5" customHeight="1">
      <c r="A42" s="780" t="s">
        <v>349</v>
      </c>
      <c r="B42" s="215" t="s">
        <v>423</v>
      </c>
      <c r="C42" s="238" t="e">
        <f ca="1">ROUND(IF('数据-取费表'!B22&lt;=1,C33*F22*'数据-取费表'!B21/2,C33*(POWER((1+F22),'数据-取费表'!B21/2)-1)),0)</f>
        <v>#VALUE!</v>
      </c>
      <c r="D42" s="238"/>
      <c r="E42" s="238"/>
      <c r="F42" s="239"/>
      <c r="G42" s="3632" t="s">
        <v>94</v>
      </c>
    </row>
    <row r="43" spans="1:7" ht="13.5" customHeight="1">
      <c r="A43" s="780" t="s">
        <v>347</v>
      </c>
      <c r="B43" s="215" t="s">
        <v>426</v>
      </c>
      <c r="C43" s="238" t="e">
        <f ca="1">ROUND(IF('数据-取费表'!B22&lt;=1,C39*F22*'数据-取费表'!B21/2,C39*(POWER((1+F22),'数据-取费表'!B21/2)-1)),0)</f>
        <v>#VALUE!</v>
      </c>
      <c r="D43" s="238"/>
      <c r="E43" s="238"/>
      <c r="F43" s="239"/>
      <c r="G43" s="3633"/>
    </row>
    <row r="44" spans="1:7" ht="13.5" customHeight="1">
      <c r="A44" s="780" t="s">
        <v>348</v>
      </c>
      <c r="B44" s="215" t="s">
        <v>428</v>
      </c>
      <c r="C44" s="238" t="e">
        <f ca="1">ROUND(IF('数据-取费表'!B22&lt;=1,C40*F22*'数据-取费表'!B21/2,C40*(POWER((1+F22),'数据-取费表'!B21/2)-1)),4)</f>
        <v>#VALUE!</v>
      </c>
      <c r="D44" s="238"/>
      <c r="E44" s="238"/>
      <c r="F44" s="239"/>
      <c r="G44" s="3634"/>
    </row>
    <row r="45" spans="1:7" s="214" customFormat="1" ht="13.5" customHeight="1">
      <c r="A45" s="777" t="s">
        <v>341</v>
      </c>
      <c r="B45" s="244" t="s">
        <v>85</v>
      </c>
      <c r="C45" s="245" t="e">
        <f>C46</f>
        <v>#DIV/0!</v>
      </c>
      <c r="D45" s="235" t="e">
        <f>C47</f>
        <v>#DIV/0!</v>
      </c>
      <c r="E45" s="236" t="s">
        <v>102</v>
      </c>
      <c r="F45" s="246"/>
      <c r="G45" s="247" t="s">
        <v>434</v>
      </c>
    </row>
    <row r="46" spans="1:7" s="214" customFormat="1" ht="13.5" customHeight="1">
      <c r="A46" s="780" t="s">
        <v>349</v>
      </c>
      <c r="B46" s="248" t="s">
        <v>427</v>
      </c>
      <c r="C46" s="249" t="e">
        <f>ROUND((C33+C39)*F27,0)</f>
        <v>#DIV/0!</v>
      </c>
      <c r="D46" s="263"/>
      <c r="E46" s="236"/>
      <c r="F46" s="246"/>
      <c r="G46" s="247"/>
    </row>
    <row r="47" spans="1:7" s="214" customFormat="1" ht="13.5" customHeight="1">
      <c r="A47" s="780" t="s">
        <v>347</v>
      </c>
      <c r="B47" s="248" t="s">
        <v>429</v>
      </c>
      <c r="C47" s="238" t="e">
        <f>ROUND(C40*F27,4)</f>
        <v>#DIV/0!</v>
      </c>
      <c r="D47" s="263"/>
      <c r="E47" s="236"/>
      <c r="F47" s="246"/>
      <c r="G47" s="247"/>
    </row>
    <row r="48" spans="1:7" s="214" customFormat="1" ht="13.5" customHeight="1">
      <c r="A48" s="777" t="s">
        <v>342</v>
      </c>
      <c r="B48" s="210" t="s">
        <v>95</v>
      </c>
      <c r="C48" s="262">
        <f>F30</f>
        <v>0</v>
      </c>
      <c r="D48" s="236" t="s">
        <v>103</v>
      </c>
      <c r="E48" s="232"/>
      <c r="F48" s="237"/>
      <c r="G48" s="234" t="s">
        <v>96</v>
      </c>
    </row>
    <row r="49" spans="1:7" ht="16.5" customHeight="1">
      <c r="A49" s="777" t="s">
        <v>343</v>
      </c>
      <c r="B49" s="210" t="s">
        <v>104</v>
      </c>
      <c r="C49" s="232" t="e">
        <f ca="1">ROUND((C33+C39+C41+C45)/(1-C40-D41-D45-C48/(1+'数据-取费表'!B42)),0)</f>
        <v>#VALUE!</v>
      </c>
      <c r="D49" s="232"/>
      <c r="E49" s="232"/>
      <c r="F49" s="264"/>
      <c r="G49" s="234" t="s">
        <v>435</v>
      </c>
    </row>
    <row r="50" spans="1:7" s="258" customFormat="1" ht="24">
      <c r="A50" s="777" t="s">
        <v>344</v>
      </c>
      <c r="B50" s="210" t="s">
        <v>97</v>
      </c>
      <c r="C50" s="232"/>
      <c r="D50" s="232"/>
      <c r="E50" s="232"/>
      <c r="F50" s="264" t="e">
        <f>IF('数据-取费表'!B24=0,'数据-取费表'!N16,1)</f>
        <v>#DIV/0!</v>
      </c>
      <c r="G50" s="247" t="s">
        <v>98</v>
      </c>
    </row>
    <row r="51" spans="1:7" ht="16.5" customHeight="1">
      <c r="A51" s="777" t="s">
        <v>345</v>
      </c>
      <c r="B51" s="210" t="s">
        <v>105</v>
      </c>
      <c r="C51" s="232" t="e">
        <f ca="1">ROUND(C49*F50,0)</f>
        <v>#VALUE!</v>
      </c>
      <c r="D51" s="232"/>
      <c r="E51" s="232"/>
      <c r="F51" s="264"/>
      <c r="G51" s="234" t="s">
        <v>37</v>
      </c>
    </row>
    <row r="52" spans="1:7" s="208" customFormat="1" ht="16.5" thickBot="1">
      <c r="A52" s="265" t="s">
        <v>38</v>
      </c>
      <c r="B52" s="266"/>
      <c r="C52" s="267" t="e">
        <f ca="1">C31+C51</f>
        <v>#VALUE!</v>
      </c>
      <c r="D52" s="266"/>
      <c r="E52" s="266"/>
      <c r="F52" s="266"/>
      <c r="G52" s="268"/>
    </row>
    <row r="55" spans="1:7" ht="15">
      <c r="B55" s="270" t="s">
        <v>39</v>
      </c>
      <c r="C55" s="271"/>
    </row>
    <row r="56" spans="1:7">
      <c r="B56" s="273" t="s">
        <v>40</v>
      </c>
      <c r="C56" s="274" t="e">
        <f ca="1">ROUND(C51/C52,3)</f>
        <v>#VALUE!</v>
      </c>
    </row>
    <row r="57" spans="1:7">
      <c r="B57" s="273" t="s">
        <v>41</v>
      </c>
      <c r="C57" s="275" t="e">
        <f ca="1">1-C56</f>
        <v>#VALUE!</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0" t="s">
        <v>2841</v>
      </c>
      <c r="B1" s="3770"/>
      <c r="C1" s="3770"/>
      <c r="D1" s="3770"/>
      <c r="E1" s="3770"/>
      <c r="F1" s="3770"/>
      <c r="G1" s="3771"/>
      <c r="I1" s="3223" t="s">
        <v>2842</v>
      </c>
      <c r="J1" s="3224" t="s">
        <v>2843</v>
      </c>
      <c r="K1" s="3224" t="s">
        <v>2844</v>
      </c>
      <c r="L1" s="3224" t="s">
        <v>2845</v>
      </c>
      <c r="M1" s="3224" t="s">
        <v>2846</v>
      </c>
      <c r="N1" s="3224" t="s">
        <v>2847</v>
      </c>
      <c r="O1" s="3224" t="s">
        <v>2848</v>
      </c>
      <c r="P1" s="3224" t="s">
        <v>2849</v>
      </c>
      <c r="Q1" s="3224" t="s">
        <v>2850</v>
      </c>
      <c r="R1" s="3224" t="s">
        <v>2851</v>
      </c>
      <c r="S1" s="3224" t="s">
        <v>2852</v>
      </c>
      <c r="T1" s="3225" t="s">
        <v>2853</v>
      </c>
    </row>
    <row r="2" spans="1:20" ht="12" thickBot="1">
      <c r="A2" s="3227" t="s">
        <v>2854</v>
      </c>
      <c r="B2" s="3227"/>
      <c r="C2" s="3227"/>
      <c r="D2" s="3227"/>
      <c r="E2" s="3227"/>
      <c r="F2" s="3227"/>
      <c r="G2" s="3228" t="s">
        <v>2855</v>
      </c>
      <c r="I2" s="3229" t="s">
        <v>2856</v>
      </c>
      <c r="J2" s="3229" t="s">
        <v>2857</v>
      </c>
      <c r="K2" s="3229" t="s">
        <v>2858</v>
      </c>
      <c r="L2" s="3229" t="s">
        <v>2859</v>
      </c>
      <c r="M2" s="3229" t="s">
        <v>2860</v>
      </c>
      <c r="N2" s="3229" t="s">
        <v>2861</v>
      </c>
      <c r="O2" s="3229" t="s">
        <v>2862</v>
      </c>
      <c r="P2" s="3229" t="s">
        <v>2863</v>
      </c>
      <c r="Q2" s="3229" t="s">
        <v>2864</v>
      </c>
      <c r="R2" s="3229" t="s">
        <v>2865</v>
      </c>
      <c r="S2" s="3229" t="s">
        <v>2866</v>
      </c>
      <c r="T2" s="3229" t="s">
        <v>2867</v>
      </c>
    </row>
    <row r="3" spans="1:20" s="3235" customFormat="1">
      <c r="A3" s="3768" t="s">
        <v>2868</v>
      </c>
      <c r="B3" s="3230"/>
      <c r="C3" s="3231" t="s">
        <v>2813</v>
      </c>
      <c r="D3" s="3231" t="s">
        <v>2869</v>
      </c>
      <c r="E3" s="3231" t="s">
        <v>2815</v>
      </c>
      <c r="F3" s="3231" t="s">
        <v>2870</v>
      </c>
      <c r="G3" s="3231" t="s">
        <v>2633</v>
      </c>
      <c r="H3" s="3232"/>
      <c r="I3" s="3233" t="s">
        <v>2871</v>
      </c>
      <c r="J3" s="3234" t="s">
        <v>128</v>
      </c>
      <c r="K3" s="3234" t="s">
        <v>129</v>
      </c>
      <c r="L3" s="3233" t="s">
        <v>130</v>
      </c>
      <c r="M3" s="3233" t="s">
        <v>131</v>
      </c>
      <c r="N3" s="3233" t="s">
        <v>132</v>
      </c>
      <c r="O3" s="3233" t="s">
        <v>133</v>
      </c>
      <c r="P3" s="3233" t="s">
        <v>134</v>
      </c>
      <c r="Q3" s="3233" t="s">
        <v>135</v>
      </c>
      <c r="R3" s="3233" t="s">
        <v>136</v>
      </c>
      <c r="S3" s="3233" t="s">
        <v>2872</v>
      </c>
      <c r="T3" s="3233" t="s">
        <v>2873</v>
      </c>
    </row>
    <row r="4" spans="1:20" s="3235" customFormat="1" ht="12" thickBot="1">
      <c r="A4" s="3769"/>
      <c r="B4" s="3236" t="s">
        <v>2874</v>
      </c>
      <c r="C4" s="3236" t="s">
        <v>2875</v>
      </c>
      <c r="D4" s="3236" t="s">
        <v>2875</v>
      </c>
      <c r="E4" s="3236" t="s">
        <v>2875</v>
      </c>
      <c r="F4" s="3237" t="s">
        <v>2875</v>
      </c>
      <c r="G4" s="3237" t="s">
        <v>2875</v>
      </c>
      <c r="H4" s="3232"/>
      <c r="I4" s="3234" t="s">
        <v>137</v>
      </c>
      <c r="J4" s="3234" t="s">
        <v>111</v>
      </c>
      <c r="K4" s="3234" t="s">
        <v>138</v>
      </c>
      <c r="L4" s="3233" t="s">
        <v>139</v>
      </c>
      <c r="M4" s="3233" t="s">
        <v>140</v>
      </c>
      <c r="N4" s="3233" t="s">
        <v>141</v>
      </c>
      <c r="O4" s="3233" t="s">
        <v>142</v>
      </c>
      <c r="P4" s="3233" t="s">
        <v>143</v>
      </c>
      <c r="Q4" s="3233" t="s">
        <v>2876</v>
      </c>
      <c r="R4" s="3233" t="s">
        <v>2877</v>
      </c>
      <c r="S4" s="3233" t="s">
        <v>2878</v>
      </c>
      <c r="T4" s="3233" t="s">
        <v>2879</v>
      </c>
    </row>
    <row r="5" spans="1:20">
      <c r="A5" s="3238" t="s">
        <v>2842</v>
      </c>
      <c r="B5" s="3229" t="s">
        <v>2856</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2880</v>
      </c>
      <c r="R5" s="3233" t="s">
        <v>2881</v>
      </c>
      <c r="S5" s="3233" t="s">
        <v>153</v>
      </c>
      <c r="T5" s="3233" t="s">
        <v>2882</v>
      </c>
    </row>
    <row r="6" spans="1:20" ht="12" thickBot="1">
      <c r="A6" s="3233" t="s">
        <v>144</v>
      </c>
      <c r="B6" s="3233" t="s">
        <v>2871</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2883</v>
      </c>
      <c r="Q6" s="3233" t="s">
        <v>2884</v>
      </c>
      <c r="R6" s="3233" t="s">
        <v>161</v>
      </c>
      <c r="S6" s="3233" t="s">
        <v>2885</v>
      </c>
      <c r="T6" s="3233" t="s">
        <v>2886</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2887</v>
      </c>
      <c r="Q7" s="3233" t="s">
        <v>2888</v>
      </c>
      <c r="R7" s="3233" t="s">
        <v>2889</v>
      </c>
      <c r="S7" s="3233" t="s">
        <v>2890</v>
      </c>
      <c r="T7" s="3233" t="s">
        <v>2891</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2892</v>
      </c>
      <c r="Q8" s="3233" t="s">
        <v>174</v>
      </c>
      <c r="R8" s="3233" t="s">
        <v>2893</v>
      </c>
      <c r="S8" s="3233" t="s">
        <v>2894</v>
      </c>
      <c r="T8" s="3240" t="s">
        <v>2895</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2896</v>
      </c>
      <c r="Q9" s="3233" t="s">
        <v>182</v>
      </c>
      <c r="R9" s="3233" t="s">
        <v>183</v>
      </c>
      <c r="S9" s="3233" t="s">
        <v>200</v>
      </c>
    </row>
    <row r="10" spans="1:20">
      <c r="A10" s="3238" t="s">
        <v>184</v>
      </c>
      <c r="B10" s="3229" t="s">
        <v>2857</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2897</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2898</v>
      </c>
      <c r="P11" s="3233" t="s">
        <v>191</v>
      </c>
      <c r="Q11" s="3233" t="s">
        <v>199</v>
      </c>
      <c r="R11" s="3233" t="s">
        <v>2899</v>
      </c>
      <c r="S11" s="3233" t="s">
        <v>2900</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2901</v>
      </c>
      <c r="P12" s="3233" t="s">
        <v>2902</v>
      </c>
      <c r="Q12" s="3233" t="s">
        <v>2903</v>
      </c>
      <c r="R12" s="3233" t="s">
        <v>2904</v>
      </c>
      <c r="S12" s="3233" t="s">
        <v>2905</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2906</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2907</v>
      </c>
      <c r="K14" s="3234" t="s">
        <v>215</v>
      </c>
      <c r="L14" s="3233" t="s">
        <v>216</v>
      </c>
      <c r="M14" s="3233" t="s">
        <v>217</v>
      </c>
      <c r="N14" s="3233" t="s">
        <v>218</v>
      </c>
      <c r="O14" s="3233" t="s">
        <v>240</v>
      </c>
      <c r="P14" s="3233" t="s">
        <v>213</v>
      </c>
      <c r="Q14" s="3233" t="s">
        <v>2908</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2909</v>
      </c>
      <c r="P15" s="3233" t="s">
        <v>2910</v>
      </c>
      <c r="Q15" s="3233" t="s">
        <v>242</v>
      </c>
      <c r="R15" s="3233" t="s">
        <v>2911</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2912</v>
      </c>
      <c r="P16" s="3233" t="s">
        <v>227</v>
      </c>
      <c r="Q16" s="3233" t="s">
        <v>250</v>
      </c>
      <c r="R16" s="3233" t="s">
        <v>207</v>
      </c>
      <c r="S16" s="3233" t="s">
        <v>2913</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2914</v>
      </c>
      <c r="P17" s="3233" t="s">
        <v>2915</v>
      </c>
      <c r="Q17" s="3233" t="s">
        <v>256</v>
      </c>
      <c r="R17" s="3233" t="s">
        <v>2916</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2917</v>
      </c>
      <c r="P18" s="3233" t="s">
        <v>241</v>
      </c>
      <c r="Q18" s="3233" t="s">
        <v>2918</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2919</v>
      </c>
      <c r="P19" s="3233" t="s">
        <v>249</v>
      </c>
      <c r="Q19" s="3233" t="s">
        <v>2920</v>
      </c>
      <c r="R19" s="3233" t="s">
        <v>265</v>
      </c>
      <c r="S19" s="3233" t="s">
        <v>2921</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2922</v>
      </c>
      <c r="P20" s="3233" t="s">
        <v>2923</v>
      </c>
      <c r="Q20" s="3233" t="s">
        <v>290</v>
      </c>
      <c r="R20" s="3233" t="s">
        <v>2924</v>
      </c>
      <c r="S20" s="3233" t="s">
        <v>277</v>
      </c>
    </row>
    <row r="21" spans="1:19" ht="14.25" customHeight="1" thickBot="1">
      <c r="A21" s="3233" t="s">
        <v>184</v>
      </c>
      <c r="B21" s="3234" t="s">
        <v>208</v>
      </c>
      <c r="C21" s="3233">
        <v>32370</v>
      </c>
      <c r="D21" s="3233">
        <v>26730</v>
      </c>
      <c r="E21" s="3233">
        <v>26640</v>
      </c>
      <c r="F21" s="3233"/>
      <c r="G21" s="3233">
        <v>19440</v>
      </c>
      <c r="J21" s="3240" t="s">
        <v>2925</v>
      </c>
      <c r="K21" s="3234" t="s">
        <v>267</v>
      </c>
      <c r="L21" s="3233" t="s">
        <v>268</v>
      </c>
      <c r="M21" s="3233" t="s">
        <v>269</v>
      </c>
      <c r="N21" s="3233" t="s">
        <v>270</v>
      </c>
      <c r="O21" s="3233" t="s">
        <v>264</v>
      </c>
      <c r="P21" s="3233" t="s">
        <v>283</v>
      </c>
      <c r="Q21" s="3233" t="s">
        <v>293</v>
      </c>
      <c r="R21" s="3233" t="s">
        <v>2926</v>
      </c>
      <c r="S21" s="3240" t="s">
        <v>2927</v>
      </c>
    </row>
    <row r="22" spans="1:19" ht="14.25" customHeight="1">
      <c r="A22" s="3233" t="s">
        <v>184</v>
      </c>
      <c r="B22" s="3234" t="s">
        <v>2907</v>
      </c>
      <c r="C22" s="3233">
        <v>29830</v>
      </c>
      <c r="D22" s="3233">
        <v>27600</v>
      </c>
      <c r="E22" s="3233">
        <v>28150</v>
      </c>
      <c r="F22" s="3233"/>
      <c r="G22" s="3233">
        <v>20080</v>
      </c>
      <c r="K22" s="3234" t="s">
        <v>2928</v>
      </c>
      <c r="L22" s="3233" t="s">
        <v>272</v>
      </c>
      <c r="M22" s="3233" t="s">
        <v>273</v>
      </c>
      <c r="N22" s="3233" t="s">
        <v>274</v>
      </c>
      <c r="O22" s="3233" t="s">
        <v>2929</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2930</v>
      </c>
      <c r="L23" s="3233" t="s">
        <v>278</v>
      </c>
      <c r="M23" s="3233" t="s">
        <v>279</v>
      </c>
      <c r="N23" s="3233" t="s">
        <v>2931</v>
      </c>
      <c r="O23" s="3233" t="s">
        <v>2932</v>
      </c>
      <c r="P23" s="3233" t="s">
        <v>289</v>
      </c>
      <c r="Q23" s="3233" t="s">
        <v>298</v>
      </c>
      <c r="R23" s="3233" t="s">
        <v>2933</v>
      </c>
    </row>
    <row r="24" spans="1:19" ht="14.25" customHeight="1">
      <c r="A24" s="3233" t="s">
        <v>184</v>
      </c>
      <c r="B24" s="3234" t="s">
        <v>230</v>
      </c>
      <c r="C24" s="3233">
        <v>27930</v>
      </c>
      <c r="D24" s="3233">
        <v>32260</v>
      </c>
      <c r="E24" s="3233">
        <v>32120</v>
      </c>
      <c r="F24" s="3233"/>
      <c r="G24" s="3233">
        <v>23470</v>
      </c>
      <c r="K24" s="3234" t="s">
        <v>2934</v>
      </c>
      <c r="L24" s="3233" t="s">
        <v>281</v>
      </c>
      <c r="M24" s="3233" t="s">
        <v>282</v>
      </c>
      <c r="N24" s="3233" t="s">
        <v>2935</v>
      </c>
      <c r="O24" s="3233" t="s">
        <v>285</v>
      </c>
      <c r="P24" s="3233" t="s">
        <v>2936</v>
      </c>
      <c r="Q24" s="3242" t="s">
        <v>2937</v>
      </c>
      <c r="R24" s="3233" t="s">
        <v>2938</v>
      </c>
    </row>
    <row r="25" spans="1:19" ht="14.25" customHeight="1">
      <c r="A25" s="3233" t="s">
        <v>184</v>
      </c>
      <c r="B25" s="3234" t="s">
        <v>235</v>
      </c>
      <c r="C25" s="3233">
        <v>32230</v>
      </c>
      <c r="D25" s="3233">
        <v>29640</v>
      </c>
      <c r="E25" s="3233">
        <v>29510</v>
      </c>
      <c r="F25" s="3233"/>
      <c r="G25" s="3233">
        <v>21560</v>
      </c>
      <c r="K25" s="3234" t="s">
        <v>2939</v>
      </c>
      <c r="L25" s="3233" t="s">
        <v>2940</v>
      </c>
      <c r="M25" s="3233" t="s">
        <v>284</v>
      </c>
      <c r="N25" s="3233" t="s">
        <v>292</v>
      </c>
      <c r="O25" s="3233" t="s">
        <v>288</v>
      </c>
      <c r="P25" s="3233" t="s">
        <v>275</v>
      </c>
      <c r="Q25" s="3242" t="s">
        <v>271</v>
      </c>
      <c r="R25" s="3233" t="s">
        <v>2941</v>
      </c>
    </row>
    <row r="26" spans="1:19" ht="14.25" customHeight="1" thickBot="1">
      <c r="A26" s="3233" t="s">
        <v>184</v>
      </c>
      <c r="B26" s="3234" t="s">
        <v>244</v>
      </c>
      <c r="C26" s="3233">
        <v>31690</v>
      </c>
      <c r="D26" s="3233">
        <v>27650</v>
      </c>
      <c r="E26" s="3233">
        <v>28200</v>
      </c>
      <c r="F26" s="3233"/>
      <c r="G26" s="3233">
        <v>20110</v>
      </c>
      <c r="K26" s="3239" t="s">
        <v>2942</v>
      </c>
      <c r="L26" s="3233" t="s">
        <v>2943</v>
      </c>
      <c r="M26" s="3233" t="s">
        <v>287</v>
      </c>
      <c r="N26" s="3233" t="s">
        <v>294</v>
      </c>
      <c r="O26" s="3233" t="s">
        <v>2944</v>
      </c>
      <c r="P26" s="3233" t="s">
        <v>2945</v>
      </c>
      <c r="Q26" s="3242" t="s">
        <v>276</v>
      </c>
      <c r="R26" s="3233" t="s">
        <v>2946</v>
      </c>
    </row>
    <row r="27" spans="1:19" ht="14.25" customHeight="1">
      <c r="A27" s="3233" t="s">
        <v>184</v>
      </c>
      <c r="B27" s="3234" t="s">
        <v>251</v>
      </c>
      <c r="C27" s="3233">
        <v>29610</v>
      </c>
      <c r="D27" s="3233">
        <v>27770</v>
      </c>
      <c r="E27" s="3233">
        <v>28300</v>
      </c>
      <c r="F27" s="3233"/>
      <c r="G27" s="3233">
        <v>20210</v>
      </c>
      <c r="L27" s="3233" t="s">
        <v>2947</v>
      </c>
      <c r="M27" s="3233" t="s">
        <v>291</v>
      </c>
      <c r="N27" s="3233" t="s">
        <v>297</v>
      </c>
      <c r="O27" s="3233" t="s">
        <v>2948</v>
      </c>
      <c r="P27" s="3233" t="s">
        <v>2949</v>
      </c>
      <c r="Q27" s="3233" t="s">
        <v>2950</v>
      </c>
      <c r="R27" s="3233" t="s">
        <v>2951</v>
      </c>
    </row>
    <row r="28" spans="1:19" ht="14.25" customHeight="1">
      <c r="A28" s="3233" t="s">
        <v>184</v>
      </c>
      <c r="B28" s="3234" t="s">
        <v>259</v>
      </c>
      <c r="C28" s="3233"/>
      <c r="D28" s="3233">
        <v>31520</v>
      </c>
      <c r="E28" s="3233">
        <v>31410</v>
      </c>
      <c r="F28" s="3233"/>
      <c r="G28" s="3233">
        <v>22940</v>
      </c>
      <c r="L28" s="3233" t="s">
        <v>2952</v>
      </c>
      <c r="M28" s="3233" t="s">
        <v>2953</v>
      </c>
      <c r="N28" s="3233" t="s">
        <v>2954</v>
      </c>
      <c r="O28" s="3233" t="s">
        <v>2955</v>
      </c>
      <c r="P28" s="3233" t="s">
        <v>2956</v>
      </c>
      <c r="Q28" s="3233" t="s">
        <v>2957</v>
      </c>
      <c r="R28" s="3233" t="s">
        <v>2958</v>
      </c>
    </row>
    <row r="29" spans="1:19" ht="14.25" customHeight="1" thickBot="1">
      <c r="A29" s="3241" t="s">
        <v>184</v>
      </c>
      <c r="B29" s="3243" t="s">
        <v>2925</v>
      </c>
      <c r="C29" s="3244"/>
      <c r="D29" s="3244">
        <v>29460</v>
      </c>
      <c r="E29" s="3244">
        <v>28640</v>
      </c>
      <c r="F29" s="3244"/>
      <c r="G29" s="3244">
        <v>21430</v>
      </c>
      <c r="L29" s="3233" t="s">
        <v>2959</v>
      </c>
      <c r="M29" s="3233" t="s">
        <v>2960</v>
      </c>
      <c r="N29" s="3233" t="s">
        <v>2961</v>
      </c>
      <c r="O29" s="3233" t="s">
        <v>2962</v>
      </c>
      <c r="P29" s="3233" t="s">
        <v>2963</v>
      </c>
      <c r="Q29" s="3233" t="s">
        <v>2964</v>
      </c>
      <c r="R29" s="3233" t="s">
        <v>280</v>
      </c>
    </row>
    <row r="30" spans="1:19" ht="14.25" customHeight="1">
      <c r="A30" s="3238" t="s">
        <v>296</v>
      </c>
      <c r="B30" s="3229" t="s">
        <v>2858</v>
      </c>
      <c r="C30" s="3229">
        <v>26890</v>
      </c>
      <c r="D30" s="3229">
        <v>26770</v>
      </c>
      <c r="E30" s="3229">
        <v>25700</v>
      </c>
      <c r="F30" s="3229">
        <v>8180</v>
      </c>
      <c r="G30" s="3245">
        <v>18740</v>
      </c>
      <c r="L30" s="3233" t="s">
        <v>2965</v>
      </c>
      <c r="M30" s="3233" t="s">
        <v>2966</v>
      </c>
      <c r="N30" s="3233" t="s">
        <v>2967</v>
      </c>
      <c r="O30" s="3233" t="s">
        <v>2968</v>
      </c>
      <c r="P30" s="3233" t="s">
        <v>2969</v>
      </c>
      <c r="Q30" s="3233" t="s">
        <v>2970</v>
      </c>
      <c r="R30" s="3233" t="s">
        <v>2971</v>
      </c>
    </row>
    <row r="31" spans="1:19" ht="14.25" customHeight="1">
      <c r="A31" s="3233" t="s">
        <v>296</v>
      </c>
      <c r="B31" s="3234" t="s">
        <v>129</v>
      </c>
      <c r="C31" s="3233">
        <v>24550</v>
      </c>
      <c r="D31" s="3233">
        <v>23990</v>
      </c>
      <c r="E31" s="3233">
        <v>22930</v>
      </c>
      <c r="F31" s="3233">
        <v>7470</v>
      </c>
      <c r="G31" s="3246">
        <v>16790</v>
      </c>
      <c r="L31" s="3233" t="s">
        <v>2972</v>
      </c>
      <c r="M31" s="3233" t="s">
        <v>2973</v>
      </c>
      <c r="N31" s="3233" t="s">
        <v>2974</v>
      </c>
      <c r="O31" s="3233" t="s">
        <v>2975</v>
      </c>
      <c r="P31" s="3233" t="s">
        <v>2976</v>
      </c>
      <c r="Q31" s="3233" t="s">
        <v>2977</v>
      </c>
      <c r="R31" s="3233" t="s">
        <v>2978</v>
      </c>
    </row>
    <row r="32" spans="1:19" ht="14.25" customHeight="1" thickBot="1">
      <c r="A32" s="3233" t="s">
        <v>296</v>
      </c>
      <c r="B32" s="3234" t="s">
        <v>138</v>
      </c>
      <c r="C32" s="3233">
        <v>27210</v>
      </c>
      <c r="D32" s="3233">
        <v>23240</v>
      </c>
      <c r="E32" s="3233">
        <v>23260</v>
      </c>
      <c r="F32" s="3233">
        <v>7130</v>
      </c>
      <c r="G32" s="3246">
        <v>16270</v>
      </c>
      <c r="L32" s="3233" t="s">
        <v>2979</v>
      </c>
      <c r="M32" s="3233" t="s">
        <v>2980</v>
      </c>
      <c r="N32" s="3233" t="s">
        <v>300</v>
      </c>
      <c r="O32" s="3233" t="s">
        <v>2981</v>
      </c>
      <c r="P32" s="3233" t="s">
        <v>299</v>
      </c>
      <c r="Q32" s="3233" t="s">
        <v>2982</v>
      </c>
      <c r="R32" s="3240" t="s">
        <v>2983</v>
      </c>
    </row>
    <row r="33" spans="1:17" ht="14.25" customHeight="1" thickBot="1">
      <c r="A33" s="3233" t="s">
        <v>296</v>
      </c>
      <c r="B33" s="3234" t="s">
        <v>147</v>
      </c>
      <c r="C33" s="3233">
        <v>27300</v>
      </c>
      <c r="D33" s="3233">
        <v>22980</v>
      </c>
      <c r="E33" s="3233">
        <v>24260</v>
      </c>
      <c r="F33" s="3233">
        <v>5860</v>
      </c>
      <c r="G33" s="3246">
        <v>16090</v>
      </c>
      <c r="L33" s="3240" t="s">
        <v>2984</v>
      </c>
      <c r="M33" s="3233" t="s">
        <v>2985</v>
      </c>
      <c r="N33" s="3233" t="s">
        <v>301</v>
      </c>
      <c r="O33" s="3233" t="s">
        <v>2986</v>
      </c>
      <c r="P33" s="3233" t="s">
        <v>2987</v>
      </c>
      <c r="Q33" s="3233" t="s">
        <v>2988</v>
      </c>
    </row>
    <row r="34" spans="1:17" ht="14.25" customHeight="1">
      <c r="A34" s="3233" t="s">
        <v>296</v>
      </c>
      <c r="B34" s="3234" t="s">
        <v>156</v>
      </c>
      <c r="C34" s="3233">
        <v>23090</v>
      </c>
      <c r="D34" s="3233">
        <v>23390</v>
      </c>
      <c r="E34" s="3233">
        <v>23510</v>
      </c>
      <c r="F34" s="3233">
        <v>6700</v>
      </c>
      <c r="G34" s="3246">
        <v>16370</v>
      </c>
      <c r="M34" s="3233" t="s">
        <v>2989</v>
      </c>
      <c r="N34" s="3233" t="s">
        <v>302</v>
      </c>
      <c r="O34" s="3233" t="s">
        <v>2990</v>
      </c>
      <c r="P34" s="3233" t="s">
        <v>2991</v>
      </c>
      <c r="Q34" s="3233" t="s">
        <v>2992</v>
      </c>
    </row>
    <row r="35" spans="1:17" ht="14.25" customHeight="1">
      <c r="A35" s="3233" t="s">
        <v>296</v>
      </c>
      <c r="B35" s="3234" t="s">
        <v>163</v>
      </c>
      <c r="C35" s="3233">
        <v>27270</v>
      </c>
      <c r="D35" s="3233">
        <v>24270</v>
      </c>
      <c r="E35" s="3233">
        <v>24950</v>
      </c>
      <c r="F35" s="3233">
        <v>6600</v>
      </c>
      <c r="G35" s="3246">
        <v>16990</v>
      </c>
      <c r="M35" s="3233" t="s">
        <v>2993</v>
      </c>
      <c r="N35" s="3233" t="s">
        <v>2994</v>
      </c>
      <c r="O35" s="3233" t="s">
        <v>2995</v>
      </c>
      <c r="P35" s="3233" t="s">
        <v>2996</v>
      </c>
      <c r="Q35" s="3233" t="s">
        <v>2997</v>
      </c>
    </row>
    <row r="36" spans="1:17" ht="14.25" customHeight="1">
      <c r="A36" s="3233" t="s">
        <v>296</v>
      </c>
      <c r="B36" s="3234" t="s">
        <v>169</v>
      </c>
      <c r="C36" s="3233">
        <v>23490</v>
      </c>
      <c r="D36" s="3233">
        <v>23020</v>
      </c>
      <c r="E36" s="3233">
        <v>25230</v>
      </c>
      <c r="F36" s="3233">
        <v>6780</v>
      </c>
      <c r="G36" s="3246">
        <v>16120</v>
      </c>
      <c r="M36" s="3233" t="s">
        <v>2998</v>
      </c>
      <c r="N36" s="3233" t="s">
        <v>2999</v>
      </c>
      <c r="O36" s="3233" t="s">
        <v>3000</v>
      </c>
      <c r="P36" s="3233" t="s">
        <v>3001</v>
      </c>
      <c r="Q36" s="3233" t="s">
        <v>3002</v>
      </c>
    </row>
    <row r="37" spans="1:17" ht="14.25" customHeight="1">
      <c r="A37" s="3233" t="s">
        <v>296</v>
      </c>
      <c r="B37" s="3234" t="s">
        <v>176</v>
      </c>
      <c r="C37" s="3233">
        <v>24380</v>
      </c>
      <c r="D37" s="3233">
        <v>22240</v>
      </c>
      <c r="E37" s="3233">
        <v>25980</v>
      </c>
      <c r="F37" s="3233">
        <v>8160</v>
      </c>
      <c r="G37" s="3246">
        <v>15570</v>
      </c>
      <c r="M37" s="3233" t="s">
        <v>3003</v>
      </c>
      <c r="N37" s="3233" t="s">
        <v>3004</v>
      </c>
      <c r="O37" s="3233" t="s">
        <v>3005</v>
      </c>
      <c r="P37" s="3233" t="s">
        <v>3006</v>
      </c>
      <c r="Q37" s="3233" t="s">
        <v>3007</v>
      </c>
    </row>
    <row r="38" spans="1:17" ht="14.25" customHeight="1">
      <c r="A38" s="3233" t="s">
        <v>296</v>
      </c>
      <c r="B38" s="3234" t="s">
        <v>186</v>
      </c>
      <c r="C38" s="3233">
        <v>23120</v>
      </c>
      <c r="D38" s="3233">
        <v>24630</v>
      </c>
      <c r="E38" s="3233">
        <v>25030</v>
      </c>
      <c r="F38" s="3233">
        <v>7710</v>
      </c>
      <c r="G38" s="3246">
        <v>17240</v>
      </c>
      <c r="M38" s="3233" t="s">
        <v>3008</v>
      </c>
      <c r="N38" s="3233" t="s">
        <v>3009</v>
      </c>
      <c r="O38" s="3233" t="s">
        <v>3010</v>
      </c>
      <c r="P38" s="3233" t="s">
        <v>3011</v>
      </c>
      <c r="Q38" s="3233" t="s">
        <v>3012</v>
      </c>
    </row>
    <row r="39" spans="1:17" ht="14.25" customHeight="1">
      <c r="A39" s="3233" t="s">
        <v>296</v>
      </c>
      <c r="B39" s="3234" t="s">
        <v>195</v>
      </c>
      <c r="C39" s="3233">
        <v>22330</v>
      </c>
      <c r="D39" s="3233">
        <v>21140</v>
      </c>
      <c r="E39" s="3233">
        <v>23970</v>
      </c>
      <c r="F39" s="3233">
        <v>7940</v>
      </c>
      <c r="G39" s="3246">
        <v>14790</v>
      </c>
      <c r="M39" s="3233" t="s">
        <v>3013</v>
      </c>
      <c r="N39" s="3233" t="s">
        <v>3014</v>
      </c>
      <c r="O39" s="3233" t="s">
        <v>3015</v>
      </c>
      <c r="P39" s="3233" t="s">
        <v>3016</v>
      </c>
      <c r="Q39" s="3233" t="s">
        <v>3017</v>
      </c>
    </row>
    <row r="40" spans="1:17" ht="14.25" customHeight="1">
      <c r="A40" s="3233" t="s">
        <v>296</v>
      </c>
      <c r="B40" s="3234" t="s">
        <v>202</v>
      </c>
      <c r="C40" s="3233">
        <v>24740</v>
      </c>
      <c r="D40" s="3233">
        <v>24690</v>
      </c>
      <c r="E40" s="3233">
        <v>22610</v>
      </c>
      <c r="F40" s="3233"/>
      <c r="G40" s="3246">
        <v>17280</v>
      </c>
      <c r="M40" s="3233" t="s">
        <v>3018</v>
      </c>
      <c r="N40" s="3233" t="s">
        <v>3019</v>
      </c>
      <c r="O40" s="3233" t="s">
        <v>3020</v>
      </c>
      <c r="P40" s="3233" t="s">
        <v>3021</v>
      </c>
      <c r="Q40" s="3233" t="s">
        <v>3022</v>
      </c>
    </row>
    <row r="41" spans="1:17" ht="14.25" customHeight="1" thickBot="1">
      <c r="A41" s="3233" t="s">
        <v>296</v>
      </c>
      <c r="B41" s="3234" t="s">
        <v>209</v>
      </c>
      <c r="C41" s="3233">
        <v>21220</v>
      </c>
      <c r="D41" s="3233">
        <v>21120</v>
      </c>
      <c r="E41" s="3233">
        <v>22590</v>
      </c>
      <c r="F41" s="3233"/>
      <c r="G41" s="3246">
        <v>14780</v>
      </c>
      <c r="M41" s="3240" t="s">
        <v>3023</v>
      </c>
      <c r="N41" s="3233" t="s">
        <v>3024</v>
      </c>
      <c r="O41" s="3233" t="s">
        <v>3025</v>
      </c>
      <c r="P41" s="3233" t="s">
        <v>3026</v>
      </c>
      <c r="Q41" s="3233" t="s">
        <v>3027</v>
      </c>
    </row>
    <row r="42" spans="1:17" ht="14.25" customHeight="1">
      <c r="A42" s="3233" t="s">
        <v>296</v>
      </c>
      <c r="B42" s="3234" t="s">
        <v>215</v>
      </c>
      <c r="C42" s="3233">
        <v>24800</v>
      </c>
      <c r="D42" s="3233">
        <v>22280</v>
      </c>
      <c r="E42" s="3233">
        <v>24350</v>
      </c>
      <c r="F42" s="3233"/>
      <c r="G42" s="3246">
        <v>15590</v>
      </c>
      <c r="N42" s="3233" t="s">
        <v>3028</v>
      </c>
      <c r="O42" s="3233" t="s">
        <v>3029</v>
      </c>
      <c r="P42" s="3233" t="s">
        <v>3030</v>
      </c>
      <c r="Q42" s="3233" t="s">
        <v>3031</v>
      </c>
    </row>
    <row r="43" spans="1:17" ht="14.25" customHeight="1">
      <c r="A43" s="3233" t="s">
        <v>3032</v>
      </c>
      <c r="B43" s="3234" t="s">
        <v>223</v>
      </c>
      <c r="C43" s="3233">
        <v>21210</v>
      </c>
      <c r="D43" s="3233">
        <v>21160</v>
      </c>
      <c r="E43" s="3233">
        <v>22650</v>
      </c>
      <c r="F43" s="3233"/>
      <c r="G43" s="3246">
        <v>14800</v>
      </c>
      <c r="N43" s="3233" t="s">
        <v>3033</v>
      </c>
      <c r="O43" s="3233" t="s">
        <v>3034</v>
      </c>
      <c r="P43" s="3233" t="s">
        <v>3035</v>
      </c>
      <c r="Q43" s="3233" t="s">
        <v>3036</v>
      </c>
    </row>
    <row r="44" spans="1:17" ht="14.25" customHeight="1" thickBot="1">
      <c r="A44" s="3233" t="s">
        <v>296</v>
      </c>
      <c r="B44" s="3234" t="s">
        <v>231</v>
      </c>
      <c r="C44" s="3233">
        <v>22370</v>
      </c>
      <c r="D44" s="3233">
        <v>23140</v>
      </c>
      <c r="E44" s="3233">
        <v>25090</v>
      </c>
      <c r="F44" s="3233"/>
      <c r="G44" s="3246">
        <v>16190</v>
      </c>
      <c r="N44" s="3233" t="s">
        <v>3037</v>
      </c>
      <c r="O44" s="3233" t="s">
        <v>3038</v>
      </c>
      <c r="P44" s="3240" t="s">
        <v>3039</v>
      </c>
      <c r="Q44" s="3233" t="s">
        <v>3040</v>
      </c>
    </row>
    <row r="45" spans="1:17" ht="14.25" customHeight="1" thickBot="1">
      <c r="A45" s="3233" t="s">
        <v>296</v>
      </c>
      <c r="B45" s="3234" t="s">
        <v>236</v>
      </c>
      <c r="C45" s="3233">
        <v>21240</v>
      </c>
      <c r="D45" s="3233">
        <v>27050</v>
      </c>
      <c r="E45" s="3233">
        <v>28000</v>
      </c>
      <c r="F45" s="3233"/>
      <c r="G45" s="3246">
        <v>18940</v>
      </c>
      <c r="N45" s="3233" t="s">
        <v>3041</v>
      </c>
      <c r="O45" s="3240" t="s">
        <v>3042</v>
      </c>
      <c r="Q45" s="3233" t="s">
        <v>3043</v>
      </c>
    </row>
    <row r="46" spans="1:17" ht="14.25" customHeight="1">
      <c r="A46" s="3233" t="s">
        <v>296</v>
      </c>
      <c r="B46" s="3234" t="s">
        <v>245</v>
      </c>
      <c r="C46" s="3233">
        <v>23240</v>
      </c>
      <c r="D46" s="3233">
        <v>23000</v>
      </c>
      <c r="E46" s="3233">
        <v>24980</v>
      </c>
      <c r="F46" s="3233"/>
      <c r="G46" s="3246">
        <v>16100</v>
      </c>
      <c r="N46" s="3233" t="s">
        <v>3044</v>
      </c>
      <c r="Q46" s="3233" t="s">
        <v>3045</v>
      </c>
    </row>
    <row r="47" spans="1:17" ht="14.25" customHeight="1">
      <c r="A47" s="3233" t="s">
        <v>296</v>
      </c>
      <c r="B47" s="3234" t="s">
        <v>252</v>
      </c>
      <c r="C47" s="3233">
        <v>27150</v>
      </c>
      <c r="D47" s="3233">
        <v>23310</v>
      </c>
      <c r="E47" s="3233">
        <v>25150</v>
      </c>
      <c r="F47" s="3233"/>
      <c r="G47" s="3246">
        <v>16310</v>
      </c>
      <c r="N47" s="3233" t="s">
        <v>3046</v>
      </c>
      <c r="Q47" s="3233" t="s">
        <v>3047</v>
      </c>
    </row>
    <row r="48" spans="1:17" ht="14.25" customHeight="1">
      <c r="A48" s="3233" t="s">
        <v>296</v>
      </c>
      <c r="B48" s="3234" t="s">
        <v>260</v>
      </c>
      <c r="C48" s="3233">
        <v>23100</v>
      </c>
      <c r="D48" s="3233">
        <v>21110</v>
      </c>
      <c r="E48" s="3233">
        <v>23080</v>
      </c>
      <c r="F48" s="3233"/>
      <c r="G48" s="3246">
        <v>14780</v>
      </c>
      <c r="N48" s="3233" t="s">
        <v>3048</v>
      </c>
      <c r="Q48" s="3233" t="s">
        <v>3049</v>
      </c>
    </row>
    <row r="49" spans="1:17" ht="14.25" customHeight="1">
      <c r="A49" s="3233" t="s">
        <v>296</v>
      </c>
      <c r="B49" s="3234" t="s">
        <v>267</v>
      </c>
      <c r="C49" s="3233">
        <v>23400</v>
      </c>
      <c r="D49" s="3233">
        <v>22920</v>
      </c>
      <c r="E49" s="3233">
        <v>24900</v>
      </c>
      <c r="F49" s="3233"/>
      <c r="G49" s="3246">
        <v>16040</v>
      </c>
      <c r="N49" s="3233" t="s">
        <v>3050</v>
      </c>
      <c r="Q49" s="3233" t="s">
        <v>3051</v>
      </c>
    </row>
    <row r="50" spans="1:17" ht="14.25" customHeight="1">
      <c r="A50" s="3233" t="s">
        <v>296</v>
      </c>
      <c r="B50" s="3234" t="s">
        <v>2928</v>
      </c>
      <c r="C50" s="3233">
        <v>21200</v>
      </c>
      <c r="D50" s="3233">
        <v>26540</v>
      </c>
      <c r="E50" s="3233">
        <v>23200</v>
      </c>
      <c r="F50" s="3233"/>
      <c r="G50" s="3246">
        <v>18580</v>
      </c>
      <c r="N50" s="3233" t="s">
        <v>3052</v>
      </c>
      <c r="Q50" s="3234" t="s">
        <v>3053</v>
      </c>
    </row>
    <row r="51" spans="1:17" ht="14.25" customHeight="1" thickBot="1">
      <c r="A51" s="3233" t="s">
        <v>296</v>
      </c>
      <c r="B51" s="3234" t="s">
        <v>2930</v>
      </c>
      <c r="C51" s="3233">
        <v>23000</v>
      </c>
      <c r="D51" s="3233">
        <v>23460</v>
      </c>
      <c r="E51" s="3233">
        <v>25290</v>
      </c>
      <c r="F51" s="3233"/>
      <c r="G51" s="3246">
        <v>16420</v>
      </c>
      <c r="N51" s="3233" t="s">
        <v>3054</v>
      </c>
      <c r="Q51" s="3240" t="s">
        <v>3055</v>
      </c>
    </row>
    <row r="52" spans="1:17" ht="14.25" customHeight="1">
      <c r="A52" s="3233" t="s">
        <v>296</v>
      </c>
      <c r="B52" s="3234" t="s">
        <v>2934</v>
      </c>
      <c r="C52" s="3233">
        <v>26660</v>
      </c>
      <c r="D52" s="3233">
        <v>22350</v>
      </c>
      <c r="E52" s="3233">
        <v>22920</v>
      </c>
      <c r="F52" s="3233"/>
      <c r="G52" s="3246">
        <v>15640</v>
      </c>
      <c r="N52" s="3233" t="s">
        <v>3056</v>
      </c>
    </row>
    <row r="53" spans="1:17" ht="14.25" customHeight="1">
      <c r="A53" s="3233" t="s">
        <v>296</v>
      </c>
      <c r="B53" s="3234" t="s">
        <v>2939</v>
      </c>
      <c r="C53" s="3233">
        <v>23580</v>
      </c>
      <c r="D53" s="3233"/>
      <c r="E53" s="3233">
        <v>24280</v>
      </c>
      <c r="F53" s="3233"/>
      <c r="G53" s="3246"/>
      <c r="N53" s="3233" t="s">
        <v>3057</v>
      </c>
    </row>
    <row r="54" spans="1:17" ht="14.25" customHeight="1" thickBot="1">
      <c r="A54" s="3247" t="s">
        <v>296</v>
      </c>
      <c r="B54" s="3239" t="s">
        <v>2942</v>
      </c>
      <c r="C54" s="3240">
        <v>22460</v>
      </c>
      <c r="D54" s="3240"/>
      <c r="E54" s="3240"/>
      <c r="F54" s="3240"/>
      <c r="G54" s="3248"/>
      <c r="N54" s="3233" t="s">
        <v>3058</v>
      </c>
    </row>
    <row r="55" spans="1:17" ht="14.25" customHeight="1">
      <c r="A55" s="3238" t="s">
        <v>110</v>
      </c>
      <c r="B55" s="3229" t="s">
        <v>3059</v>
      </c>
      <c r="C55" s="3233">
        <v>21970</v>
      </c>
      <c r="D55" s="3233">
        <v>20370</v>
      </c>
      <c r="E55" s="3233">
        <v>20180</v>
      </c>
      <c r="F55" s="3233">
        <v>5730</v>
      </c>
      <c r="G55" s="3233">
        <v>13820</v>
      </c>
      <c r="N55" s="3233" t="s">
        <v>3060</v>
      </c>
    </row>
    <row r="56" spans="1:17" ht="14.25" customHeight="1">
      <c r="A56" s="3233" t="s">
        <v>110</v>
      </c>
      <c r="B56" s="3233" t="s">
        <v>130</v>
      </c>
      <c r="C56" s="3233">
        <v>20470</v>
      </c>
      <c r="D56" s="3233">
        <v>20700</v>
      </c>
      <c r="E56" s="3233">
        <v>20380</v>
      </c>
      <c r="F56" s="3233">
        <v>4760</v>
      </c>
      <c r="G56" s="3233">
        <v>14050</v>
      </c>
      <c r="N56" s="3233" t="s">
        <v>3061</v>
      </c>
    </row>
    <row r="57" spans="1:17" ht="14.25" customHeight="1">
      <c r="A57" s="3233" t="s">
        <v>110</v>
      </c>
      <c r="B57" s="3233" t="s">
        <v>139</v>
      </c>
      <c r="C57" s="3233">
        <v>20790</v>
      </c>
      <c r="D57" s="3233">
        <v>21370</v>
      </c>
      <c r="E57" s="3233">
        <v>20890</v>
      </c>
      <c r="F57" s="3233">
        <v>4910</v>
      </c>
      <c r="G57" s="3233">
        <v>14510</v>
      </c>
      <c r="N57" s="3233" t="s">
        <v>3062</v>
      </c>
    </row>
    <row r="58" spans="1:17" ht="14.25" customHeight="1">
      <c r="A58" s="3233" t="s">
        <v>110</v>
      </c>
      <c r="B58" s="3233" t="s">
        <v>148</v>
      </c>
      <c r="C58" s="3233">
        <v>21460</v>
      </c>
      <c r="D58" s="3233">
        <v>20920</v>
      </c>
      <c r="E58" s="3233">
        <v>23410</v>
      </c>
      <c r="F58" s="3233">
        <v>5100</v>
      </c>
      <c r="G58" s="3233">
        <v>14200</v>
      </c>
      <c r="N58" s="3233" t="s">
        <v>3063</v>
      </c>
    </row>
    <row r="59" spans="1:17" ht="14.25" customHeight="1">
      <c r="A59" s="3233" t="s">
        <v>110</v>
      </c>
      <c r="B59" s="3233" t="s">
        <v>157</v>
      </c>
      <c r="C59" s="3233">
        <v>21000</v>
      </c>
      <c r="D59" s="3233">
        <v>21550</v>
      </c>
      <c r="E59" s="3233">
        <v>21150</v>
      </c>
      <c r="F59" s="3233">
        <v>5250</v>
      </c>
      <c r="G59" s="3233">
        <v>14630</v>
      </c>
      <c r="N59" s="3233" t="s">
        <v>3064</v>
      </c>
    </row>
    <row r="60" spans="1:17" ht="14.25" customHeight="1">
      <c r="A60" s="3233" t="s">
        <v>110</v>
      </c>
      <c r="B60" s="3233" t="s">
        <v>164</v>
      </c>
      <c r="C60" s="3233">
        <v>21640</v>
      </c>
      <c r="D60" s="3233">
        <v>21260</v>
      </c>
      <c r="E60" s="3233">
        <v>24040</v>
      </c>
      <c r="F60" s="3233">
        <v>4470</v>
      </c>
      <c r="G60" s="3233">
        <v>14430</v>
      </c>
      <c r="N60" s="3233" t="s">
        <v>3065</v>
      </c>
    </row>
    <row r="61" spans="1:17" ht="14.25" customHeight="1">
      <c r="A61" s="3233" t="s">
        <v>110</v>
      </c>
      <c r="B61" s="3233" t="s">
        <v>170</v>
      </c>
      <c r="C61" s="3233">
        <v>21330</v>
      </c>
      <c r="D61" s="3233">
        <v>18640</v>
      </c>
      <c r="E61" s="3233">
        <v>21190</v>
      </c>
      <c r="F61" s="3233">
        <v>4180</v>
      </c>
      <c r="G61" s="3233">
        <v>12650</v>
      </c>
      <c r="N61" s="3233" t="s">
        <v>3066</v>
      </c>
    </row>
    <row r="62" spans="1:17" ht="14.25" customHeight="1">
      <c r="A62" s="3233" t="s">
        <v>110</v>
      </c>
      <c r="B62" s="3233" t="s">
        <v>177</v>
      </c>
      <c r="C62" s="3233">
        <v>18710</v>
      </c>
      <c r="D62" s="3233">
        <v>19400</v>
      </c>
      <c r="E62" s="3233">
        <v>23750</v>
      </c>
      <c r="F62" s="3233">
        <v>4860</v>
      </c>
      <c r="G62" s="3233">
        <v>13170</v>
      </c>
      <c r="N62" s="3233" t="s">
        <v>3067</v>
      </c>
    </row>
    <row r="63" spans="1:17" ht="14.25" customHeight="1">
      <c r="A63" s="3233" t="s">
        <v>110</v>
      </c>
      <c r="B63" s="3233" t="s">
        <v>187</v>
      </c>
      <c r="C63" s="3233">
        <v>19480</v>
      </c>
      <c r="D63" s="3233">
        <v>16830</v>
      </c>
      <c r="E63" s="3233">
        <v>21590</v>
      </c>
      <c r="F63" s="3233">
        <v>4560</v>
      </c>
      <c r="G63" s="3233">
        <v>11420</v>
      </c>
      <c r="N63" s="3233" t="s">
        <v>3068</v>
      </c>
    </row>
    <row r="64" spans="1:17" ht="14.25" customHeight="1" thickBot="1">
      <c r="A64" s="3233" t="s">
        <v>110</v>
      </c>
      <c r="B64" s="3233" t="s">
        <v>196</v>
      </c>
      <c r="C64" s="3233">
        <v>16920</v>
      </c>
      <c r="D64" s="3233">
        <v>19190</v>
      </c>
      <c r="E64" s="3233">
        <v>22200</v>
      </c>
      <c r="F64" s="3233">
        <v>4390</v>
      </c>
      <c r="G64" s="3233">
        <v>13030</v>
      </c>
      <c r="N64" s="3240" t="s">
        <v>3069</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2940</v>
      </c>
      <c r="C78" s="3233">
        <v>19820</v>
      </c>
      <c r="D78" s="3233">
        <v>19780</v>
      </c>
      <c r="E78" s="3233">
        <v>18560</v>
      </c>
      <c r="F78" s="3233"/>
      <c r="G78" s="3233">
        <v>13430</v>
      </c>
    </row>
    <row r="79" spans="1:7" s="3222" customFormat="1" ht="14.25" customHeight="1">
      <c r="A79" s="3233" t="s">
        <v>110</v>
      </c>
      <c r="B79" s="3233" t="s">
        <v>2943</v>
      </c>
      <c r="C79" s="3233">
        <v>21660</v>
      </c>
      <c r="D79" s="3233">
        <v>18000</v>
      </c>
      <c r="E79" s="3233">
        <v>22570</v>
      </c>
      <c r="F79" s="3233"/>
      <c r="G79" s="3233">
        <v>12220</v>
      </c>
    </row>
    <row r="80" spans="1:7" s="3222" customFormat="1" ht="14.25" customHeight="1">
      <c r="A80" s="3233" t="s">
        <v>110</v>
      </c>
      <c r="B80" s="3233" t="s">
        <v>2947</v>
      </c>
      <c r="C80" s="3233">
        <v>19850</v>
      </c>
      <c r="D80" s="3233"/>
      <c r="E80" s="3233">
        <v>21700</v>
      </c>
      <c r="F80" s="3233"/>
      <c r="G80" s="3233"/>
    </row>
    <row r="81" spans="1:7" s="3222" customFormat="1" ht="14.25" customHeight="1">
      <c r="A81" s="3233" t="s">
        <v>110</v>
      </c>
      <c r="B81" s="3233" t="s">
        <v>2952</v>
      </c>
      <c r="C81" s="3233">
        <v>18080</v>
      </c>
      <c r="D81" s="3233"/>
      <c r="E81" s="3233">
        <v>20900</v>
      </c>
      <c r="F81" s="3233"/>
      <c r="G81" s="3233"/>
    </row>
    <row r="82" spans="1:7" s="3222" customFormat="1" ht="14.25" customHeight="1">
      <c r="A82" s="3233" t="s">
        <v>110</v>
      </c>
      <c r="B82" s="3233" t="s">
        <v>2959</v>
      </c>
      <c r="C82" s="3233"/>
      <c r="D82" s="3233"/>
      <c r="E82" s="3233">
        <v>20840</v>
      </c>
      <c r="F82" s="3233"/>
      <c r="G82" s="3233"/>
    </row>
    <row r="83" spans="1:7" s="3222" customFormat="1" ht="14.25" customHeight="1">
      <c r="A83" s="3233" t="s">
        <v>110</v>
      </c>
      <c r="B83" s="3233" t="s">
        <v>3070</v>
      </c>
      <c r="C83" s="3233"/>
      <c r="D83" s="3233"/>
      <c r="E83" s="3233"/>
      <c r="F83" s="3233">
        <v>4770</v>
      </c>
      <c r="G83" s="3233"/>
    </row>
    <row r="84" spans="1:7" s="3222" customFormat="1" ht="14.25" customHeight="1">
      <c r="A84" s="3233" t="s">
        <v>110</v>
      </c>
      <c r="B84" s="3233" t="s">
        <v>3071</v>
      </c>
      <c r="C84" s="3233"/>
      <c r="D84" s="3233"/>
      <c r="E84" s="3233"/>
      <c r="F84" s="3233">
        <v>4600</v>
      </c>
      <c r="G84" s="3233"/>
    </row>
    <row r="85" spans="1:7" s="3222" customFormat="1" ht="14.25" customHeight="1">
      <c r="A85" s="3233" t="s">
        <v>110</v>
      </c>
      <c r="B85" s="3233" t="s">
        <v>3072</v>
      </c>
      <c r="C85" s="3233"/>
      <c r="D85" s="3233"/>
      <c r="E85" s="3233"/>
      <c r="F85" s="3233">
        <v>4680</v>
      </c>
      <c r="G85" s="3233"/>
    </row>
    <row r="86" spans="1:7" s="3222" customFormat="1" ht="14.25" customHeight="1" thickBot="1">
      <c r="A86" s="3241" t="s">
        <v>110</v>
      </c>
      <c r="B86" s="3243" t="s">
        <v>3073</v>
      </c>
      <c r="C86" s="3244">
        <v>16610</v>
      </c>
      <c r="D86" s="3244">
        <v>16540</v>
      </c>
      <c r="E86" s="3244">
        <v>18850</v>
      </c>
      <c r="F86" s="3244"/>
      <c r="G86" s="3244">
        <v>11220</v>
      </c>
    </row>
    <row r="87" spans="1:7" s="3222" customFormat="1" ht="14.25" customHeight="1">
      <c r="A87" s="3238" t="s">
        <v>303</v>
      </c>
      <c r="B87" s="3229" t="s">
        <v>3074</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2953</v>
      </c>
      <c r="C113" s="3233">
        <v>15520</v>
      </c>
      <c r="D113" s="3233">
        <v>15450</v>
      </c>
      <c r="E113" s="3233"/>
      <c r="F113" s="3233"/>
      <c r="G113" s="3246">
        <v>10210</v>
      </c>
    </row>
    <row r="114" spans="1:7" s="3222" customFormat="1" ht="14.25" customHeight="1">
      <c r="A114" s="3233" t="s">
        <v>303</v>
      </c>
      <c r="B114" s="3233" t="s">
        <v>2960</v>
      </c>
      <c r="C114" s="3233">
        <v>13110</v>
      </c>
      <c r="D114" s="3233">
        <v>13050</v>
      </c>
      <c r="E114" s="3233"/>
      <c r="F114" s="3233"/>
      <c r="G114" s="3246">
        <v>8620</v>
      </c>
    </row>
    <row r="115" spans="1:7" s="3222" customFormat="1" ht="14.25" customHeight="1">
      <c r="A115" s="3233" t="s">
        <v>303</v>
      </c>
      <c r="B115" s="3233" t="s">
        <v>2966</v>
      </c>
      <c r="C115" s="3233">
        <v>12460</v>
      </c>
      <c r="D115" s="3233">
        <v>12390</v>
      </c>
      <c r="E115" s="3233"/>
      <c r="F115" s="3233"/>
      <c r="G115" s="3246">
        <v>8190</v>
      </c>
    </row>
    <row r="116" spans="1:7" s="3222" customFormat="1" ht="14.25" customHeight="1">
      <c r="A116" s="3233" t="s">
        <v>303</v>
      </c>
      <c r="B116" s="3233" t="s">
        <v>2973</v>
      </c>
      <c r="C116" s="3233">
        <v>13580</v>
      </c>
      <c r="D116" s="3233">
        <v>13520</v>
      </c>
      <c r="E116" s="3233"/>
      <c r="F116" s="3233"/>
      <c r="G116" s="3246">
        <v>8930</v>
      </c>
    </row>
    <row r="117" spans="1:7" s="3222" customFormat="1" ht="14.25" customHeight="1">
      <c r="A117" s="3233" t="s">
        <v>303</v>
      </c>
      <c r="B117" s="3233" t="s">
        <v>2980</v>
      </c>
      <c r="C117" s="3233">
        <v>17120</v>
      </c>
      <c r="D117" s="3233">
        <v>17040</v>
      </c>
      <c r="E117" s="3233"/>
      <c r="F117" s="3233"/>
      <c r="G117" s="3246">
        <v>11260</v>
      </c>
    </row>
    <row r="118" spans="1:7" s="3222" customFormat="1" ht="14.25" customHeight="1">
      <c r="A118" s="3233" t="s">
        <v>303</v>
      </c>
      <c r="B118" s="3233" t="s">
        <v>2985</v>
      </c>
      <c r="C118" s="3233">
        <v>14860</v>
      </c>
      <c r="D118" s="3233">
        <v>14790</v>
      </c>
      <c r="E118" s="3233"/>
      <c r="F118" s="3233"/>
      <c r="G118" s="3246">
        <v>9780</v>
      </c>
    </row>
    <row r="119" spans="1:7" s="3222" customFormat="1" ht="14.25" customHeight="1">
      <c r="A119" s="3233" t="s">
        <v>303</v>
      </c>
      <c r="B119" s="3233" t="s">
        <v>2989</v>
      </c>
      <c r="C119" s="3233">
        <v>16470</v>
      </c>
      <c r="D119" s="3233">
        <v>16400</v>
      </c>
      <c r="E119" s="3233"/>
      <c r="F119" s="3233"/>
      <c r="G119" s="3246">
        <v>10840</v>
      </c>
    </row>
    <row r="120" spans="1:7" s="3222" customFormat="1" ht="14.25" customHeight="1">
      <c r="A120" s="3233" t="s">
        <v>303</v>
      </c>
      <c r="B120" s="3233" t="s">
        <v>3075</v>
      </c>
      <c r="C120" s="3233"/>
      <c r="D120" s="3233"/>
      <c r="E120" s="3233"/>
      <c r="F120" s="3233">
        <v>4160</v>
      </c>
      <c r="G120" s="3246"/>
    </row>
    <row r="121" spans="1:7" s="3222" customFormat="1" ht="14.25" customHeight="1">
      <c r="A121" s="3233" t="s">
        <v>303</v>
      </c>
      <c r="B121" s="3233" t="s">
        <v>3076</v>
      </c>
      <c r="C121" s="3233"/>
      <c r="D121" s="3233"/>
      <c r="E121" s="3233"/>
      <c r="F121" s="3233">
        <v>3880</v>
      </c>
      <c r="G121" s="3246"/>
    </row>
    <row r="122" spans="1:7" s="3222" customFormat="1" ht="14.25" customHeight="1">
      <c r="A122" s="3233" t="s">
        <v>303</v>
      </c>
      <c r="B122" s="3233" t="s">
        <v>3077</v>
      </c>
      <c r="C122" s="3233">
        <v>13750</v>
      </c>
      <c r="D122" s="3233">
        <v>13680</v>
      </c>
      <c r="E122" s="3233">
        <v>16460</v>
      </c>
      <c r="F122" s="3233">
        <v>2880</v>
      </c>
      <c r="G122" s="3246">
        <v>9040</v>
      </c>
    </row>
    <row r="123" spans="1:7" s="3222" customFormat="1" ht="14.25" customHeight="1">
      <c r="A123" s="3233" t="s">
        <v>303</v>
      </c>
      <c r="B123" s="3233" t="s">
        <v>3008</v>
      </c>
      <c r="C123" s="3233">
        <v>13590</v>
      </c>
      <c r="D123" s="3233">
        <v>13520</v>
      </c>
      <c r="E123" s="3233">
        <v>16290</v>
      </c>
      <c r="F123" s="3233">
        <v>2790</v>
      </c>
      <c r="G123" s="3246">
        <v>8930</v>
      </c>
    </row>
    <row r="124" spans="1:7" s="3222" customFormat="1" ht="14.25" customHeight="1">
      <c r="A124" s="3233" t="s">
        <v>303</v>
      </c>
      <c r="B124" s="3233" t="s">
        <v>3013</v>
      </c>
      <c r="C124" s="3233">
        <v>13400</v>
      </c>
      <c r="D124" s="3233">
        <v>13320</v>
      </c>
      <c r="E124" s="3233">
        <v>16100</v>
      </c>
      <c r="F124" s="3233">
        <v>2320</v>
      </c>
      <c r="G124" s="3246">
        <v>8800</v>
      </c>
    </row>
    <row r="125" spans="1:7" s="3222" customFormat="1" ht="14.25" customHeight="1">
      <c r="A125" s="3233" t="s">
        <v>303</v>
      </c>
      <c r="B125" s="3233" t="s">
        <v>3018</v>
      </c>
      <c r="C125" s="3233">
        <v>12860</v>
      </c>
      <c r="D125" s="3233">
        <v>12790</v>
      </c>
      <c r="E125" s="3233">
        <v>15370</v>
      </c>
      <c r="F125" s="3233">
        <v>2280</v>
      </c>
      <c r="G125" s="3246">
        <v>8450</v>
      </c>
    </row>
    <row r="126" spans="1:7" s="3222" customFormat="1" ht="14.25" customHeight="1" thickBot="1">
      <c r="A126" s="3247" t="s">
        <v>303</v>
      </c>
      <c r="B126" s="3240" t="s">
        <v>3023</v>
      </c>
      <c r="C126" s="3240">
        <v>12960</v>
      </c>
      <c r="D126" s="3240">
        <v>12890</v>
      </c>
      <c r="E126" s="3240">
        <v>15530</v>
      </c>
      <c r="F126" s="3240">
        <v>2910</v>
      </c>
      <c r="G126" s="3248">
        <v>8520</v>
      </c>
    </row>
    <row r="127" spans="1:7" s="3222" customFormat="1" ht="14.25" customHeight="1">
      <c r="A127" s="3238" t="s">
        <v>29</v>
      </c>
      <c r="B127" s="3229" t="s">
        <v>3078</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3079</v>
      </c>
      <c r="C148" s="3233">
        <v>10370</v>
      </c>
      <c r="D148" s="3233">
        <v>10310</v>
      </c>
      <c r="E148" s="3233">
        <v>12970</v>
      </c>
      <c r="F148" s="3233"/>
      <c r="G148" s="3233">
        <v>6630</v>
      </c>
    </row>
    <row r="149" spans="1:7" s="3222" customFormat="1" ht="14.25" customHeight="1">
      <c r="A149" s="3233" t="s">
        <v>29</v>
      </c>
      <c r="B149" s="3233" t="s">
        <v>3080</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2954</v>
      </c>
      <c r="C153" s="3233">
        <v>10880</v>
      </c>
      <c r="D153" s="3233">
        <v>10820</v>
      </c>
      <c r="E153" s="3233">
        <v>13660</v>
      </c>
      <c r="F153" s="3233">
        <v>2260</v>
      </c>
      <c r="G153" s="3233">
        <v>6970</v>
      </c>
    </row>
    <row r="154" spans="1:7" s="3222" customFormat="1" ht="14.25" customHeight="1">
      <c r="A154" s="3233" t="s">
        <v>29</v>
      </c>
      <c r="B154" s="3233" t="s">
        <v>3081</v>
      </c>
      <c r="C154" s="3233">
        <v>11220</v>
      </c>
      <c r="D154" s="3233">
        <v>11160</v>
      </c>
      <c r="E154" s="3233">
        <v>14130</v>
      </c>
      <c r="F154" s="3233">
        <v>2230</v>
      </c>
      <c r="G154" s="3233">
        <v>7180</v>
      </c>
    </row>
    <row r="155" spans="1:7" s="3222" customFormat="1" ht="14.25" customHeight="1">
      <c r="A155" s="3233" t="s">
        <v>29</v>
      </c>
      <c r="B155" s="3233" t="s">
        <v>2967</v>
      </c>
      <c r="C155" s="3233">
        <v>10430</v>
      </c>
      <c r="D155" s="3233">
        <v>10380</v>
      </c>
      <c r="E155" s="3233">
        <v>13140</v>
      </c>
      <c r="F155" s="3233">
        <v>2080</v>
      </c>
      <c r="G155" s="3233">
        <v>6650</v>
      </c>
    </row>
    <row r="156" spans="1:7" s="3222" customFormat="1" ht="14.25" customHeight="1">
      <c r="A156" s="3233" t="s">
        <v>29</v>
      </c>
      <c r="B156" s="3233" t="s">
        <v>3082</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3083</v>
      </c>
      <c r="C160" s="3233">
        <v>11180</v>
      </c>
      <c r="D160" s="3233">
        <v>11140</v>
      </c>
      <c r="E160" s="3233">
        <v>14050</v>
      </c>
      <c r="F160" s="3233">
        <v>2270</v>
      </c>
      <c r="G160" s="3233">
        <v>7170</v>
      </c>
    </row>
    <row r="161" spans="1:7" s="3222" customFormat="1" ht="14.25" customHeight="1">
      <c r="A161" s="3233" t="s">
        <v>29</v>
      </c>
      <c r="B161" s="3233" t="s">
        <v>2999</v>
      </c>
      <c r="C161" s="3233">
        <v>11160</v>
      </c>
      <c r="D161" s="3233">
        <v>11120</v>
      </c>
      <c r="E161" s="3233">
        <v>14020</v>
      </c>
      <c r="F161" s="3233">
        <v>2150</v>
      </c>
      <c r="G161" s="3233">
        <v>7160</v>
      </c>
    </row>
    <row r="162" spans="1:7" s="3222" customFormat="1" ht="14.25" customHeight="1">
      <c r="A162" s="3233" t="s">
        <v>29</v>
      </c>
      <c r="B162" s="3233" t="s">
        <v>3004</v>
      </c>
      <c r="C162" s="3233">
        <v>9620</v>
      </c>
      <c r="D162" s="3233">
        <v>9570</v>
      </c>
      <c r="E162" s="3233">
        <v>12320</v>
      </c>
      <c r="F162" s="3233">
        <v>2010</v>
      </c>
      <c r="G162" s="3233">
        <v>6160</v>
      </c>
    </row>
    <row r="163" spans="1:7" s="3222" customFormat="1" ht="14.25" customHeight="1">
      <c r="A163" s="3233" t="s">
        <v>29</v>
      </c>
      <c r="B163" s="3233" t="s">
        <v>3009</v>
      </c>
      <c r="C163" s="3233">
        <v>9320</v>
      </c>
      <c r="D163" s="3233">
        <v>9270</v>
      </c>
      <c r="E163" s="3233">
        <v>11790</v>
      </c>
      <c r="F163" s="3233">
        <v>1920</v>
      </c>
      <c r="G163" s="3233">
        <v>5960</v>
      </c>
    </row>
    <row r="164" spans="1:7" s="3222" customFormat="1" ht="14.25" customHeight="1">
      <c r="A164" s="3233" t="s">
        <v>29</v>
      </c>
      <c r="B164" s="3233" t="s">
        <v>3014</v>
      </c>
      <c r="C164" s="3233"/>
      <c r="D164" s="3233"/>
      <c r="E164" s="3233"/>
      <c r="F164" s="3233">
        <v>1980</v>
      </c>
      <c r="G164" s="3233"/>
    </row>
    <row r="165" spans="1:7" s="3222" customFormat="1" ht="14.25" customHeight="1">
      <c r="A165" s="3233" t="s">
        <v>29</v>
      </c>
      <c r="B165" s="3233" t="s">
        <v>3084</v>
      </c>
      <c r="C165" s="3233">
        <v>11060</v>
      </c>
      <c r="D165" s="3233">
        <v>11030</v>
      </c>
      <c r="E165" s="3233">
        <v>13850</v>
      </c>
      <c r="F165" s="3233">
        <v>2170</v>
      </c>
      <c r="G165" s="3233">
        <v>7090</v>
      </c>
    </row>
    <row r="166" spans="1:7" s="3222" customFormat="1" ht="14.25" customHeight="1">
      <c r="A166" s="3233" t="s">
        <v>29</v>
      </c>
      <c r="B166" s="3233" t="s">
        <v>3024</v>
      </c>
      <c r="C166" s="3233">
        <v>11050</v>
      </c>
      <c r="D166" s="3233">
        <v>11010</v>
      </c>
      <c r="E166" s="3233">
        <v>13920</v>
      </c>
      <c r="F166" s="3233">
        <v>2140</v>
      </c>
      <c r="G166" s="3233">
        <v>7080</v>
      </c>
    </row>
    <row r="167" spans="1:7" s="3222" customFormat="1" ht="14.25" customHeight="1">
      <c r="A167" s="3233" t="s">
        <v>29</v>
      </c>
      <c r="B167" s="3233" t="s">
        <v>3028</v>
      </c>
      <c r="C167" s="3233">
        <v>10930</v>
      </c>
      <c r="D167" s="3233">
        <v>10890</v>
      </c>
      <c r="E167" s="3233">
        <v>13790</v>
      </c>
      <c r="F167" s="3233">
        <v>2010</v>
      </c>
      <c r="G167" s="3233">
        <v>7000</v>
      </c>
    </row>
    <row r="168" spans="1:7" s="3222" customFormat="1" ht="14.25" customHeight="1">
      <c r="A168" s="3233" t="s">
        <v>29</v>
      </c>
      <c r="B168" s="3233" t="s">
        <v>3033</v>
      </c>
      <c r="C168" s="3233">
        <v>9420</v>
      </c>
      <c r="D168" s="3233">
        <v>9380</v>
      </c>
      <c r="E168" s="3233">
        <v>11970</v>
      </c>
      <c r="F168" s="3233"/>
      <c r="G168" s="3233">
        <v>6040</v>
      </c>
    </row>
    <row r="169" spans="1:7" s="3222" customFormat="1" ht="14.25" customHeight="1">
      <c r="A169" s="3233" t="s">
        <v>29</v>
      </c>
      <c r="B169" s="3233" t="s">
        <v>3085</v>
      </c>
      <c r="C169" s="3233"/>
      <c r="D169" s="3233"/>
      <c r="E169" s="3233"/>
      <c r="F169" s="3233">
        <v>2880</v>
      </c>
      <c r="G169" s="3233"/>
    </row>
    <row r="170" spans="1:7" s="3222" customFormat="1" ht="14.25" customHeight="1">
      <c r="A170" s="3233" t="s">
        <v>29</v>
      </c>
      <c r="B170" s="3233" t="s">
        <v>3041</v>
      </c>
      <c r="C170" s="3233"/>
      <c r="D170" s="3233"/>
      <c r="E170" s="3233"/>
      <c r="F170" s="3233">
        <v>2880</v>
      </c>
      <c r="G170" s="3233"/>
    </row>
    <row r="171" spans="1:7" s="3222" customFormat="1" ht="14.25" customHeight="1">
      <c r="A171" s="3233" t="s">
        <v>29</v>
      </c>
      <c r="B171" s="3233" t="s">
        <v>3044</v>
      </c>
      <c r="C171" s="3233"/>
      <c r="D171" s="3233"/>
      <c r="E171" s="3233"/>
      <c r="F171" s="3233">
        <v>2880</v>
      </c>
      <c r="G171" s="3233"/>
    </row>
    <row r="172" spans="1:7" s="3222" customFormat="1" ht="14.25" customHeight="1">
      <c r="A172" s="3233" t="s">
        <v>29</v>
      </c>
      <c r="B172" s="3233" t="s">
        <v>3046</v>
      </c>
      <c r="C172" s="3233"/>
      <c r="D172" s="3233"/>
      <c r="E172" s="3233"/>
      <c r="F172" s="3233">
        <v>2880</v>
      </c>
      <c r="G172" s="3233"/>
    </row>
    <row r="173" spans="1:7" s="3222" customFormat="1" ht="14.25" customHeight="1">
      <c r="A173" s="3233" t="s">
        <v>29</v>
      </c>
      <c r="B173" s="3233" t="s">
        <v>3048</v>
      </c>
      <c r="C173" s="3233"/>
      <c r="D173" s="3233"/>
      <c r="E173" s="3233"/>
      <c r="F173" s="3233">
        <v>2150</v>
      </c>
      <c r="G173" s="3233"/>
    </row>
    <row r="174" spans="1:7" s="3222" customFormat="1" ht="14.25" customHeight="1">
      <c r="A174" s="3233" t="s">
        <v>29</v>
      </c>
      <c r="B174" s="3233" t="s">
        <v>3050</v>
      </c>
      <c r="C174" s="3233"/>
      <c r="D174" s="3233"/>
      <c r="E174" s="3233"/>
      <c r="F174" s="3233">
        <v>2030</v>
      </c>
      <c r="G174" s="3233"/>
    </row>
    <row r="175" spans="1:7" s="3222" customFormat="1" ht="14.25" customHeight="1">
      <c r="A175" s="3233" t="s">
        <v>29</v>
      </c>
      <c r="B175" s="3233" t="s">
        <v>3052</v>
      </c>
      <c r="C175" s="3233"/>
      <c r="D175" s="3233"/>
      <c r="E175" s="3233"/>
      <c r="F175" s="3233">
        <v>2780</v>
      </c>
      <c r="G175" s="3233"/>
    </row>
    <row r="176" spans="1:7" s="3222" customFormat="1" ht="14.25" customHeight="1">
      <c r="A176" s="3233" t="s">
        <v>29</v>
      </c>
      <c r="B176" s="3233" t="s">
        <v>3054</v>
      </c>
      <c r="C176" s="3233"/>
      <c r="D176" s="3233"/>
      <c r="E176" s="3233"/>
      <c r="F176" s="3233">
        <v>2780</v>
      </c>
      <c r="G176" s="3233"/>
    </row>
    <row r="177" spans="1:7" s="3222" customFormat="1" ht="14.25" customHeight="1">
      <c r="A177" s="3233" t="s">
        <v>29</v>
      </c>
      <c r="B177" s="3233" t="s">
        <v>3086</v>
      </c>
      <c r="C177" s="3233"/>
      <c r="D177" s="3233"/>
      <c r="E177" s="3233"/>
      <c r="F177" s="3233">
        <v>2780</v>
      </c>
      <c r="G177" s="3233"/>
    </row>
    <row r="178" spans="1:7" s="3222" customFormat="1" ht="14.25" customHeight="1">
      <c r="A178" s="3233" t="s">
        <v>29</v>
      </c>
      <c r="B178" s="3233" t="s">
        <v>3087</v>
      </c>
      <c r="C178" s="3233"/>
      <c r="D178" s="3233"/>
      <c r="E178" s="3233"/>
      <c r="F178" s="3233">
        <v>2060</v>
      </c>
      <c r="G178" s="3233"/>
    </row>
    <row r="179" spans="1:7" s="3222" customFormat="1" ht="14.25" customHeight="1">
      <c r="A179" s="3233" t="s">
        <v>29</v>
      </c>
      <c r="B179" s="3233" t="s">
        <v>3088</v>
      </c>
      <c r="C179" s="3233"/>
      <c r="D179" s="3233"/>
      <c r="E179" s="3233"/>
      <c r="F179" s="3233">
        <v>2120</v>
      </c>
      <c r="G179" s="3233"/>
    </row>
    <row r="180" spans="1:7" s="3222" customFormat="1" ht="14.25" customHeight="1">
      <c r="A180" s="3233" t="s">
        <v>29</v>
      </c>
      <c r="B180" s="3233" t="s">
        <v>3060</v>
      </c>
      <c r="C180" s="3233"/>
      <c r="D180" s="3233"/>
      <c r="E180" s="3233"/>
      <c r="F180" s="3233">
        <v>2340</v>
      </c>
      <c r="G180" s="3233"/>
    </row>
    <row r="181" spans="1:7" s="3222" customFormat="1" ht="14.25" customHeight="1">
      <c r="A181" s="3233" t="s">
        <v>29</v>
      </c>
      <c r="B181" s="3233" t="s">
        <v>3061</v>
      </c>
      <c r="C181" s="3233"/>
      <c r="D181" s="3233"/>
      <c r="E181" s="3233"/>
      <c r="F181" s="3233">
        <v>2340</v>
      </c>
      <c r="G181" s="3233"/>
    </row>
    <row r="182" spans="1:7" s="3222" customFormat="1" ht="14.25" customHeight="1">
      <c r="A182" s="3233" t="s">
        <v>29</v>
      </c>
      <c r="B182" s="3233" t="s">
        <v>3062</v>
      </c>
      <c r="C182" s="3233"/>
      <c r="D182" s="3233"/>
      <c r="E182" s="3233"/>
      <c r="F182" s="3233">
        <v>2340</v>
      </c>
      <c r="G182" s="3233"/>
    </row>
    <row r="183" spans="1:7" s="3222" customFormat="1" ht="14.25" customHeight="1">
      <c r="A183" s="3233" t="s">
        <v>29</v>
      </c>
      <c r="B183" s="3233" t="s">
        <v>3063</v>
      </c>
      <c r="C183" s="3233"/>
      <c r="D183" s="3233"/>
      <c r="E183" s="3233"/>
      <c r="F183" s="3233">
        <v>2340</v>
      </c>
      <c r="G183" s="3233"/>
    </row>
    <row r="184" spans="1:7" s="3222" customFormat="1" ht="14.25" customHeight="1">
      <c r="A184" s="3233" t="s">
        <v>29</v>
      </c>
      <c r="B184" s="3233" t="s">
        <v>3064</v>
      </c>
      <c r="C184" s="3233"/>
      <c r="D184" s="3233"/>
      <c r="E184" s="3233"/>
      <c r="F184" s="3233">
        <v>2340</v>
      </c>
      <c r="G184" s="3233"/>
    </row>
    <row r="185" spans="1:7" s="3222" customFormat="1" ht="14.25" customHeight="1">
      <c r="A185" s="3233" t="s">
        <v>29</v>
      </c>
      <c r="B185" s="3233" t="s">
        <v>3065</v>
      </c>
      <c r="C185" s="3233"/>
      <c r="D185" s="3233"/>
      <c r="E185" s="3233"/>
      <c r="F185" s="3233">
        <v>2530</v>
      </c>
      <c r="G185" s="3233"/>
    </row>
    <row r="186" spans="1:7" s="3222" customFormat="1" ht="14.25" customHeight="1">
      <c r="A186" s="3233" t="s">
        <v>29</v>
      </c>
      <c r="B186" s="3233" t="s">
        <v>3066</v>
      </c>
      <c r="C186" s="3233"/>
      <c r="D186" s="3233"/>
      <c r="E186" s="3233"/>
      <c r="F186" s="3233">
        <v>2550</v>
      </c>
      <c r="G186" s="3233"/>
    </row>
    <row r="187" spans="1:7" s="3222" customFormat="1" ht="14.25" customHeight="1">
      <c r="A187" s="3233" t="s">
        <v>29</v>
      </c>
      <c r="B187" s="3233" t="s">
        <v>3067</v>
      </c>
      <c r="C187" s="3233"/>
      <c r="D187" s="3233"/>
      <c r="E187" s="3233"/>
      <c r="F187" s="3233">
        <v>2070</v>
      </c>
      <c r="G187" s="3233"/>
    </row>
    <row r="188" spans="1:7" s="3222" customFormat="1" ht="14.25" customHeight="1">
      <c r="A188" s="3233" t="s">
        <v>29</v>
      </c>
      <c r="B188" s="3233" t="s">
        <v>3068</v>
      </c>
      <c r="C188" s="3233"/>
      <c r="D188" s="3233"/>
      <c r="E188" s="3233"/>
      <c r="F188" s="3233">
        <v>2340</v>
      </c>
      <c r="G188" s="3233"/>
    </row>
    <row r="189" spans="1:7" s="3222" customFormat="1" ht="14.25" customHeight="1" thickBot="1">
      <c r="A189" s="3241" t="s">
        <v>29</v>
      </c>
      <c r="B189" s="3244" t="s">
        <v>3069</v>
      </c>
      <c r="C189" s="3244"/>
      <c r="D189" s="3244"/>
      <c r="E189" s="3244"/>
      <c r="F189" s="3244">
        <v>2050</v>
      </c>
      <c r="G189" s="3244"/>
    </row>
    <row r="190" spans="1:7" s="3222" customFormat="1" ht="14.25" customHeight="1">
      <c r="A190" s="3238" t="s">
        <v>304</v>
      </c>
      <c r="B190" s="3229" t="s">
        <v>3089</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3090</v>
      </c>
      <c r="C199" s="3233">
        <v>8690</v>
      </c>
      <c r="D199" s="3233">
        <v>8630</v>
      </c>
      <c r="E199" s="3233">
        <v>11350</v>
      </c>
      <c r="F199" s="3233">
        <v>1600</v>
      </c>
      <c r="G199" s="3246">
        <v>5450</v>
      </c>
    </row>
    <row r="200" spans="1:7" s="3222" customFormat="1" ht="14.25" customHeight="1">
      <c r="A200" s="3233" t="s">
        <v>304</v>
      </c>
      <c r="B200" s="3233" t="s">
        <v>2901</v>
      </c>
      <c r="C200" s="3233"/>
      <c r="D200" s="3233"/>
      <c r="E200" s="3233"/>
      <c r="F200" s="3233">
        <v>1510</v>
      </c>
      <c r="G200" s="3246"/>
    </row>
    <row r="201" spans="1:7" s="3222" customFormat="1" ht="14.25" customHeight="1">
      <c r="A201" s="3233" t="s">
        <v>304</v>
      </c>
      <c r="B201" s="3233" t="s">
        <v>3091</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3092</v>
      </c>
      <c r="C203" s="3233">
        <v>8130</v>
      </c>
      <c r="D203" s="3233">
        <v>8070</v>
      </c>
      <c r="E203" s="3233">
        <v>10820</v>
      </c>
      <c r="F203" s="3233">
        <v>1690</v>
      </c>
      <c r="G203" s="3246">
        <v>5100</v>
      </c>
    </row>
    <row r="204" spans="1:7" s="3222" customFormat="1" ht="14.25" customHeight="1">
      <c r="A204" s="3233" t="s">
        <v>304</v>
      </c>
      <c r="B204" s="3233" t="s">
        <v>2912</v>
      </c>
      <c r="C204" s="3233">
        <v>8350</v>
      </c>
      <c r="D204" s="3233">
        <v>8290</v>
      </c>
      <c r="E204" s="3233">
        <v>11080</v>
      </c>
      <c r="F204" s="3233">
        <v>1450</v>
      </c>
      <c r="G204" s="3246">
        <v>5240</v>
      </c>
    </row>
    <row r="205" spans="1:7" s="3222" customFormat="1" ht="14.25" customHeight="1">
      <c r="A205" s="3233" t="s">
        <v>304</v>
      </c>
      <c r="B205" s="3233" t="s">
        <v>2914</v>
      </c>
      <c r="C205" s="3233">
        <v>7190</v>
      </c>
      <c r="D205" s="3233">
        <v>7130</v>
      </c>
      <c r="E205" s="3233">
        <v>9490</v>
      </c>
      <c r="F205" s="3233">
        <v>1470</v>
      </c>
      <c r="G205" s="3246">
        <v>4510</v>
      </c>
    </row>
    <row r="206" spans="1:7" s="3222" customFormat="1" ht="14.25" customHeight="1">
      <c r="A206" s="3233" t="s">
        <v>304</v>
      </c>
      <c r="B206" s="3233" t="s">
        <v>2917</v>
      </c>
      <c r="C206" s="3233">
        <v>7000</v>
      </c>
      <c r="D206" s="3233">
        <v>6950</v>
      </c>
      <c r="E206" s="3233">
        <v>9170</v>
      </c>
      <c r="F206" s="3233">
        <v>1400</v>
      </c>
      <c r="G206" s="3246">
        <v>4380</v>
      </c>
    </row>
    <row r="207" spans="1:7" s="3222" customFormat="1" ht="14.25" customHeight="1">
      <c r="A207" s="3233" t="s">
        <v>304</v>
      </c>
      <c r="B207" s="3233" t="s">
        <v>2919</v>
      </c>
      <c r="C207" s="3233">
        <v>6950</v>
      </c>
      <c r="D207" s="3233">
        <v>6900</v>
      </c>
      <c r="E207" s="3233">
        <v>9110</v>
      </c>
      <c r="F207" s="3233">
        <v>1790</v>
      </c>
      <c r="G207" s="3246">
        <v>4360</v>
      </c>
    </row>
    <row r="208" spans="1:7" s="3222" customFormat="1" ht="14.25" customHeight="1">
      <c r="A208" s="3233" t="s">
        <v>304</v>
      </c>
      <c r="B208" s="3233" t="s">
        <v>3093</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2929</v>
      </c>
      <c r="C210" s="3233">
        <v>8710</v>
      </c>
      <c r="D210" s="3233">
        <v>8660</v>
      </c>
      <c r="E210" s="3233">
        <v>11440</v>
      </c>
      <c r="F210" s="3233">
        <v>1740</v>
      </c>
      <c r="G210" s="3246">
        <v>5470</v>
      </c>
    </row>
    <row r="211" spans="1:7" s="3222" customFormat="1" ht="14.25" customHeight="1">
      <c r="A211" s="3233" t="s">
        <v>304</v>
      </c>
      <c r="B211" s="3233" t="s">
        <v>3094</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3095</v>
      </c>
      <c r="C214" s="3233">
        <v>8090</v>
      </c>
      <c r="D214" s="3233">
        <v>8030</v>
      </c>
      <c r="E214" s="3233">
        <v>10780</v>
      </c>
      <c r="F214" s="3233">
        <v>1570</v>
      </c>
      <c r="G214" s="3246">
        <v>5070</v>
      </c>
    </row>
    <row r="215" spans="1:7" s="3222" customFormat="1" ht="14.25" customHeight="1">
      <c r="A215" s="3233" t="s">
        <v>304</v>
      </c>
      <c r="B215" s="3233" t="s">
        <v>3096</v>
      </c>
      <c r="C215" s="3233">
        <v>7950</v>
      </c>
      <c r="D215" s="3233">
        <v>7900</v>
      </c>
      <c r="E215" s="3233">
        <v>10560</v>
      </c>
      <c r="F215" s="3233">
        <v>1630</v>
      </c>
      <c r="G215" s="3246">
        <v>4990</v>
      </c>
    </row>
    <row r="216" spans="1:7" s="3222" customFormat="1" ht="14.25" customHeight="1">
      <c r="A216" s="3233" t="s">
        <v>304</v>
      </c>
      <c r="B216" s="3233" t="s">
        <v>3097</v>
      </c>
      <c r="C216" s="3233">
        <v>8490</v>
      </c>
      <c r="D216" s="3233">
        <v>8440</v>
      </c>
      <c r="E216" s="3233">
        <v>11260</v>
      </c>
      <c r="F216" s="3233">
        <v>1690</v>
      </c>
      <c r="G216" s="3246">
        <v>5330</v>
      </c>
    </row>
    <row r="217" spans="1:7" s="3222" customFormat="1" ht="14.25" customHeight="1">
      <c r="A217" s="3233" t="s">
        <v>304</v>
      </c>
      <c r="B217" s="3233" t="s">
        <v>2962</v>
      </c>
      <c r="C217" s="3233">
        <v>8200</v>
      </c>
      <c r="D217" s="3233">
        <v>8150</v>
      </c>
      <c r="E217" s="3233">
        <v>10910</v>
      </c>
      <c r="F217" s="3233">
        <v>1670</v>
      </c>
      <c r="G217" s="3246">
        <v>5150</v>
      </c>
    </row>
    <row r="218" spans="1:7" s="3222" customFormat="1" ht="14.25" customHeight="1">
      <c r="A218" s="3233" t="s">
        <v>304</v>
      </c>
      <c r="B218" s="3233" t="s">
        <v>3098</v>
      </c>
      <c r="C218" s="3233"/>
      <c r="D218" s="3233"/>
      <c r="E218" s="3233"/>
      <c r="F218" s="3233">
        <v>2040</v>
      </c>
      <c r="G218" s="3246"/>
    </row>
    <row r="219" spans="1:7" s="3222" customFormat="1" ht="14.25" customHeight="1">
      <c r="A219" s="3233" t="s">
        <v>304</v>
      </c>
      <c r="B219" s="3233" t="s">
        <v>3099</v>
      </c>
      <c r="C219" s="3233"/>
      <c r="D219" s="3233"/>
      <c r="E219" s="3233"/>
      <c r="F219" s="3233">
        <v>2040</v>
      </c>
      <c r="G219" s="3246"/>
    </row>
    <row r="220" spans="1:7" s="3222" customFormat="1" ht="14.25" customHeight="1">
      <c r="A220" s="3233" t="s">
        <v>304</v>
      </c>
      <c r="B220" s="3233" t="s">
        <v>3100</v>
      </c>
      <c r="C220" s="3233"/>
      <c r="D220" s="3233"/>
      <c r="E220" s="3233"/>
      <c r="F220" s="3233">
        <v>2040</v>
      </c>
      <c r="G220" s="3246"/>
    </row>
    <row r="221" spans="1:7" s="3222" customFormat="1" ht="14.25" customHeight="1">
      <c r="A221" s="3233" t="s">
        <v>304</v>
      </c>
      <c r="B221" s="3233" t="s">
        <v>3101</v>
      </c>
      <c r="C221" s="3233"/>
      <c r="D221" s="3233"/>
      <c r="E221" s="3233"/>
      <c r="F221" s="3233">
        <v>2040</v>
      </c>
      <c r="G221" s="3246"/>
    </row>
    <row r="222" spans="1:7" s="3222" customFormat="1" ht="14.25" customHeight="1">
      <c r="A222" s="3233" t="s">
        <v>304</v>
      </c>
      <c r="B222" s="3233" t="s">
        <v>3102</v>
      </c>
      <c r="C222" s="3233"/>
      <c r="D222" s="3233"/>
      <c r="E222" s="3233"/>
      <c r="F222" s="3233">
        <v>2040</v>
      </c>
      <c r="G222" s="3246"/>
    </row>
    <row r="223" spans="1:7" s="3222" customFormat="1" ht="14.25" customHeight="1">
      <c r="A223" s="3233" t="s">
        <v>304</v>
      </c>
      <c r="B223" s="3233" t="s">
        <v>3103</v>
      </c>
      <c r="C223" s="3233"/>
      <c r="D223" s="3233"/>
      <c r="E223" s="3233"/>
      <c r="F223" s="3233">
        <v>1930</v>
      </c>
      <c r="G223" s="3246"/>
    </row>
    <row r="224" spans="1:7" s="3222" customFormat="1" ht="14.25" customHeight="1">
      <c r="A224" s="3233" t="s">
        <v>304</v>
      </c>
      <c r="B224" s="3233" t="s">
        <v>3104</v>
      </c>
      <c r="C224" s="3233"/>
      <c r="D224" s="3233"/>
      <c r="E224" s="3233"/>
      <c r="F224" s="3233">
        <v>1930</v>
      </c>
      <c r="G224" s="3246"/>
    </row>
    <row r="225" spans="1:7" s="3222" customFormat="1" ht="14.25" customHeight="1">
      <c r="A225" s="3233" t="s">
        <v>304</v>
      </c>
      <c r="B225" s="3233" t="s">
        <v>3105</v>
      </c>
      <c r="C225" s="3233"/>
      <c r="D225" s="3233"/>
      <c r="E225" s="3233"/>
      <c r="F225" s="3233">
        <v>1930</v>
      </c>
      <c r="G225" s="3246"/>
    </row>
    <row r="226" spans="1:7" s="3222" customFormat="1" ht="14.25" customHeight="1">
      <c r="A226" s="3233" t="s">
        <v>304</v>
      </c>
      <c r="B226" s="3233" t="s">
        <v>3106</v>
      </c>
      <c r="C226" s="3233"/>
      <c r="D226" s="3233"/>
      <c r="E226" s="3233"/>
      <c r="F226" s="3233">
        <v>1700</v>
      </c>
      <c r="G226" s="3246"/>
    </row>
    <row r="227" spans="1:7" s="3222" customFormat="1" ht="14.25" customHeight="1">
      <c r="A227" s="3233" t="s">
        <v>304</v>
      </c>
      <c r="B227" s="3233" t="s">
        <v>3107</v>
      </c>
      <c r="C227" s="3233"/>
      <c r="D227" s="3233"/>
      <c r="E227" s="3233"/>
      <c r="F227" s="3233">
        <v>1520</v>
      </c>
      <c r="G227" s="3246"/>
    </row>
    <row r="228" spans="1:7" s="3222" customFormat="1" ht="14.25" customHeight="1">
      <c r="A228" s="3233" t="s">
        <v>304</v>
      </c>
      <c r="B228" s="3233" t="s">
        <v>3108</v>
      </c>
      <c r="C228" s="3233"/>
      <c r="D228" s="3233"/>
      <c r="E228" s="3233"/>
      <c r="F228" s="3233">
        <v>1520</v>
      </c>
      <c r="G228" s="3246"/>
    </row>
    <row r="229" spans="1:7" s="3222" customFormat="1" ht="14.25" customHeight="1">
      <c r="A229" s="3233" t="s">
        <v>304</v>
      </c>
      <c r="B229" s="3233" t="s">
        <v>3025</v>
      </c>
      <c r="C229" s="3233"/>
      <c r="D229" s="3233"/>
      <c r="E229" s="3233"/>
      <c r="F229" s="3233">
        <v>1520</v>
      </c>
      <c r="G229" s="3246"/>
    </row>
    <row r="230" spans="1:7" s="3222" customFormat="1" ht="14.25" customHeight="1">
      <c r="A230" s="3233" t="s">
        <v>304</v>
      </c>
      <c r="B230" s="3233" t="s">
        <v>3109</v>
      </c>
      <c r="C230" s="3233"/>
      <c r="D230" s="3233"/>
      <c r="E230" s="3233"/>
      <c r="F230" s="3233">
        <v>1820</v>
      </c>
      <c r="G230" s="3246"/>
    </row>
    <row r="231" spans="1:7" s="3222" customFormat="1" ht="14.25" customHeight="1">
      <c r="A231" s="3233" t="s">
        <v>304</v>
      </c>
      <c r="B231" s="3233" t="s">
        <v>3110</v>
      </c>
      <c r="C231" s="3233"/>
      <c r="D231" s="3233"/>
      <c r="E231" s="3233"/>
      <c r="F231" s="3233">
        <v>1760</v>
      </c>
      <c r="G231" s="3246"/>
    </row>
    <row r="232" spans="1:7" s="3222" customFormat="1" ht="14.25" customHeight="1">
      <c r="A232" s="3233" t="s">
        <v>304</v>
      </c>
      <c r="B232" s="3233" t="s">
        <v>3111</v>
      </c>
      <c r="C232" s="3233"/>
      <c r="D232" s="3233"/>
      <c r="E232" s="3233"/>
      <c r="F232" s="3233">
        <v>1840</v>
      </c>
      <c r="G232" s="3246"/>
    </row>
    <row r="233" spans="1:7" s="3222" customFormat="1" ht="14.25" customHeight="1" thickBot="1">
      <c r="A233" s="3247" t="s">
        <v>304</v>
      </c>
      <c r="B233" s="3240" t="s">
        <v>3042</v>
      </c>
      <c r="C233" s="3240"/>
      <c r="D233" s="3240"/>
      <c r="E233" s="3240"/>
      <c r="F233" s="3240">
        <v>1770</v>
      </c>
      <c r="G233" s="3248"/>
    </row>
    <row r="234" spans="1:7" s="3222" customFormat="1" ht="14.25" customHeight="1">
      <c r="A234" s="3238" t="s">
        <v>305</v>
      </c>
      <c r="B234" s="3229" t="s">
        <v>3112</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2883</v>
      </c>
      <c r="C238" s="3233">
        <v>6920</v>
      </c>
      <c r="D238" s="3233">
        <v>6890</v>
      </c>
      <c r="E238" s="3233">
        <v>8640</v>
      </c>
      <c r="F238" s="3233">
        <v>1310</v>
      </c>
      <c r="G238" s="3233">
        <v>4230</v>
      </c>
    </row>
    <row r="239" spans="1:7" s="3222" customFormat="1" ht="14.25" customHeight="1">
      <c r="A239" s="3233" t="s">
        <v>305</v>
      </c>
      <c r="B239" s="3233" t="s">
        <v>3113</v>
      </c>
      <c r="C239" s="3233">
        <v>6780</v>
      </c>
      <c r="D239" s="3233">
        <v>6750</v>
      </c>
      <c r="E239" s="3233">
        <v>8440</v>
      </c>
      <c r="F239" s="3233">
        <v>1160</v>
      </c>
      <c r="G239" s="3233">
        <v>4140</v>
      </c>
    </row>
    <row r="240" spans="1:7" s="3222" customFormat="1" ht="14.25" customHeight="1">
      <c r="A240" s="3233" t="s">
        <v>305</v>
      </c>
      <c r="B240" s="3233" t="s">
        <v>3114</v>
      </c>
      <c r="C240" s="3233">
        <v>5420</v>
      </c>
      <c r="D240" s="3233">
        <v>5380</v>
      </c>
      <c r="E240" s="3233">
        <v>6640</v>
      </c>
      <c r="F240" s="3233">
        <v>1020</v>
      </c>
      <c r="G240" s="3233">
        <v>3300</v>
      </c>
    </row>
    <row r="241" spans="1:7" s="3222" customFormat="1" ht="14.25" customHeight="1">
      <c r="A241" s="3233" t="s">
        <v>305</v>
      </c>
      <c r="B241" s="3233" t="s">
        <v>3115</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3116</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3117</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3118</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3119</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3120</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2945</v>
      </c>
      <c r="C258" s="3233">
        <v>6190</v>
      </c>
      <c r="D258" s="3233">
        <v>6160</v>
      </c>
      <c r="E258" s="3233">
        <v>7680</v>
      </c>
      <c r="F258" s="3233">
        <v>1170</v>
      </c>
      <c r="G258" s="3233">
        <v>3780</v>
      </c>
    </row>
    <row r="259" spans="1:7" s="3222" customFormat="1" ht="14.25" customHeight="1">
      <c r="A259" s="3233" t="s">
        <v>305</v>
      </c>
      <c r="B259" s="3233" t="s">
        <v>3121</v>
      </c>
      <c r="C259" s="3233">
        <v>7610</v>
      </c>
      <c r="D259" s="3233">
        <v>7570</v>
      </c>
      <c r="E259" s="3233">
        <v>9350</v>
      </c>
      <c r="F259" s="3233">
        <v>1350</v>
      </c>
      <c r="G259" s="3233">
        <v>4650</v>
      </c>
    </row>
    <row r="260" spans="1:7" s="3222" customFormat="1" ht="14.25" customHeight="1">
      <c r="A260" s="3233" t="s">
        <v>305</v>
      </c>
      <c r="B260" s="3233" t="s">
        <v>3122</v>
      </c>
      <c r="C260" s="3233">
        <v>6920</v>
      </c>
      <c r="D260" s="3233">
        <v>6880</v>
      </c>
      <c r="E260" s="3233">
        <v>8380</v>
      </c>
      <c r="F260" s="3233">
        <v>1160</v>
      </c>
      <c r="G260" s="3233">
        <v>4220</v>
      </c>
    </row>
    <row r="261" spans="1:7" s="3222" customFormat="1" ht="14.25" customHeight="1">
      <c r="A261" s="3233" t="s">
        <v>305</v>
      </c>
      <c r="B261" s="3233" t="s">
        <v>3123</v>
      </c>
      <c r="C261" s="3233">
        <v>6850</v>
      </c>
      <c r="D261" s="3233">
        <v>6810</v>
      </c>
      <c r="E261" s="3233">
        <v>8290</v>
      </c>
      <c r="F261" s="3233">
        <v>1130</v>
      </c>
      <c r="G261" s="3233">
        <v>4180</v>
      </c>
    </row>
    <row r="262" spans="1:7" s="3222" customFormat="1" ht="14.25" customHeight="1">
      <c r="A262" s="3233" t="s">
        <v>305</v>
      </c>
      <c r="B262" s="3233" t="s">
        <v>3124</v>
      </c>
      <c r="C262" s="3233">
        <v>5860</v>
      </c>
      <c r="D262" s="3233">
        <v>5820</v>
      </c>
      <c r="E262" s="3233">
        <v>7640</v>
      </c>
      <c r="F262" s="3233">
        <v>1070</v>
      </c>
      <c r="G262" s="3233">
        <v>3570</v>
      </c>
    </row>
    <row r="263" spans="1:7" s="3222" customFormat="1" ht="14.25" customHeight="1">
      <c r="A263" s="3233" t="s">
        <v>305</v>
      </c>
      <c r="B263" s="3233" t="s">
        <v>3125</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3126</v>
      </c>
      <c r="C265" s="3233"/>
      <c r="D265" s="3233"/>
      <c r="E265" s="3233"/>
      <c r="F265" s="3233">
        <v>1500</v>
      </c>
      <c r="G265" s="3233"/>
    </row>
    <row r="266" spans="1:7" s="3222" customFormat="1" ht="14.25" customHeight="1">
      <c r="A266" s="3233" t="s">
        <v>305</v>
      </c>
      <c r="B266" s="3233" t="s">
        <v>3127</v>
      </c>
      <c r="C266" s="3233"/>
      <c r="D266" s="3233"/>
      <c r="E266" s="3233"/>
      <c r="F266" s="3233">
        <v>1500</v>
      </c>
      <c r="G266" s="3233"/>
    </row>
    <row r="267" spans="1:7" s="3222" customFormat="1" ht="14.25" customHeight="1">
      <c r="A267" s="3233" t="s">
        <v>305</v>
      </c>
      <c r="B267" s="3233" t="s">
        <v>3128</v>
      </c>
      <c r="C267" s="3233"/>
      <c r="D267" s="3233"/>
      <c r="E267" s="3233"/>
      <c r="F267" s="3233">
        <v>1500</v>
      </c>
      <c r="G267" s="3233"/>
    </row>
    <row r="268" spans="1:7" s="3222" customFormat="1" ht="14.25" customHeight="1">
      <c r="A268" s="3233" t="s">
        <v>305</v>
      </c>
      <c r="B268" s="3233" t="s">
        <v>3129</v>
      </c>
      <c r="C268" s="3233"/>
      <c r="D268" s="3233"/>
      <c r="E268" s="3233"/>
      <c r="F268" s="3233">
        <v>1290</v>
      </c>
      <c r="G268" s="3233"/>
    </row>
    <row r="269" spans="1:7" s="3222" customFormat="1" ht="14.25" customHeight="1">
      <c r="A269" s="3233" t="s">
        <v>305</v>
      </c>
      <c r="B269" s="3233" t="s">
        <v>3130</v>
      </c>
      <c r="C269" s="3233"/>
      <c r="D269" s="3233"/>
      <c r="E269" s="3233"/>
      <c r="F269" s="3233">
        <v>1150</v>
      </c>
      <c r="G269" s="3233"/>
    </row>
    <row r="270" spans="1:7" s="3222" customFormat="1" ht="14.25" customHeight="1">
      <c r="A270" s="3233" t="s">
        <v>305</v>
      </c>
      <c r="B270" s="3233" t="s">
        <v>3131</v>
      </c>
      <c r="C270" s="3233"/>
      <c r="D270" s="3233"/>
      <c r="E270" s="3233"/>
      <c r="F270" s="3233">
        <v>1380</v>
      </c>
      <c r="G270" s="3233"/>
    </row>
    <row r="271" spans="1:7" s="3222" customFormat="1" ht="14.25" customHeight="1">
      <c r="A271" s="3233" t="s">
        <v>305</v>
      </c>
      <c r="B271" s="3233" t="s">
        <v>3132</v>
      </c>
      <c r="C271" s="3233"/>
      <c r="D271" s="3233"/>
      <c r="E271" s="3233"/>
      <c r="F271" s="3233">
        <v>1460</v>
      </c>
      <c r="G271" s="3233"/>
    </row>
    <row r="272" spans="1:7" s="3222" customFormat="1" ht="14.25" customHeight="1">
      <c r="A272" s="3233" t="s">
        <v>305</v>
      </c>
      <c r="B272" s="3233" t="s">
        <v>3133</v>
      </c>
      <c r="C272" s="3233"/>
      <c r="D272" s="3233"/>
      <c r="E272" s="3233"/>
      <c r="F272" s="3233">
        <v>1460</v>
      </c>
      <c r="G272" s="3233"/>
    </row>
    <row r="273" spans="1:7" s="3222" customFormat="1" ht="14.25" customHeight="1">
      <c r="A273" s="3233" t="s">
        <v>305</v>
      </c>
      <c r="B273" s="3233" t="s">
        <v>3026</v>
      </c>
      <c r="C273" s="3233"/>
      <c r="D273" s="3233"/>
      <c r="E273" s="3233"/>
      <c r="F273" s="3233">
        <v>1490</v>
      </c>
      <c r="G273" s="3233"/>
    </row>
    <row r="274" spans="1:7" s="3222" customFormat="1" ht="14.25" customHeight="1">
      <c r="A274" s="3233" t="s">
        <v>305</v>
      </c>
      <c r="B274" s="3233" t="s">
        <v>3134</v>
      </c>
      <c r="C274" s="3233"/>
      <c r="D274" s="3233"/>
      <c r="E274" s="3233"/>
      <c r="F274" s="3233">
        <v>1490</v>
      </c>
      <c r="G274" s="3233"/>
    </row>
    <row r="275" spans="1:7" s="3222" customFormat="1" ht="14.25" customHeight="1">
      <c r="A275" s="3233" t="s">
        <v>305</v>
      </c>
      <c r="B275" s="3233" t="s">
        <v>3135</v>
      </c>
      <c r="C275" s="3233"/>
      <c r="D275" s="3233"/>
      <c r="E275" s="3233"/>
      <c r="F275" s="3233">
        <v>1220</v>
      </c>
      <c r="G275" s="3233"/>
    </row>
    <row r="276" spans="1:7" s="3222" customFormat="1" ht="14.25" customHeight="1" thickBot="1">
      <c r="A276" s="3241" t="s">
        <v>305</v>
      </c>
      <c r="B276" s="3243" t="s">
        <v>3136</v>
      </c>
      <c r="C276" s="3244"/>
      <c r="D276" s="3244"/>
      <c r="E276" s="3244"/>
      <c r="F276" s="3244">
        <v>1380</v>
      </c>
      <c r="G276" s="3244"/>
    </row>
    <row r="277" spans="1:7" s="3222" customFormat="1" ht="14.25" customHeight="1">
      <c r="A277" s="3238" t="s">
        <v>306</v>
      </c>
      <c r="B277" s="3229" t="s">
        <v>3137</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3138</v>
      </c>
      <c r="C279" s="3233">
        <v>4760</v>
      </c>
      <c r="D279" s="3233">
        <v>4720</v>
      </c>
      <c r="E279" s="3233">
        <v>5540</v>
      </c>
      <c r="F279" s="3233">
        <v>810</v>
      </c>
      <c r="G279" s="3246">
        <v>2850</v>
      </c>
    </row>
    <row r="280" spans="1:7" s="3222" customFormat="1" ht="14.25" customHeight="1">
      <c r="A280" s="3233" t="s">
        <v>306</v>
      </c>
      <c r="B280" s="3233" t="s">
        <v>3139</v>
      </c>
      <c r="C280" s="3233">
        <v>4010</v>
      </c>
      <c r="D280" s="3233">
        <v>3950</v>
      </c>
      <c r="E280" s="3233">
        <v>4710</v>
      </c>
      <c r="F280" s="3233">
        <v>800</v>
      </c>
      <c r="G280" s="3246">
        <v>2390</v>
      </c>
    </row>
    <row r="281" spans="1:7" s="3222" customFormat="1" ht="14.25" customHeight="1">
      <c r="A281" s="3233" t="s">
        <v>306</v>
      </c>
      <c r="B281" s="3233" t="s">
        <v>3140</v>
      </c>
      <c r="C281" s="3233">
        <v>4480</v>
      </c>
      <c r="D281" s="3233">
        <v>4420</v>
      </c>
      <c r="E281" s="3233">
        <v>5230</v>
      </c>
      <c r="F281" s="3233">
        <v>870</v>
      </c>
      <c r="G281" s="3246">
        <v>2660</v>
      </c>
    </row>
    <row r="282" spans="1:7" s="3222" customFormat="1" ht="14.25" customHeight="1">
      <c r="A282" s="3233" t="s">
        <v>306</v>
      </c>
      <c r="B282" s="3233" t="s">
        <v>3141</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3142</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3143</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2918</v>
      </c>
      <c r="C293" s="3233">
        <v>5320</v>
      </c>
      <c r="D293" s="3233">
        <v>5270</v>
      </c>
      <c r="E293" s="3233">
        <v>6160</v>
      </c>
      <c r="F293" s="3233">
        <v>990</v>
      </c>
      <c r="G293" s="3246">
        <v>3170</v>
      </c>
    </row>
    <row r="294" spans="1:7" s="3222" customFormat="1" ht="14.25" customHeight="1">
      <c r="A294" s="3233" t="s">
        <v>306</v>
      </c>
      <c r="B294" s="3233" t="s">
        <v>3144</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2937</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3145</v>
      </c>
      <c r="C302" s="3233">
        <v>5520</v>
      </c>
      <c r="D302" s="3233">
        <v>5470</v>
      </c>
      <c r="E302" s="3233">
        <v>6410</v>
      </c>
      <c r="F302" s="3233">
        <v>950</v>
      </c>
      <c r="G302" s="3246">
        <v>3300</v>
      </c>
    </row>
    <row r="303" spans="1:7" s="3222" customFormat="1" ht="14.25" customHeight="1">
      <c r="A303" s="3233" t="s">
        <v>306</v>
      </c>
      <c r="B303" s="3233" t="s">
        <v>2957</v>
      </c>
      <c r="C303" s="3233">
        <v>5630</v>
      </c>
      <c r="D303" s="3233">
        <v>5590</v>
      </c>
      <c r="E303" s="3233">
        <v>6550</v>
      </c>
      <c r="F303" s="3233">
        <v>1010</v>
      </c>
      <c r="G303" s="3246">
        <v>3370</v>
      </c>
    </row>
    <row r="304" spans="1:7" s="3222" customFormat="1" ht="14.25" customHeight="1">
      <c r="A304" s="3233" t="s">
        <v>306</v>
      </c>
      <c r="B304" s="3233" t="s">
        <v>2964</v>
      </c>
      <c r="C304" s="3233">
        <v>5680</v>
      </c>
      <c r="D304" s="3233">
        <v>5620</v>
      </c>
      <c r="E304" s="3233">
        <v>6620</v>
      </c>
      <c r="F304" s="3233">
        <v>1050</v>
      </c>
      <c r="G304" s="3246">
        <v>3390</v>
      </c>
    </row>
    <row r="305" spans="1:7" s="3222" customFormat="1" ht="14.25" customHeight="1">
      <c r="A305" s="3233" t="s">
        <v>306</v>
      </c>
      <c r="B305" s="3233" t="s">
        <v>2970</v>
      </c>
      <c r="C305" s="3233">
        <v>5590</v>
      </c>
      <c r="D305" s="3233">
        <v>5530</v>
      </c>
      <c r="E305" s="3233">
        <v>6460</v>
      </c>
      <c r="F305" s="3233">
        <v>900</v>
      </c>
      <c r="G305" s="3246">
        <v>3340</v>
      </c>
    </row>
    <row r="306" spans="1:7" s="3222" customFormat="1" ht="14.25" customHeight="1">
      <c r="A306" s="3233" t="s">
        <v>306</v>
      </c>
      <c r="B306" s="3233" t="s">
        <v>3146</v>
      </c>
      <c r="C306" s="3233">
        <v>5560</v>
      </c>
      <c r="D306" s="3233">
        <v>5510</v>
      </c>
      <c r="E306" s="3233">
        <v>6440</v>
      </c>
      <c r="F306" s="3233">
        <v>900</v>
      </c>
      <c r="G306" s="3246">
        <v>3320</v>
      </c>
    </row>
    <row r="307" spans="1:7" s="3222" customFormat="1" ht="14.25" customHeight="1">
      <c r="A307" s="3233" t="s">
        <v>306</v>
      </c>
      <c r="B307" s="3233" t="s">
        <v>2982</v>
      </c>
      <c r="C307" s="3233">
        <v>5650</v>
      </c>
      <c r="D307" s="3233">
        <v>5600</v>
      </c>
      <c r="E307" s="3233">
        <v>6590</v>
      </c>
      <c r="F307" s="3233">
        <v>930</v>
      </c>
      <c r="G307" s="3246">
        <v>3380</v>
      </c>
    </row>
    <row r="308" spans="1:7" s="3222" customFormat="1" ht="14.25" customHeight="1">
      <c r="A308" s="3233" t="s">
        <v>306</v>
      </c>
      <c r="B308" s="3233" t="s">
        <v>3147</v>
      </c>
      <c r="C308" s="3233">
        <v>5620</v>
      </c>
      <c r="D308" s="3233">
        <v>5580</v>
      </c>
      <c r="E308" s="3233">
        <v>6540</v>
      </c>
      <c r="F308" s="3233">
        <v>910</v>
      </c>
      <c r="G308" s="3246">
        <v>3370</v>
      </c>
    </row>
    <row r="309" spans="1:7" s="3222" customFormat="1" ht="14.25" customHeight="1">
      <c r="A309" s="3233" t="s">
        <v>306</v>
      </c>
      <c r="B309" s="3233" t="s">
        <v>3148</v>
      </c>
      <c r="C309" s="3233">
        <v>5060</v>
      </c>
      <c r="D309" s="3233">
        <v>5020</v>
      </c>
      <c r="E309" s="3233">
        <v>6370</v>
      </c>
      <c r="F309" s="3233">
        <v>800</v>
      </c>
      <c r="G309" s="3246">
        <v>3020</v>
      </c>
    </row>
    <row r="310" spans="1:7" s="3222" customFormat="1" ht="14.25" customHeight="1">
      <c r="A310" s="3233" t="s">
        <v>306</v>
      </c>
      <c r="B310" s="3233" t="s">
        <v>2997</v>
      </c>
      <c r="C310" s="3233">
        <v>5150</v>
      </c>
      <c r="D310" s="3233">
        <v>5110</v>
      </c>
      <c r="E310" s="3233">
        <v>6500</v>
      </c>
      <c r="F310" s="3233">
        <v>880</v>
      </c>
      <c r="G310" s="3246">
        <v>3080</v>
      </c>
    </row>
    <row r="311" spans="1:7" s="3222" customFormat="1" ht="14.25" customHeight="1">
      <c r="A311" s="3233" t="s">
        <v>306</v>
      </c>
      <c r="B311" s="3233" t="s">
        <v>3149</v>
      </c>
      <c r="C311" s="3233">
        <v>4750</v>
      </c>
      <c r="D311" s="3233">
        <v>4710</v>
      </c>
      <c r="E311" s="3233">
        <v>5510</v>
      </c>
      <c r="F311" s="3233">
        <v>880</v>
      </c>
      <c r="G311" s="3246">
        <v>2840</v>
      </c>
    </row>
    <row r="312" spans="1:7" s="3222" customFormat="1" ht="14.25" customHeight="1">
      <c r="A312" s="3233" t="s">
        <v>306</v>
      </c>
      <c r="B312" s="3233" t="s">
        <v>3007</v>
      </c>
      <c r="C312" s="3233">
        <v>4690</v>
      </c>
      <c r="D312" s="3233">
        <v>4640</v>
      </c>
      <c r="E312" s="3233">
        <v>5420</v>
      </c>
      <c r="F312" s="3233">
        <v>800</v>
      </c>
      <c r="G312" s="3246">
        <v>2800</v>
      </c>
    </row>
    <row r="313" spans="1:7" s="3222" customFormat="1" ht="14.25" customHeight="1">
      <c r="A313" s="3233" t="s">
        <v>306</v>
      </c>
      <c r="B313" s="3233" t="s">
        <v>3012</v>
      </c>
      <c r="C313" s="3233">
        <v>4810</v>
      </c>
      <c r="D313" s="3233">
        <v>4760</v>
      </c>
      <c r="E313" s="3233">
        <v>5550</v>
      </c>
      <c r="F313" s="3233">
        <v>920</v>
      </c>
      <c r="G313" s="3246">
        <v>2870</v>
      </c>
    </row>
    <row r="314" spans="1:7" s="3222" customFormat="1" ht="14.25" customHeight="1">
      <c r="A314" s="3233" t="s">
        <v>306</v>
      </c>
      <c r="B314" s="3233" t="s">
        <v>3150</v>
      </c>
      <c r="C314" s="3233"/>
      <c r="D314" s="3233"/>
      <c r="E314" s="3233"/>
      <c r="F314" s="3233">
        <v>1020</v>
      </c>
      <c r="G314" s="3246"/>
    </row>
    <row r="315" spans="1:7" s="3222" customFormat="1" ht="14.25" customHeight="1">
      <c r="A315" s="3233" t="s">
        <v>306</v>
      </c>
      <c r="B315" s="3233" t="s">
        <v>3151</v>
      </c>
      <c r="C315" s="3233"/>
      <c r="D315" s="3233"/>
      <c r="E315" s="3233"/>
      <c r="F315" s="3233">
        <v>1050</v>
      </c>
      <c r="G315" s="3246"/>
    </row>
    <row r="316" spans="1:7" s="3222" customFormat="1" ht="14.25" customHeight="1">
      <c r="A316" s="3233" t="s">
        <v>306</v>
      </c>
      <c r="B316" s="3233" t="s">
        <v>3027</v>
      </c>
      <c r="C316" s="3233"/>
      <c r="D316" s="3233"/>
      <c r="E316" s="3233"/>
      <c r="F316" s="3233">
        <v>900</v>
      </c>
      <c r="G316" s="3246"/>
    </row>
    <row r="317" spans="1:7" s="3222" customFormat="1" ht="14.25" customHeight="1">
      <c r="A317" s="3233" t="s">
        <v>306</v>
      </c>
      <c r="B317" s="3233" t="s">
        <v>3152</v>
      </c>
      <c r="C317" s="3233"/>
      <c r="D317" s="3233"/>
      <c r="E317" s="3233"/>
      <c r="F317" s="3233">
        <v>920</v>
      </c>
      <c r="G317" s="3246"/>
    </row>
    <row r="318" spans="1:7" s="3222" customFormat="1" ht="14.25" customHeight="1">
      <c r="A318" s="3233" t="s">
        <v>306</v>
      </c>
      <c r="B318" s="3233" t="s">
        <v>3153</v>
      </c>
      <c r="C318" s="3233"/>
      <c r="D318" s="3233"/>
      <c r="E318" s="3233"/>
      <c r="F318" s="3233">
        <v>1080</v>
      </c>
      <c r="G318" s="3246"/>
    </row>
    <row r="319" spans="1:7" s="3222" customFormat="1" ht="14.25" customHeight="1">
      <c r="A319" s="3233" t="s">
        <v>306</v>
      </c>
      <c r="B319" s="3233" t="s">
        <v>3040</v>
      </c>
      <c r="C319" s="3233"/>
      <c r="D319" s="3233"/>
      <c r="E319" s="3233"/>
      <c r="F319" s="3233">
        <v>1020</v>
      </c>
      <c r="G319" s="3246"/>
    </row>
    <row r="320" spans="1:7" s="3222" customFormat="1" ht="14.25" customHeight="1">
      <c r="A320" s="3233" t="s">
        <v>306</v>
      </c>
      <c r="B320" s="3233" t="s">
        <v>3043</v>
      </c>
      <c r="C320" s="3233"/>
      <c r="D320" s="3233"/>
      <c r="E320" s="3233"/>
      <c r="F320" s="3233">
        <v>1050</v>
      </c>
      <c r="G320" s="3246"/>
    </row>
    <row r="321" spans="1:7" s="3222" customFormat="1" ht="14.25" customHeight="1">
      <c r="A321" s="3233" t="s">
        <v>306</v>
      </c>
      <c r="B321" s="3233" t="s">
        <v>3045</v>
      </c>
      <c r="C321" s="3233"/>
      <c r="D321" s="3233"/>
      <c r="E321" s="3233"/>
      <c r="F321" s="3233">
        <v>960</v>
      </c>
      <c r="G321" s="3246"/>
    </row>
    <row r="322" spans="1:7" s="3222" customFormat="1" ht="14.25" customHeight="1">
      <c r="A322" s="3233" t="s">
        <v>306</v>
      </c>
      <c r="B322" s="3233" t="s">
        <v>3047</v>
      </c>
      <c r="C322" s="3233"/>
      <c r="D322" s="3233"/>
      <c r="E322" s="3233"/>
      <c r="F322" s="3233">
        <v>960</v>
      </c>
      <c r="G322" s="3246"/>
    </row>
    <row r="323" spans="1:7" s="3222" customFormat="1" ht="14.25" customHeight="1">
      <c r="A323" s="3233" t="s">
        <v>306</v>
      </c>
      <c r="B323" s="3233" t="s">
        <v>3049</v>
      </c>
      <c r="C323" s="3233"/>
      <c r="D323" s="3233"/>
      <c r="E323" s="3233"/>
      <c r="F323" s="3233">
        <v>880</v>
      </c>
      <c r="G323" s="3246"/>
    </row>
    <row r="324" spans="1:7" s="3222" customFormat="1" ht="14.25" customHeight="1">
      <c r="A324" s="3233" t="s">
        <v>306</v>
      </c>
      <c r="B324" s="3233" t="s">
        <v>3051</v>
      </c>
      <c r="C324" s="3233"/>
      <c r="D324" s="3233"/>
      <c r="E324" s="3233"/>
      <c r="F324" s="3233">
        <v>930</v>
      </c>
      <c r="G324" s="3246"/>
    </row>
    <row r="325" spans="1:7" s="3222" customFormat="1" ht="14.25" customHeight="1">
      <c r="A325" s="3233" t="s">
        <v>306</v>
      </c>
      <c r="B325" s="3234" t="s">
        <v>3053</v>
      </c>
      <c r="C325" s="3233"/>
      <c r="D325" s="3233"/>
      <c r="E325" s="3233"/>
      <c r="F325" s="3233">
        <v>900</v>
      </c>
      <c r="G325" s="3246"/>
    </row>
    <row r="326" spans="1:7" s="3222" customFormat="1" ht="14.25" customHeight="1" thickBot="1">
      <c r="A326" s="3247" t="s">
        <v>306</v>
      </c>
      <c r="B326" s="3240" t="s">
        <v>3055</v>
      </c>
      <c r="C326" s="3240"/>
      <c r="D326" s="3240"/>
      <c r="E326" s="3240"/>
      <c r="F326" s="3240">
        <v>790</v>
      </c>
      <c r="G326" s="3248"/>
    </row>
    <row r="327" spans="1:7" s="3222" customFormat="1" ht="14.25" customHeight="1">
      <c r="A327" s="3238" t="s">
        <v>307</v>
      </c>
      <c r="B327" s="3229" t="s">
        <v>3154</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3155</v>
      </c>
      <c r="C329" s="3233">
        <v>2730</v>
      </c>
      <c r="D329" s="3233">
        <v>2690</v>
      </c>
      <c r="E329" s="3233">
        <v>3100</v>
      </c>
      <c r="F329" s="3233">
        <v>660</v>
      </c>
      <c r="G329" s="3233">
        <v>1610</v>
      </c>
    </row>
    <row r="330" spans="1:7" s="3222" customFormat="1" ht="14.25" customHeight="1">
      <c r="A330" s="3233" t="s">
        <v>307</v>
      </c>
      <c r="B330" s="3233" t="s">
        <v>3156</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2889</v>
      </c>
      <c r="C332" s="3233">
        <v>3520</v>
      </c>
      <c r="D332" s="3233">
        <v>3480</v>
      </c>
      <c r="E332" s="3233">
        <v>3830</v>
      </c>
      <c r="F332" s="3233">
        <v>720</v>
      </c>
      <c r="G332" s="3233">
        <v>2090</v>
      </c>
    </row>
    <row r="333" spans="1:7" s="3222" customFormat="1" ht="14.25" customHeight="1">
      <c r="A333" s="3233" t="s">
        <v>307</v>
      </c>
      <c r="B333" s="3233" t="s">
        <v>3157</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2899</v>
      </c>
      <c r="C336" s="3233">
        <v>3570</v>
      </c>
      <c r="D336" s="3233">
        <v>3530</v>
      </c>
      <c r="E336" s="3233">
        <v>3880</v>
      </c>
      <c r="F336" s="3233">
        <v>770</v>
      </c>
      <c r="G336" s="3233">
        <v>2110</v>
      </c>
    </row>
    <row r="337" spans="1:10" s="3222" customFormat="1" ht="14.25" customHeight="1">
      <c r="A337" s="3233" t="s">
        <v>307</v>
      </c>
      <c r="B337" s="3233" t="s">
        <v>3158</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3159</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3160</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2924</v>
      </c>
      <c r="C345" s="3233">
        <v>3190</v>
      </c>
      <c r="D345" s="3233">
        <v>3140</v>
      </c>
      <c r="E345" s="3233">
        <v>3450</v>
      </c>
      <c r="F345" s="3233">
        <v>720</v>
      </c>
      <c r="G345" s="3233">
        <v>1880</v>
      </c>
      <c r="J345" s="3222"/>
    </row>
    <row r="346" spans="1:10">
      <c r="A346" s="3233" t="s">
        <v>307</v>
      </c>
      <c r="B346" s="3233" t="s">
        <v>3161</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2933</v>
      </c>
      <c r="C348" s="3233">
        <v>4000</v>
      </c>
      <c r="D348" s="3233">
        <v>3950</v>
      </c>
      <c r="E348" s="3233">
        <v>4430</v>
      </c>
      <c r="F348" s="3233">
        <v>760</v>
      </c>
      <c r="G348" s="3233">
        <v>2360</v>
      </c>
      <c r="J348" s="3222"/>
    </row>
    <row r="349" spans="1:10">
      <c r="A349" s="3233" t="s">
        <v>307</v>
      </c>
      <c r="B349" s="3233" t="s">
        <v>2938</v>
      </c>
      <c r="C349" s="3233">
        <v>3820</v>
      </c>
      <c r="D349" s="3233">
        <v>3780</v>
      </c>
      <c r="E349" s="3233">
        <v>4170</v>
      </c>
      <c r="F349" s="3233">
        <v>710</v>
      </c>
      <c r="G349" s="3233">
        <v>2260</v>
      </c>
      <c r="J349" s="3222"/>
    </row>
    <row r="350" spans="1:10">
      <c r="A350" s="3233" t="s">
        <v>307</v>
      </c>
      <c r="B350" s="3233" t="s">
        <v>3162</v>
      </c>
      <c r="C350" s="3233">
        <v>3760</v>
      </c>
      <c r="D350" s="3233">
        <v>3730</v>
      </c>
      <c r="E350" s="3233">
        <v>4100</v>
      </c>
      <c r="F350" s="3233">
        <v>800</v>
      </c>
      <c r="G350" s="3233">
        <v>2230</v>
      </c>
      <c r="J350" s="3222"/>
    </row>
    <row r="351" spans="1:10">
      <c r="A351" s="3233" t="s">
        <v>307</v>
      </c>
      <c r="B351" s="3233" t="s">
        <v>2946</v>
      </c>
      <c r="C351" s="3233">
        <v>3610</v>
      </c>
      <c r="D351" s="3233">
        <v>3580</v>
      </c>
      <c r="E351" s="3233">
        <v>3930</v>
      </c>
      <c r="F351" s="3233">
        <v>700</v>
      </c>
      <c r="G351" s="3233">
        <v>2140</v>
      </c>
      <c r="J351" s="3222"/>
    </row>
    <row r="352" spans="1:10">
      <c r="A352" s="3233" t="s">
        <v>307</v>
      </c>
      <c r="B352" s="3233" t="s">
        <v>2951</v>
      </c>
      <c r="C352" s="3233">
        <v>3670</v>
      </c>
      <c r="D352" s="3233">
        <v>3630</v>
      </c>
      <c r="E352" s="3233">
        <v>4000</v>
      </c>
      <c r="F352" s="3233">
        <v>750</v>
      </c>
      <c r="G352" s="3233">
        <v>2180</v>
      </c>
    </row>
    <row r="353" spans="1:7" s="3226" customFormat="1">
      <c r="A353" s="3233" t="s">
        <v>307</v>
      </c>
      <c r="B353" s="3233" t="s">
        <v>3163</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2971</v>
      </c>
      <c r="C355" s="3233">
        <v>3650</v>
      </c>
      <c r="D355" s="3233">
        <v>3610</v>
      </c>
      <c r="E355" s="3233">
        <v>4200</v>
      </c>
      <c r="F355" s="3233">
        <v>640</v>
      </c>
      <c r="G355" s="3233">
        <v>2160</v>
      </c>
    </row>
    <row r="356" spans="1:7" s="3226" customFormat="1">
      <c r="A356" s="3233" t="s">
        <v>307</v>
      </c>
      <c r="B356" s="3233" t="s">
        <v>2978</v>
      </c>
      <c r="C356" s="3233">
        <v>3260</v>
      </c>
      <c r="D356" s="3233">
        <v>3230</v>
      </c>
      <c r="E356" s="3233">
        <v>3740</v>
      </c>
      <c r="F356" s="3233">
        <v>600</v>
      </c>
      <c r="G356" s="3233">
        <v>1930</v>
      </c>
    </row>
    <row r="357" spans="1:7" s="3226" customFormat="1" ht="12" thickBot="1">
      <c r="A357" s="3241" t="s">
        <v>307</v>
      </c>
      <c r="B357" s="3244" t="s">
        <v>3164</v>
      </c>
      <c r="C357" s="3244">
        <v>3690</v>
      </c>
      <c r="D357" s="3244">
        <v>3650</v>
      </c>
      <c r="E357" s="3244">
        <v>4020</v>
      </c>
      <c r="F357" s="3244">
        <v>700</v>
      </c>
      <c r="G357" s="3244">
        <v>2190</v>
      </c>
    </row>
    <row r="358" spans="1:7" s="3226" customFormat="1">
      <c r="A358" s="3238" t="s">
        <v>3165</v>
      </c>
      <c r="B358" s="3229" t="s">
        <v>3166</v>
      </c>
      <c r="C358" s="3229">
        <v>2080</v>
      </c>
      <c r="D358" s="3229">
        <v>2040</v>
      </c>
      <c r="E358" s="3229">
        <v>2010</v>
      </c>
      <c r="F358" s="3229">
        <v>530</v>
      </c>
      <c r="G358" s="3245">
        <v>1230</v>
      </c>
    </row>
    <row r="359" spans="1:7" s="3226" customFormat="1">
      <c r="A359" s="3233" t="s">
        <v>3165</v>
      </c>
      <c r="B359" s="3233" t="s">
        <v>3167</v>
      </c>
      <c r="C359" s="3233">
        <v>1850</v>
      </c>
      <c r="D359" s="3233">
        <v>1820</v>
      </c>
      <c r="E359" s="3233">
        <v>1780</v>
      </c>
      <c r="F359" s="3233">
        <v>520</v>
      </c>
      <c r="G359" s="3246">
        <v>1100</v>
      </c>
    </row>
    <row r="360" spans="1:7" s="3226" customFormat="1">
      <c r="A360" s="3233" t="s">
        <v>3165</v>
      </c>
      <c r="B360" s="3233" t="s">
        <v>3168</v>
      </c>
      <c r="C360" s="3233">
        <v>2020</v>
      </c>
      <c r="D360" s="3233">
        <v>1990</v>
      </c>
      <c r="E360" s="3233">
        <v>1950</v>
      </c>
      <c r="F360" s="3233">
        <v>500</v>
      </c>
      <c r="G360" s="3246">
        <v>1200</v>
      </c>
    </row>
    <row r="361" spans="1:7" s="3226" customFormat="1">
      <c r="A361" s="3233" t="s">
        <v>3165</v>
      </c>
      <c r="B361" s="3233" t="s">
        <v>153</v>
      </c>
      <c r="C361" s="3233">
        <v>2260</v>
      </c>
      <c r="D361" s="3233">
        <v>2220</v>
      </c>
      <c r="E361" s="3233">
        <v>2180</v>
      </c>
      <c r="F361" s="3233">
        <v>580</v>
      </c>
      <c r="G361" s="3246">
        <v>1340</v>
      </c>
    </row>
    <row r="362" spans="1:7" s="3226" customFormat="1">
      <c r="A362" s="3233" t="s">
        <v>3165</v>
      </c>
      <c r="B362" s="3233" t="s">
        <v>3169</v>
      </c>
      <c r="C362" s="3233">
        <v>2650</v>
      </c>
      <c r="D362" s="3233">
        <v>2610</v>
      </c>
      <c r="E362" s="3233">
        <v>2570</v>
      </c>
      <c r="F362" s="3233">
        <v>630</v>
      </c>
      <c r="G362" s="3246">
        <v>1570</v>
      </c>
    </row>
    <row r="363" spans="1:7" s="3226" customFormat="1">
      <c r="A363" s="3233" t="s">
        <v>3165</v>
      </c>
      <c r="B363" s="3233" t="s">
        <v>2890</v>
      </c>
      <c r="C363" s="3233">
        <v>2390</v>
      </c>
      <c r="D363" s="3233">
        <v>2360</v>
      </c>
      <c r="E363" s="3233">
        <v>2320</v>
      </c>
      <c r="F363" s="3233">
        <v>600</v>
      </c>
      <c r="G363" s="3246">
        <v>1420</v>
      </c>
    </row>
    <row r="364" spans="1:7" s="3226" customFormat="1">
      <c r="A364" s="3233" t="s">
        <v>3165</v>
      </c>
      <c r="B364" s="3233" t="s">
        <v>3170</v>
      </c>
      <c r="C364" s="3233">
        <v>2050</v>
      </c>
      <c r="D364" s="3233">
        <v>2030</v>
      </c>
      <c r="E364" s="3233">
        <v>1990</v>
      </c>
      <c r="F364" s="3233">
        <v>550</v>
      </c>
      <c r="G364" s="3246">
        <v>1220</v>
      </c>
    </row>
    <row r="365" spans="1:7" s="3226" customFormat="1">
      <c r="A365" s="3233" t="s">
        <v>3165</v>
      </c>
      <c r="B365" s="3233" t="s">
        <v>200</v>
      </c>
      <c r="C365" s="3233">
        <v>2140</v>
      </c>
      <c r="D365" s="3233">
        <v>2100</v>
      </c>
      <c r="E365" s="3233">
        <v>2060</v>
      </c>
      <c r="F365" s="3233">
        <v>540</v>
      </c>
      <c r="G365" s="3246">
        <v>1270</v>
      </c>
    </row>
    <row r="366" spans="1:7" s="3226" customFormat="1">
      <c r="A366" s="3233" t="s">
        <v>3165</v>
      </c>
      <c r="B366" s="3233" t="s">
        <v>2897</v>
      </c>
      <c r="C366" s="3233">
        <v>2410</v>
      </c>
      <c r="D366" s="3233">
        <v>2370</v>
      </c>
      <c r="E366" s="3233">
        <v>2330</v>
      </c>
      <c r="F366" s="3233">
        <v>570</v>
      </c>
      <c r="G366" s="3246">
        <v>1440</v>
      </c>
    </row>
    <row r="367" spans="1:7" s="3226" customFormat="1">
      <c r="A367" s="3233" t="s">
        <v>3165</v>
      </c>
      <c r="B367" s="3233" t="s">
        <v>3171</v>
      </c>
      <c r="C367" s="3233">
        <v>2300</v>
      </c>
      <c r="D367" s="3233">
        <v>2260</v>
      </c>
      <c r="E367" s="3233">
        <v>2220</v>
      </c>
      <c r="F367" s="3233">
        <v>560</v>
      </c>
      <c r="G367" s="3246">
        <v>1370</v>
      </c>
    </row>
    <row r="368" spans="1:7" s="3226" customFormat="1">
      <c r="A368" s="3233" t="s">
        <v>3165</v>
      </c>
      <c r="B368" s="3233" t="s">
        <v>3172</v>
      </c>
      <c r="C368" s="3233">
        <v>2430</v>
      </c>
      <c r="D368" s="3233">
        <v>2390</v>
      </c>
      <c r="E368" s="3233">
        <v>2350</v>
      </c>
      <c r="F368" s="3233">
        <v>570</v>
      </c>
      <c r="G368" s="3246">
        <v>1450</v>
      </c>
    </row>
    <row r="369" spans="1:7" s="3226" customFormat="1">
      <c r="A369" s="3233" t="s">
        <v>3165</v>
      </c>
      <c r="B369" s="3233" t="s">
        <v>214</v>
      </c>
      <c r="C369" s="3233">
        <v>2320</v>
      </c>
      <c r="D369" s="3233">
        <v>2290</v>
      </c>
      <c r="E369" s="3233">
        <v>2250</v>
      </c>
      <c r="F369" s="3233">
        <v>550</v>
      </c>
      <c r="G369" s="3246">
        <v>1380</v>
      </c>
    </row>
    <row r="370" spans="1:7" s="3226" customFormat="1">
      <c r="A370" s="3233" t="s">
        <v>3165</v>
      </c>
      <c r="B370" s="3233" t="s">
        <v>221</v>
      </c>
      <c r="C370" s="3233">
        <v>2190</v>
      </c>
      <c r="D370" s="3233">
        <v>2170</v>
      </c>
      <c r="E370" s="3233">
        <v>2130</v>
      </c>
      <c r="F370" s="3233">
        <v>530</v>
      </c>
      <c r="G370" s="3246">
        <v>1310</v>
      </c>
    </row>
    <row r="371" spans="1:7" s="3226" customFormat="1">
      <c r="A371" s="3233" t="s">
        <v>3165</v>
      </c>
      <c r="B371" s="3233" t="s">
        <v>229</v>
      </c>
      <c r="C371" s="3233">
        <v>2460</v>
      </c>
      <c r="D371" s="3233">
        <v>2420</v>
      </c>
      <c r="E371" s="3233">
        <v>2370</v>
      </c>
      <c r="F371" s="3233">
        <v>560</v>
      </c>
      <c r="G371" s="3246">
        <v>1470</v>
      </c>
    </row>
    <row r="372" spans="1:7" s="3226" customFormat="1">
      <c r="A372" s="3233" t="s">
        <v>3165</v>
      </c>
      <c r="B372" s="3233" t="s">
        <v>3173</v>
      </c>
      <c r="C372" s="3233">
        <v>2250</v>
      </c>
      <c r="D372" s="3233">
        <v>2210</v>
      </c>
      <c r="E372" s="3233">
        <v>2180</v>
      </c>
      <c r="F372" s="3233">
        <v>550</v>
      </c>
      <c r="G372" s="3246">
        <v>1340</v>
      </c>
    </row>
    <row r="373" spans="1:7" s="3226" customFormat="1">
      <c r="A373" s="3233" t="s">
        <v>3165</v>
      </c>
      <c r="B373" s="3233" t="s">
        <v>258</v>
      </c>
      <c r="C373" s="3233">
        <v>2210</v>
      </c>
      <c r="D373" s="3233">
        <v>2190</v>
      </c>
      <c r="E373" s="3233">
        <v>2150</v>
      </c>
      <c r="F373" s="3233">
        <v>530</v>
      </c>
      <c r="G373" s="3246">
        <v>1320</v>
      </c>
    </row>
    <row r="374" spans="1:7" s="3226" customFormat="1">
      <c r="A374" s="3233" t="s">
        <v>3165</v>
      </c>
      <c r="B374" s="3233" t="s">
        <v>266</v>
      </c>
      <c r="C374" s="3233">
        <v>2320</v>
      </c>
      <c r="D374" s="3233">
        <v>2280</v>
      </c>
      <c r="E374" s="3233">
        <v>2230</v>
      </c>
      <c r="F374" s="3233">
        <v>580</v>
      </c>
      <c r="G374" s="3246">
        <v>1380</v>
      </c>
    </row>
    <row r="375" spans="1:7" s="3226" customFormat="1">
      <c r="A375" s="3233" t="s">
        <v>3165</v>
      </c>
      <c r="B375" s="3233" t="s">
        <v>3174</v>
      </c>
      <c r="C375" s="3233">
        <v>2090</v>
      </c>
      <c r="D375" s="3233">
        <v>2050</v>
      </c>
      <c r="E375" s="3233">
        <v>2020</v>
      </c>
      <c r="F375" s="3233">
        <v>520</v>
      </c>
      <c r="G375" s="3246">
        <v>1240</v>
      </c>
    </row>
    <row r="376" spans="1:7" s="3226" customFormat="1">
      <c r="A376" s="3233" t="s">
        <v>3165</v>
      </c>
      <c r="B376" s="3233" t="s">
        <v>277</v>
      </c>
      <c r="C376" s="3233">
        <v>2010</v>
      </c>
      <c r="D376" s="3233">
        <v>1980</v>
      </c>
      <c r="E376" s="3233">
        <v>1940</v>
      </c>
      <c r="F376" s="3233">
        <v>540</v>
      </c>
      <c r="G376" s="3246">
        <v>1190</v>
      </c>
    </row>
    <row r="377" spans="1:7" s="3226" customFormat="1" ht="12" thickBot="1">
      <c r="A377" s="3241" t="s">
        <v>3165</v>
      </c>
      <c r="B377" s="3244" t="s">
        <v>2927</v>
      </c>
      <c r="C377" s="3244">
        <v>1930</v>
      </c>
      <c r="D377" s="3244">
        <v>1890</v>
      </c>
      <c r="E377" s="3244">
        <v>1860</v>
      </c>
      <c r="F377" s="3244">
        <v>530</v>
      </c>
      <c r="G377" s="3249">
        <v>1150</v>
      </c>
    </row>
    <row r="378" spans="1:7" s="3226" customFormat="1">
      <c r="A378" s="3250" t="s">
        <v>3175</v>
      </c>
      <c r="B378" s="3229" t="s">
        <v>3176</v>
      </c>
      <c r="C378" s="3229">
        <v>1520</v>
      </c>
      <c r="D378" s="3229">
        <v>1490</v>
      </c>
      <c r="E378" s="3229">
        <v>1460</v>
      </c>
      <c r="F378" s="3229">
        <v>460</v>
      </c>
      <c r="G378" s="3245">
        <v>940</v>
      </c>
    </row>
    <row r="379" spans="1:7" s="3226" customFormat="1">
      <c r="A379" s="3251" t="s">
        <v>3175</v>
      </c>
      <c r="B379" s="3233" t="s">
        <v>3177</v>
      </c>
      <c r="C379" s="3233">
        <v>1500</v>
      </c>
      <c r="D379" s="3233">
        <v>1470</v>
      </c>
      <c r="E379" s="3233">
        <v>1430</v>
      </c>
      <c r="F379" s="3233">
        <v>460</v>
      </c>
      <c r="G379" s="3246">
        <v>920</v>
      </c>
    </row>
    <row r="380" spans="1:7" s="3226" customFormat="1">
      <c r="A380" s="3251" t="s">
        <v>3175</v>
      </c>
      <c r="B380" s="3233" t="s">
        <v>3178</v>
      </c>
      <c r="C380" s="3233">
        <v>1620</v>
      </c>
      <c r="D380" s="3233">
        <v>1590</v>
      </c>
      <c r="E380" s="3233">
        <v>1560</v>
      </c>
      <c r="F380" s="3233">
        <v>480</v>
      </c>
      <c r="G380" s="3246">
        <v>1000</v>
      </c>
    </row>
    <row r="381" spans="1:7" s="3226" customFormat="1">
      <c r="A381" s="3251" t="s">
        <v>3175</v>
      </c>
      <c r="B381" s="3233" t="s">
        <v>3179</v>
      </c>
      <c r="C381" s="3233">
        <v>1460</v>
      </c>
      <c r="D381" s="3233">
        <v>1430</v>
      </c>
      <c r="E381" s="3233">
        <v>1390</v>
      </c>
      <c r="F381" s="3233">
        <v>450</v>
      </c>
      <c r="G381" s="3246">
        <v>900</v>
      </c>
    </row>
    <row r="382" spans="1:7" s="3226" customFormat="1">
      <c r="A382" s="3251" t="s">
        <v>3175</v>
      </c>
      <c r="B382" s="3233" t="s">
        <v>3180</v>
      </c>
      <c r="C382" s="3233">
        <v>1310</v>
      </c>
      <c r="D382" s="3233">
        <v>1280</v>
      </c>
      <c r="E382" s="3233">
        <v>1250</v>
      </c>
      <c r="F382" s="3233">
        <v>440</v>
      </c>
      <c r="G382" s="3246">
        <v>800</v>
      </c>
    </row>
    <row r="383" spans="1:7" s="3226" customFormat="1">
      <c r="A383" s="3251" t="s">
        <v>3175</v>
      </c>
      <c r="B383" s="3233" t="s">
        <v>3181</v>
      </c>
      <c r="C383" s="3233">
        <v>1260</v>
      </c>
      <c r="D383" s="3233">
        <v>1230</v>
      </c>
      <c r="E383" s="3233">
        <v>1200</v>
      </c>
      <c r="F383" s="3233">
        <v>420</v>
      </c>
      <c r="G383" s="3246">
        <v>770</v>
      </c>
    </row>
    <row r="384" spans="1:7" s="3226" customFormat="1" ht="12" thickBot="1">
      <c r="A384" s="3252" t="s">
        <v>3175</v>
      </c>
      <c r="B384" s="3240" t="s">
        <v>3182</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2" t="s">
        <v>3183</v>
      </c>
      <c r="B1" s="3772"/>
    </row>
    <row r="2" spans="1:7" ht="14.25" thickBot="1">
      <c r="A2" s="3255"/>
      <c r="B2" s="3255"/>
    </row>
    <row r="3" spans="1:7" ht="14.25" thickBot="1">
      <c r="A3" s="3255"/>
      <c r="B3" s="3255"/>
      <c r="C3" s="3256" t="s">
        <v>2813</v>
      </c>
      <c r="D3" s="3256" t="s">
        <v>2869</v>
      </c>
      <c r="E3" s="3256" t="s">
        <v>2815</v>
      </c>
      <c r="F3" s="3256" t="s">
        <v>2870</v>
      </c>
      <c r="G3" s="3256" t="s">
        <v>2633</v>
      </c>
    </row>
    <row r="4" spans="1:7" ht="14.25" thickBot="1">
      <c r="A4" s="3257" t="s">
        <v>2868</v>
      </c>
      <c r="B4" s="3258" t="s">
        <v>2874</v>
      </c>
      <c r="C4" s="3256"/>
      <c r="D4" s="3256"/>
      <c r="E4" s="3256"/>
      <c r="F4" s="3256"/>
      <c r="G4" s="3256"/>
    </row>
    <row r="5" spans="1:7">
      <c r="A5" s="3259" t="s">
        <v>2842</v>
      </c>
      <c r="B5" s="3260" t="s">
        <v>2856</v>
      </c>
      <c r="C5" s="3261">
        <v>9.8000000000000004E-2</v>
      </c>
      <c r="D5" s="3261">
        <v>8.6999999999999994E-2</v>
      </c>
      <c r="E5" s="3261">
        <v>8.6999999999999994E-2</v>
      </c>
      <c r="F5" s="3261">
        <v>9.8000000000000004E-2</v>
      </c>
      <c r="G5" s="3262">
        <v>9.5000000000000001E-2</v>
      </c>
    </row>
    <row r="6" spans="1:7">
      <c r="A6" s="3263" t="s">
        <v>144</v>
      </c>
      <c r="B6" s="3264" t="s">
        <v>2871</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2857</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2907</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2925</v>
      </c>
      <c r="C29" s="3273"/>
      <c r="D29" s="3269">
        <v>5.1999999999999998E-2</v>
      </c>
      <c r="E29" s="3269">
        <v>7.0000000000000007E-2</v>
      </c>
      <c r="F29" s="3273"/>
      <c r="G29" s="3271">
        <v>7.0999999999999994E-2</v>
      </c>
    </row>
    <row r="30" spans="1:7">
      <c r="A30" s="3274" t="s">
        <v>296</v>
      </c>
      <c r="B30" s="3260" t="s">
        <v>2858</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2844</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2928</v>
      </c>
      <c r="C50" s="3265">
        <v>9.8000000000000004E-2</v>
      </c>
      <c r="D50" s="3265">
        <v>7.2999999999999995E-2</v>
      </c>
      <c r="E50" s="3265">
        <v>7.0999999999999994E-2</v>
      </c>
      <c r="F50" s="3276"/>
      <c r="G50" s="3266">
        <v>7.2999999999999995E-2</v>
      </c>
    </row>
    <row r="51" spans="1:7">
      <c r="A51" s="3275" t="s">
        <v>296</v>
      </c>
      <c r="B51" s="3264" t="s">
        <v>2930</v>
      </c>
      <c r="C51" s="3265">
        <v>9.9000000000000005E-2</v>
      </c>
      <c r="D51" s="3265">
        <v>8.5000000000000006E-2</v>
      </c>
      <c r="E51" s="3265">
        <v>6.3E-2</v>
      </c>
      <c r="F51" s="3276"/>
      <c r="G51" s="3266">
        <v>9.6000000000000002E-2</v>
      </c>
    </row>
    <row r="52" spans="1:7">
      <c r="A52" s="3275" t="s">
        <v>296</v>
      </c>
      <c r="B52" s="3264" t="s">
        <v>2934</v>
      </c>
      <c r="C52" s="3265">
        <v>7.3999999999999996E-2</v>
      </c>
      <c r="D52" s="3265">
        <v>9.6000000000000002E-2</v>
      </c>
      <c r="E52" s="3265">
        <v>0.05</v>
      </c>
      <c r="F52" s="3276"/>
      <c r="G52" s="3266">
        <v>9.8000000000000004E-2</v>
      </c>
    </row>
    <row r="53" spans="1:7">
      <c r="A53" s="3275" t="s">
        <v>296</v>
      </c>
      <c r="B53" s="3264" t="s">
        <v>2939</v>
      </c>
      <c r="C53" s="3265">
        <v>8.5999999999999993E-2</v>
      </c>
      <c r="D53" s="3276"/>
      <c r="E53" s="3265">
        <v>9.1999999999999998E-2</v>
      </c>
      <c r="F53" s="3276"/>
      <c r="G53" s="3277"/>
    </row>
    <row r="54" spans="1:7" ht="14.25" thickBot="1">
      <c r="A54" s="3278" t="s">
        <v>296</v>
      </c>
      <c r="B54" s="3268" t="s">
        <v>2942</v>
      </c>
      <c r="C54" s="3269">
        <v>9.6000000000000002E-2</v>
      </c>
      <c r="D54" s="3270"/>
      <c r="E54" s="3279"/>
      <c r="F54" s="3270"/>
      <c r="G54" s="3280"/>
    </row>
    <row r="55" spans="1:7">
      <c r="A55" s="3274" t="s">
        <v>110</v>
      </c>
      <c r="B55" s="3260" t="s">
        <v>2859</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2940</v>
      </c>
      <c r="C78" s="3265">
        <v>0.1</v>
      </c>
      <c r="D78" s="3265">
        <v>8.5000000000000006E-2</v>
      </c>
      <c r="E78" s="3265">
        <v>9.6000000000000002E-2</v>
      </c>
      <c r="F78" s="3276"/>
      <c r="G78" s="3266">
        <v>9.6000000000000002E-2</v>
      </c>
    </row>
    <row r="79" spans="1:7">
      <c r="A79" s="3275" t="s">
        <v>110</v>
      </c>
      <c r="B79" s="3264" t="s">
        <v>2943</v>
      </c>
      <c r="C79" s="3265">
        <v>0.05</v>
      </c>
      <c r="D79" s="3265">
        <v>9.6000000000000002E-2</v>
      </c>
      <c r="E79" s="3265">
        <v>9.5000000000000001E-2</v>
      </c>
      <c r="F79" s="3276"/>
      <c r="G79" s="3266">
        <v>9.8000000000000004E-2</v>
      </c>
    </row>
    <row r="80" spans="1:7">
      <c r="A80" s="3275" t="s">
        <v>110</v>
      </c>
      <c r="B80" s="3264" t="s">
        <v>2947</v>
      </c>
      <c r="C80" s="3265">
        <v>8.5999999999999993E-2</v>
      </c>
      <c r="D80" s="3281"/>
      <c r="E80" s="3265">
        <v>0.1</v>
      </c>
      <c r="F80" s="3276"/>
      <c r="G80" s="3277"/>
    </row>
    <row r="81" spans="1:7">
      <c r="A81" s="3275" t="s">
        <v>110</v>
      </c>
      <c r="B81" s="3264" t="s">
        <v>2952</v>
      </c>
      <c r="C81" s="3265">
        <v>9.6000000000000002E-2</v>
      </c>
      <c r="D81" s="3276"/>
      <c r="E81" s="3265">
        <v>9.8000000000000004E-2</v>
      </c>
      <c r="F81" s="3276"/>
      <c r="G81" s="3277"/>
    </row>
    <row r="82" spans="1:7">
      <c r="A82" s="3275" t="s">
        <v>110</v>
      </c>
      <c r="B82" s="3264" t="s">
        <v>2959</v>
      </c>
      <c r="C82" s="3281"/>
      <c r="D82" s="3276"/>
      <c r="E82" s="3265">
        <v>7.6999999999999999E-2</v>
      </c>
      <c r="F82" s="3276"/>
      <c r="G82" s="3277"/>
    </row>
    <row r="83" spans="1:7">
      <c r="A83" s="3275" t="s">
        <v>110</v>
      </c>
      <c r="B83" s="3264" t="s">
        <v>2965</v>
      </c>
      <c r="C83" s="3276"/>
      <c r="D83" s="3276"/>
      <c r="E83" s="3276"/>
      <c r="F83" s="3265">
        <v>0.1</v>
      </c>
      <c r="G83" s="3282"/>
    </row>
    <row r="84" spans="1:7">
      <c r="A84" s="3275" t="s">
        <v>110</v>
      </c>
      <c r="B84" s="3264" t="s">
        <v>2972</v>
      </c>
      <c r="C84" s="3276"/>
      <c r="D84" s="3276"/>
      <c r="E84" s="3276"/>
      <c r="F84" s="3265">
        <v>0.1</v>
      </c>
      <c r="G84" s="3282"/>
    </row>
    <row r="85" spans="1:7">
      <c r="A85" s="3275" t="s">
        <v>110</v>
      </c>
      <c r="B85" s="3264" t="s">
        <v>2979</v>
      </c>
      <c r="C85" s="3276"/>
      <c r="D85" s="3276"/>
      <c r="E85" s="3276"/>
      <c r="F85" s="3265">
        <v>0.1</v>
      </c>
      <c r="G85" s="3282"/>
    </row>
    <row r="86" spans="1:7" ht="14.25" thickBot="1">
      <c r="A86" s="3278" t="s">
        <v>110</v>
      </c>
      <c r="B86" s="3268" t="s">
        <v>2984</v>
      </c>
      <c r="C86" s="3269">
        <v>9.8000000000000004E-2</v>
      </c>
      <c r="D86" s="3269">
        <v>9.8000000000000004E-2</v>
      </c>
      <c r="E86" s="3269">
        <v>9.6000000000000002E-2</v>
      </c>
      <c r="F86" s="3279"/>
      <c r="G86" s="3271">
        <v>0.1</v>
      </c>
    </row>
    <row r="87" spans="1:7">
      <c r="A87" s="3274" t="s">
        <v>303</v>
      </c>
      <c r="B87" s="3260" t="s">
        <v>2860</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2953</v>
      </c>
      <c r="C113" s="3265">
        <v>0.1</v>
      </c>
      <c r="D113" s="3265">
        <v>0.1</v>
      </c>
      <c r="E113" s="3276"/>
      <c r="F113" s="3276"/>
      <c r="G113" s="3266">
        <v>0.1</v>
      </c>
    </row>
    <row r="114" spans="1:7">
      <c r="A114" s="3275" t="s">
        <v>303</v>
      </c>
      <c r="B114" s="3264" t="s">
        <v>2960</v>
      </c>
      <c r="C114" s="3265">
        <v>9.7000000000000003E-2</v>
      </c>
      <c r="D114" s="3265">
        <v>9.7000000000000003E-2</v>
      </c>
      <c r="E114" s="3276"/>
      <c r="F114" s="3276"/>
      <c r="G114" s="3266">
        <v>9.9000000000000005E-2</v>
      </c>
    </row>
    <row r="115" spans="1:7">
      <c r="A115" s="3275" t="s">
        <v>303</v>
      </c>
      <c r="B115" s="3264" t="s">
        <v>2966</v>
      </c>
      <c r="C115" s="3265">
        <v>0.1</v>
      </c>
      <c r="D115" s="3265">
        <v>0.1</v>
      </c>
      <c r="E115" s="3276"/>
      <c r="F115" s="3276"/>
      <c r="G115" s="3266">
        <v>0.1</v>
      </c>
    </row>
    <row r="116" spans="1:7">
      <c r="A116" s="3275" t="s">
        <v>303</v>
      </c>
      <c r="B116" s="3264" t="s">
        <v>2973</v>
      </c>
      <c r="C116" s="3265">
        <v>0.1</v>
      </c>
      <c r="D116" s="3265">
        <v>0.1</v>
      </c>
      <c r="E116" s="3276"/>
      <c r="F116" s="3276"/>
      <c r="G116" s="3266">
        <v>0.1</v>
      </c>
    </row>
    <row r="117" spans="1:7">
      <c r="A117" s="3275" t="s">
        <v>303</v>
      </c>
      <c r="B117" s="3264" t="s">
        <v>2980</v>
      </c>
      <c r="C117" s="3265">
        <v>9.7000000000000003E-2</v>
      </c>
      <c r="D117" s="3265">
        <v>9.7000000000000003E-2</v>
      </c>
      <c r="E117" s="3276"/>
      <c r="F117" s="3276"/>
      <c r="G117" s="3266">
        <v>9.7000000000000003E-2</v>
      </c>
    </row>
    <row r="118" spans="1:7">
      <c r="A118" s="3275" t="s">
        <v>303</v>
      </c>
      <c r="B118" s="3264" t="s">
        <v>2985</v>
      </c>
      <c r="C118" s="3265">
        <v>0.1</v>
      </c>
      <c r="D118" s="3265">
        <v>0.1</v>
      </c>
      <c r="E118" s="3276"/>
      <c r="F118" s="3276"/>
      <c r="G118" s="3266">
        <v>0.1</v>
      </c>
    </row>
    <row r="119" spans="1:7">
      <c r="A119" s="3275" t="s">
        <v>303</v>
      </c>
      <c r="B119" s="3264" t="s">
        <v>2989</v>
      </c>
      <c r="C119" s="3265">
        <v>5.0999999999999997E-2</v>
      </c>
      <c r="D119" s="3265">
        <v>5.1999999999999998E-2</v>
      </c>
      <c r="E119" s="3276"/>
      <c r="F119" s="3281"/>
      <c r="G119" s="3266">
        <v>0.06</v>
      </c>
    </row>
    <row r="120" spans="1:7">
      <c r="A120" s="3275" t="s">
        <v>303</v>
      </c>
      <c r="B120" s="3264" t="s">
        <v>2993</v>
      </c>
      <c r="C120" s="3276"/>
      <c r="D120" s="3276"/>
      <c r="E120" s="3276"/>
      <c r="F120" s="3265">
        <v>0.1</v>
      </c>
      <c r="G120" s="3282"/>
    </row>
    <row r="121" spans="1:7">
      <c r="A121" s="3275" t="s">
        <v>303</v>
      </c>
      <c r="B121" s="3264" t="s">
        <v>2998</v>
      </c>
      <c r="C121" s="3276"/>
      <c r="D121" s="3276"/>
      <c r="E121" s="3276"/>
      <c r="F121" s="3265">
        <v>0.1</v>
      </c>
      <c r="G121" s="3282"/>
    </row>
    <row r="122" spans="1:7">
      <c r="A122" s="3275" t="s">
        <v>303</v>
      </c>
      <c r="B122" s="3264" t="s">
        <v>3003</v>
      </c>
      <c r="C122" s="3265">
        <v>0.1</v>
      </c>
      <c r="D122" s="3265">
        <v>0.1</v>
      </c>
      <c r="E122" s="3265">
        <v>9.8000000000000004E-2</v>
      </c>
      <c r="F122" s="3265">
        <v>0.1</v>
      </c>
      <c r="G122" s="3266">
        <v>0.1</v>
      </c>
    </row>
    <row r="123" spans="1:7">
      <c r="A123" s="3275" t="s">
        <v>303</v>
      </c>
      <c r="B123" s="3264" t="s">
        <v>3008</v>
      </c>
      <c r="C123" s="3265">
        <v>0.1</v>
      </c>
      <c r="D123" s="3265">
        <v>0.1</v>
      </c>
      <c r="E123" s="3265">
        <v>9.8000000000000004E-2</v>
      </c>
      <c r="F123" s="3265">
        <v>0.1</v>
      </c>
      <c r="G123" s="3266">
        <v>0.1</v>
      </c>
    </row>
    <row r="124" spans="1:7">
      <c r="A124" s="3275" t="s">
        <v>303</v>
      </c>
      <c r="B124" s="3264" t="s">
        <v>3013</v>
      </c>
      <c r="C124" s="3265">
        <v>0.1</v>
      </c>
      <c r="D124" s="3265">
        <v>0.1</v>
      </c>
      <c r="E124" s="3265">
        <v>9.8000000000000004E-2</v>
      </c>
      <c r="F124" s="3281"/>
      <c r="G124" s="3266">
        <v>0.1</v>
      </c>
    </row>
    <row r="125" spans="1:7">
      <c r="A125" s="3275" t="s">
        <v>303</v>
      </c>
      <c r="B125" s="3264" t="s">
        <v>3018</v>
      </c>
      <c r="C125" s="3265">
        <v>9.8000000000000004E-2</v>
      </c>
      <c r="D125" s="3265">
        <v>9.8000000000000004E-2</v>
      </c>
      <c r="E125" s="3265">
        <v>9.6000000000000002E-2</v>
      </c>
      <c r="F125" s="3281"/>
      <c r="G125" s="3266">
        <v>0.1</v>
      </c>
    </row>
    <row r="126" spans="1:7" ht="14.25" thickBot="1">
      <c r="A126" s="3278" t="s">
        <v>303</v>
      </c>
      <c r="B126" s="3268" t="s">
        <v>3184</v>
      </c>
      <c r="C126" s="3269">
        <v>0.1</v>
      </c>
      <c r="D126" s="3269">
        <v>0.1</v>
      </c>
      <c r="E126" s="3269">
        <v>9.8000000000000004E-2</v>
      </c>
      <c r="F126" s="3269">
        <v>0.1</v>
      </c>
      <c r="G126" s="3271">
        <v>0.1</v>
      </c>
    </row>
    <row r="127" spans="1:7">
      <c r="A127" s="3274" t="s">
        <v>29</v>
      </c>
      <c r="B127" s="3260" t="s">
        <v>2861</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2931</v>
      </c>
      <c r="C148" s="3265">
        <v>0.13</v>
      </c>
      <c r="D148" s="3265">
        <v>0.13</v>
      </c>
      <c r="E148" s="3265">
        <v>0.13</v>
      </c>
      <c r="F148" s="3276"/>
      <c r="G148" s="3266">
        <v>0.13</v>
      </c>
    </row>
    <row r="149" spans="1:7">
      <c r="A149" s="3275" t="s">
        <v>29</v>
      </c>
      <c r="B149" s="3264" t="s">
        <v>2935</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2954</v>
      </c>
      <c r="C153" s="3265">
        <v>0.13</v>
      </c>
      <c r="D153" s="3265">
        <v>0.13</v>
      </c>
      <c r="E153" s="3265">
        <v>0.13</v>
      </c>
      <c r="F153" s="3265">
        <v>0.13</v>
      </c>
      <c r="G153" s="3266">
        <v>0.13</v>
      </c>
    </row>
    <row r="154" spans="1:7">
      <c r="A154" s="3275" t="s">
        <v>29</v>
      </c>
      <c r="B154" s="3264" t="s">
        <v>2961</v>
      </c>
      <c r="C154" s="3265">
        <v>0.121</v>
      </c>
      <c r="D154" s="3265">
        <v>0.121</v>
      </c>
      <c r="E154" s="3265">
        <v>0.105</v>
      </c>
      <c r="F154" s="3265">
        <v>0.121</v>
      </c>
      <c r="G154" s="3266">
        <v>0.123</v>
      </c>
    </row>
    <row r="155" spans="1:7">
      <c r="A155" s="3275" t="s">
        <v>29</v>
      </c>
      <c r="B155" s="3264" t="s">
        <v>2967</v>
      </c>
      <c r="C155" s="3265">
        <v>0.1</v>
      </c>
      <c r="D155" s="3265">
        <v>0.1</v>
      </c>
      <c r="E155" s="3265">
        <v>0.1</v>
      </c>
      <c r="F155" s="3265">
        <v>0.1</v>
      </c>
      <c r="G155" s="3266">
        <v>0.1</v>
      </c>
    </row>
    <row r="156" spans="1:7">
      <c r="A156" s="3275" t="s">
        <v>29</v>
      </c>
      <c r="B156" s="3264" t="s">
        <v>2974</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2994</v>
      </c>
      <c r="C160" s="3265">
        <v>0.13</v>
      </c>
      <c r="D160" s="3265">
        <v>0.13</v>
      </c>
      <c r="E160" s="3265">
        <v>0.124</v>
      </c>
      <c r="F160" s="3265">
        <v>0.126</v>
      </c>
      <c r="G160" s="3266">
        <v>0.13</v>
      </c>
    </row>
    <row r="161" spans="1:7">
      <c r="A161" s="3275" t="s">
        <v>29</v>
      </c>
      <c r="B161" s="3264" t="s">
        <v>2999</v>
      </c>
      <c r="C161" s="3265">
        <v>0.13</v>
      </c>
      <c r="D161" s="3265">
        <v>0.13</v>
      </c>
      <c r="E161" s="3265">
        <v>0.124</v>
      </c>
      <c r="F161" s="3265">
        <v>0.127</v>
      </c>
      <c r="G161" s="3266">
        <v>0.13</v>
      </c>
    </row>
    <row r="162" spans="1:7">
      <c r="A162" s="3275" t="s">
        <v>29</v>
      </c>
      <c r="B162" s="3264" t="s">
        <v>3004</v>
      </c>
      <c r="C162" s="3265">
        <v>0.1</v>
      </c>
      <c r="D162" s="3265">
        <v>0.1</v>
      </c>
      <c r="E162" s="3265">
        <v>0.1</v>
      </c>
      <c r="F162" s="3265">
        <v>0.121</v>
      </c>
      <c r="G162" s="3266">
        <v>0.105</v>
      </c>
    </row>
    <row r="163" spans="1:7">
      <c r="A163" s="3275" t="s">
        <v>29</v>
      </c>
      <c r="B163" s="3264" t="s">
        <v>3009</v>
      </c>
      <c r="C163" s="3265">
        <v>0.1</v>
      </c>
      <c r="D163" s="3265">
        <v>0.1</v>
      </c>
      <c r="E163" s="3265">
        <v>0.1</v>
      </c>
      <c r="F163" s="3265">
        <v>0.1</v>
      </c>
      <c r="G163" s="3266">
        <v>0.1</v>
      </c>
    </row>
    <row r="164" spans="1:7">
      <c r="A164" s="3275" t="s">
        <v>29</v>
      </c>
      <c r="B164" s="3264" t="s">
        <v>3014</v>
      </c>
      <c r="C164" s="3281"/>
      <c r="D164" s="3281"/>
      <c r="E164" s="3281"/>
      <c r="F164" s="3265">
        <v>0.1</v>
      </c>
      <c r="G164" s="3277"/>
    </row>
    <row r="165" spans="1:7">
      <c r="A165" s="3275" t="s">
        <v>29</v>
      </c>
      <c r="B165" s="3264" t="s">
        <v>3185</v>
      </c>
      <c r="C165" s="3265">
        <v>0.126</v>
      </c>
      <c r="D165" s="3265">
        <v>0.126</v>
      </c>
      <c r="E165" s="3265">
        <v>0.11899999999999999</v>
      </c>
      <c r="F165" s="3265">
        <v>0.13</v>
      </c>
      <c r="G165" s="3266">
        <v>0.128</v>
      </c>
    </row>
    <row r="166" spans="1:7">
      <c r="A166" s="3275" t="s">
        <v>29</v>
      </c>
      <c r="B166" s="3264" t="s">
        <v>3024</v>
      </c>
      <c r="C166" s="3265">
        <v>0.129</v>
      </c>
      <c r="D166" s="3265">
        <v>0.129</v>
      </c>
      <c r="E166" s="3265">
        <v>0.123</v>
      </c>
      <c r="F166" s="3265">
        <v>0.128</v>
      </c>
      <c r="G166" s="3266">
        <v>0.13</v>
      </c>
    </row>
    <row r="167" spans="1:7">
      <c r="A167" s="3275" t="s">
        <v>29</v>
      </c>
      <c r="B167" s="3264" t="s">
        <v>3028</v>
      </c>
      <c r="C167" s="3265">
        <v>0.125</v>
      </c>
      <c r="D167" s="3265">
        <v>0.125</v>
      </c>
      <c r="E167" s="3265">
        <v>0.11700000000000001</v>
      </c>
      <c r="F167" s="3265">
        <v>0.13</v>
      </c>
      <c r="G167" s="3266">
        <v>0.126</v>
      </c>
    </row>
    <row r="168" spans="1:7">
      <c r="A168" s="3275" t="s">
        <v>29</v>
      </c>
      <c r="B168" s="3264" t="s">
        <v>3033</v>
      </c>
      <c r="C168" s="3265">
        <v>0.128</v>
      </c>
      <c r="D168" s="3265">
        <v>0.128</v>
      </c>
      <c r="E168" s="3265">
        <v>0.123</v>
      </c>
      <c r="F168" s="3276"/>
      <c r="G168" s="3266">
        <v>0.13</v>
      </c>
    </row>
    <row r="169" spans="1:7">
      <c r="A169" s="3275" t="s">
        <v>29</v>
      </c>
      <c r="B169" s="3264" t="s">
        <v>3186</v>
      </c>
      <c r="C169" s="3281"/>
      <c r="D169" s="3281"/>
      <c r="E169" s="3281"/>
      <c r="F169" s="3265">
        <v>0.05</v>
      </c>
      <c r="G169" s="3277"/>
    </row>
    <row r="170" spans="1:7">
      <c r="A170" s="3275" t="s">
        <v>29</v>
      </c>
      <c r="B170" s="3264" t="s">
        <v>3187</v>
      </c>
      <c r="C170" s="3281"/>
      <c r="D170" s="3281"/>
      <c r="E170" s="3281"/>
      <c r="F170" s="3265">
        <v>0.05</v>
      </c>
      <c r="G170" s="3277"/>
    </row>
    <row r="171" spans="1:7">
      <c r="A171" s="3275" t="s">
        <v>29</v>
      </c>
      <c r="B171" s="3264" t="s">
        <v>3188</v>
      </c>
      <c r="C171" s="3281"/>
      <c r="D171" s="3281"/>
      <c r="E171" s="3281"/>
      <c r="F171" s="3265">
        <v>0.05</v>
      </c>
      <c r="G171" s="3282"/>
    </row>
    <row r="172" spans="1:7">
      <c r="A172" s="3275" t="s">
        <v>29</v>
      </c>
      <c r="B172" s="3264" t="s">
        <v>3189</v>
      </c>
      <c r="C172" s="3281"/>
      <c r="D172" s="3281"/>
      <c r="E172" s="3281"/>
      <c r="F172" s="3265">
        <v>0.05</v>
      </c>
      <c r="G172" s="3282"/>
    </row>
    <row r="173" spans="1:7">
      <c r="A173" s="3275" t="s">
        <v>29</v>
      </c>
      <c r="B173" s="3264" t="s">
        <v>3190</v>
      </c>
      <c r="C173" s="3281"/>
      <c r="D173" s="3281"/>
      <c r="E173" s="3281"/>
      <c r="F173" s="3265">
        <v>0.05</v>
      </c>
      <c r="G173" s="3277"/>
    </row>
    <row r="174" spans="1:7">
      <c r="A174" s="3275" t="s">
        <v>29</v>
      </c>
      <c r="B174" s="3264" t="s">
        <v>3191</v>
      </c>
      <c r="C174" s="3281"/>
      <c r="D174" s="3281"/>
      <c r="E174" s="3281"/>
      <c r="F174" s="3265">
        <v>0.05</v>
      </c>
      <c r="G174" s="3277"/>
    </row>
    <row r="175" spans="1:7">
      <c r="A175" s="3275" t="s">
        <v>29</v>
      </c>
      <c r="B175" s="3264" t="s">
        <v>3192</v>
      </c>
      <c r="C175" s="3281"/>
      <c r="D175" s="3281"/>
      <c r="E175" s="3281"/>
      <c r="F175" s="3265">
        <v>0.05</v>
      </c>
      <c r="G175" s="3277"/>
    </row>
    <row r="176" spans="1:7">
      <c r="A176" s="3275" t="s">
        <v>29</v>
      </c>
      <c r="B176" s="3264" t="s">
        <v>3193</v>
      </c>
      <c r="C176" s="3281"/>
      <c r="D176" s="3281"/>
      <c r="E176" s="3281"/>
      <c r="F176" s="3265">
        <v>0.05</v>
      </c>
      <c r="G176" s="3277"/>
    </row>
    <row r="177" spans="1:7">
      <c r="A177" s="3275" t="s">
        <v>29</v>
      </c>
      <c r="B177" s="3264" t="s">
        <v>3194</v>
      </c>
      <c r="C177" s="3276"/>
      <c r="D177" s="3276"/>
      <c r="E177" s="3276"/>
      <c r="F177" s="3265">
        <v>0.05</v>
      </c>
      <c r="G177" s="3282"/>
    </row>
    <row r="178" spans="1:7">
      <c r="A178" s="3275" t="s">
        <v>29</v>
      </c>
      <c r="B178" s="3264" t="s">
        <v>3195</v>
      </c>
      <c r="C178" s="3276"/>
      <c r="D178" s="3276"/>
      <c r="E178" s="3276"/>
      <c r="F178" s="3265">
        <v>0.05</v>
      </c>
      <c r="G178" s="3282"/>
    </row>
    <row r="179" spans="1:7">
      <c r="A179" s="3275" t="s">
        <v>29</v>
      </c>
      <c r="B179" s="3264" t="s">
        <v>3196</v>
      </c>
      <c r="C179" s="3276"/>
      <c r="D179" s="3276"/>
      <c r="E179" s="3276"/>
      <c r="F179" s="3265">
        <v>0.05</v>
      </c>
      <c r="G179" s="3282"/>
    </row>
    <row r="180" spans="1:7">
      <c r="A180" s="3275" t="s">
        <v>29</v>
      </c>
      <c r="B180" s="3264" t="s">
        <v>3197</v>
      </c>
      <c r="C180" s="3276"/>
      <c r="D180" s="3276"/>
      <c r="E180" s="3276"/>
      <c r="F180" s="3265">
        <v>0.05</v>
      </c>
      <c r="G180" s="3282"/>
    </row>
    <row r="181" spans="1:7">
      <c r="A181" s="3275" t="s">
        <v>29</v>
      </c>
      <c r="B181" s="3264" t="s">
        <v>3198</v>
      </c>
      <c r="C181" s="3276"/>
      <c r="D181" s="3276"/>
      <c r="E181" s="3276"/>
      <c r="F181" s="3265">
        <v>0.05</v>
      </c>
      <c r="G181" s="3282"/>
    </row>
    <row r="182" spans="1:7">
      <c r="A182" s="3275" t="s">
        <v>29</v>
      </c>
      <c r="B182" s="3264" t="s">
        <v>3199</v>
      </c>
      <c r="C182" s="3276"/>
      <c r="D182" s="3276"/>
      <c r="E182" s="3276"/>
      <c r="F182" s="3265">
        <v>0.05</v>
      </c>
      <c r="G182" s="3282"/>
    </row>
    <row r="183" spans="1:7">
      <c r="A183" s="3275" t="s">
        <v>29</v>
      </c>
      <c r="B183" s="3264" t="s">
        <v>3200</v>
      </c>
      <c r="C183" s="3276"/>
      <c r="D183" s="3276"/>
      <c r="E183" s="3276"/>
      <c r="F183" s="3265">
        <v>0.05</v>
      </c>
      <c r="G183" s="3282"/>
    </row>
    <row r="184" spans="1:7">
      <c r="A184" s="3275" t="s">
        <v>29</v>
      </c>
      <c r="B184" s="3264" t="s">
        <v>3201</v>
      </c>
      <c r="C184" s="3276"/>
      <c r="D184" s="3276"/>
      <c r="E184" s="3276"/>
      <c r="F184" s="3265">
        <v>0.05</v>
      </c>
      <c r="G184" s="3282"/>
    </row>
    <row r="185" spans="1:7">
      <c r="A185" s="3275" t="s">
        <v>29</v>
      </c>
      <c r="B185" s="3264" t="s">
        <v>3202</v>
      </c>
      <c r="C185" s="3276"/>
      <c r="D185" s="3276"/>
      <c r="E185" s="3276"/>
      <c r="F185" s="3265">
        <v>0.05</v>
      </c>
      <c r="G185" s="3282"/>
    </row>
    <row r="186" spans="1:7">
      <c r="A186" s="3275" t="s">
        <v>29</v>
      </c>
      <c r="B186" s="3264" t="s">
        <v>3203</v>
      </c>
      <c r="C186" s="3276"/>
      <c r="D186" s="3276"/>
      <c r="E186" s="3276"/>
      <c r="F186" s="3265">
        <v>0.05</v>
      </c>
      <c r="G186" s="3282"/>
    </row>
    <row r="187" spans="1:7">
      <c r="A187" s="3275" t="s">
        <v>29</v>
      </c>
      <c r="B187" s="3264" t="s">
        <v>3204</v>
      </c>
      <c r="C187" s="3276"/>
      <c r="D187" s="3276"/>
      <c r="E187" s="3276"/>
      <c r="F187" s="3265">
        <v>0.05</v>
      </c>
      <c r="G187" s="3282"/>
    </row>
    <row r="188" spans="1:7">
      <c r="A188" s="3275" t="s">
        <v>29</v>
      </c>
      <c r="B188" s="3264" t="s">
        <v>3205</v>
      </c>
      <c r="C188" s="3276"/>
      <c r="D188" s="3276"/>
      <c r="E188" s="3276"/>
      <c r="F188" s="3265">
        <v>0.05</v>
      </c>
      <c r="G188" s="3282"/>
    </row>
    <row r="189" spans="1:7" ht="14.25" thickBot="1">
      <c r="A189" s="3278" t="s">
        <v>29</v>
      </c>
      <c r="B189" s="3268" t="s">
        <v>3206</v>
      </c>
      <c r="C189" s="3270"/>
      <c r="D189" s="3270"/>
      <c r="E189" s="3270"/>
      <c r="F189" s="3269">
        <v>0.05</v>
      </c>
      <c r="G189" s="3283"/>
    </row>
    <row r="190" spans="1:7">
      <c r="A190" s="3274" t="s">
        <v>304</v>
      </c>
      <c r="B190" s="3260" t="s">
        <v>2862</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2898</v>
      </c>
      <c r="C199" s="3265">
        <v>0.13</v>
      </c>
      <c r="D199" s="3265">
        <v>0.13</v>
      </c>
      <c r="E199" s="3265">
        <v>0.13</v>
      </c>
      <c r="F199" s="3265">
        <v>0.13</v>
      </c>
      <c r="G199" s="3266">
        <v>0.13</v>
      </c>
    </row>
    <row r="200" spans="1:7">
      <c r="A200" s="3275" t="s">
        <v>304</v>
      </c>
      <c r="B200" s="3264" t="s">
        <v>2901</v>
      </c>
      <c r="C200" s="3281"/>
      <c r="D200" s="3281"/>
      <c r="E200" s="3281"/>
      <c r="F200" s="3265">
        <v>0.13</v>
      </c>
      <c r="G200" s="3277"/>
    </row>
    <row r="201" spans="1:7">
      <c r="A201" s="3275" t="s">
        <v>304</v>
      </c>
      <c r="B201" s="3264" t="s">
        <v>2906</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2909</v>
      </c>
      <c r="C203" s="3265">
        <v>0.129</v>
      </c>
      <c r="D203" s="3265">
        <v>0.129</v>
      </c>
      <c r="E203" s="3265">
        <v>0.13</v>
      </c>
      <c r="F203" s="3265">
        <v>0.13</v>
      </c>
      <c r="G203" s="3266">
        <v>0.13</v>
      </c>
    </row>
    <row r="204" spans="1:7">
      <c r="A204" s="3275" t="s">
        <v>304</v>
      </c>
      <c r="B204" s="3264" t="s">
        <v>2912</v>
      </c>
      <c r="C204" s="3265">
        <v>0.129</v>
      </c>
      <c r="D204" s="3265">
        <v>0.129</v>
      </c>
      <c r="E204" s="3265">
        <v>0.123</v>
      </c>
      <c r="F204" s="3265">
        <v>0.13</v>
      </c>
      <c r="G204" s="3266">
        <v>0.13</v>
      </c>
    </row>
    <row r="205" spans="1:7">
      <c r="A205" s="3275" t="s">
        <v>304</v>
      </c>
      <c r="B205" s="3264" t="s">
        <v>2914</v>
      </c>
      <c r="C205" s="3265">
        <v>0.13</v>
      </c>
      <c r="D205" s="3265">
        <v>0.13</v>
      </c>
      <c r="E205" s="3265">
        <v>0.13</v>
      </c>
      <c r="F205" s="3265">
        <v>0.13</v>
      </c>
      <c r="G205" s="3266">
        <v>0.13</v>
      </c>
    </row>
    <row r="206" spans="1:7">
      <c r="A206" s="3275" t="s">
        <v>304</v>
      </c>
      <c r="B206" s="3264" t="s">
        <v>2917</v>
      </c>
      <c r="C206" s="3265">
        <v>0.13</v>
      </c>
      <c r="D206" s="3265">
        <v>0.13</v>
      </c>
      <c r="E206" s="3265">
        <v>0.13</v>
      </c>
      <c r="F206" s="3265">
        <v>0.128</v>
      </c>
      <c r="G206" s="3266">
        <v>0.13</v>
      </c>
    </row>
    <row r="207" spans="1:7">
      <c r="A207" s="3275" t="s">
        <v>304</v>
      </c>
      <c r="B207" s="3264" t="s">
        <v>2919</v>
      </c>
      <c r="C207" s="3265">
        <v>0.13</v>
      </c>
      <c r="D207" s="3265">
        <v>0.13</v>
      </c>
      <c r="E207" s="3265">
        <v>0.13</v>
      </c>
      <c r="F207" s="3265">
        <v>0.13</v>
      </c>
      <c r="G207" s="3266">
        <v>0.13</v>
      </c>
    </row>
    <row r="208" spans="1:7">
      <c r="A208" s="3275" t="s">
        <v>304</v>
      </c>
      <c r="B208" s="3264" t="s">
        <v>2922</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2929</v>
      </c>
      <c r="C210" s="3265">
        <v>0.121</v>
      </c>
      <c r="D210" s="3265">
        <v>0.121</v>
      </c>
      <c r="E210" s="3265">
        <v>0.125</v>
      </c>
      <c r="F210" s="3265">
        <v>0.13</v>
      </c>
      <c r="G210" s="3266">
        <v>0.123</v>
      </c>
    </row>
    <row r="211" spans="1:7">
      <c r="A211" s="3275" t="s">
        <v>304</v>
      </c>
      <c r="B211" s="3264" t="s">
        <v>2932</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2944</v>
      </c>
      <c r="C214" s="3265">
        <v>0.128</v>
      </c>
      <c r="D214" s="3265">
        <v>0.128</v>
      </c>
      <c r="E214" s="3265">
        <v>0.13</v>
      </c>
      <c r="F214" s="3265">
        <v>0.13</v>
      </c>
      <c r="G214" s="3266">
        <v>0.13</v>
      </c>
    </row>
    <row r="215" spans="1:7">
      <c r="A215" s="3275" t="s">
        <v>304</v>
      </c>
      <c r="B215" s="3264" t="s">
        <v>2948</v>
      </c>
      <c r="C215" s="3265">
        <v>0.13</v>
      </c>
      <c r="D215" s="3265">
        <v>0.13</v>
      </c>
      <c r="E215" s="3265">
        <v>0.13</v>
      </c>
      <c r="F215" s="3265">
        <v>0.129</v>
      </c>
      <c r="G215" s="3266">
        <v>0.13</v>
      </c>
    </row>
    <row r="216" spans="1:7">
      <c r="A216" s="3275" t="s">
        <v>304</v>
      </c>
      <c r="B216" s="3264" t="s">
        <v>2955</v>
      </c>
      <c r="C216" s="3265">
        <v>0.13</v>
      </c>
      <c r="D216" s="3265">
        <v>0.13</v>
      </c>
      <c r="E216" s="3265">
        <v>0.13</v>
      </c>
      <c r="F216" s="3265">
        <v>0.13</v>
      </c>
      <c r="G216" s="3266">
        <v>0.13</v>
      </c>
    </row>
    <row r="217" spans="1:7">
      <c r="A217" s="3275" t="s">
        <v>304</v>
      </c>
      <c r="B217" s="3264" t="s">
        <v>2962</v>
      </c>
      <c r="C217" s="3265">
        <v>0.129</v>
      </c>
      <c r="D217" s="3265">
        <v>0.129</v>
      </c>
      <c r="E217" s="3265">
        <v>0.13</v>
      </c>
      <c r="F217" s="3265">
        <v>0.13</v>
      </c>
      <c r="G217" s="3266">
        <v>0.13</v>
      </c>
    </row>
    <row r="218" spans="1:7">
      <c r="A218" s="3275" t="s">
        <v>304</v>
      </c>
      <c r="B218" s="3264" t="s">
        <v>2968</v>
      </c>
      <c r="C218" s="3276"/>
      <c r="D218" s="3276"/>
      <c r="E218" s="3276"/>
      <c r="F218" s="3265">
        <v>0.05</v>
      </c>
      <c r="G218" s="3282"/>
    </row>
    <row r="219" spans="1:7">
      <c r="A219" s="3275" t="s">
        <v>304</v>
      </c>
      <c r="B219" s="3264" t="s">
        <v>2975</v>
      </c>
      <c r="C219" s="3276"/>
      <c r="D219" s="3276"/>
      <c r="E219" s="3276"/>
      <c r="F219" s="3265">
        <v>0.05</v>
      </c>
      <c r="G219" s="3282"/>
    </row>
    <row r="220" spans="1:7">
      <c r="A220" s="3275" t="s">
        <v>304</v>
      </c>
      <c r="B220" s="3264" t="s">
        <v>2981</v>
      </c>
      <c r="C220" s="3276"/>
      <c r="D220" s="3276"/>
      <c r="E220" s="3276"/>
      <c r="F220" s="3265">
        <v>0.05</v>
      </c>
      <c r="G220" s="3282"/>
    </row>
    <row r="221" spans="1:7">
      <c r="A221" s="3275" t="s">
        <v>304</v>
      </c>
      <c r="B221" s="3264" t="s">
        <v>2986</v>
      </c>
      <c r="C221" s="3276"/>
      <c r="D221" s="3276"/>
      <c r="E221" s="3276"/>
      <c r="F221" s="3265">
        <v>0.05</v>
      </c>
      <c r="G221" s="3282"/>
    </row>
    <row r="222" spans="1:7">
      <c r="A222" s="3275" t="s">
        <v>304</v>
      </c>
      <c r="B222" s="3264" t="s">
        <v>2990</v>
      </c>
      <c r="C222" s="3276"/>
      <c r="D222" s="3276"/>
      <c r="E222" s="3276"/>
      <c r="F222" s="3265">
        <v>0.05</v>
      </c>
      <c r="G222" s="3282"/>
    </row>
    <row r="223" spans="1:7">
      <c r="A223" s="3275" t="s">
        <v>304</v>
      </c>
      <c r="B223" s="3264" t="s">
        <v>2995</v>
      </c>
      <c r="C223" s="3276"/>
      <c r="D223" s="3276"/>
      <c r="E223" s="3276"/>
      <c r="F223" s="3265">
        <v>0.05</v>
      </c>
      <c r="G223" s="3282"/>
    </row>
    <row r="224" spans="1:7">
      <c r="A224" s="3275" t="s">
        <v>304</v>
      </c>
      <c r="B224" s="3264" t="s">
        <v>3000</v>
      </c>
      <c r="C224" s="3276"/>
      <c r="D224" s="3276"/>
      <c r="E224" s="3276"/>
      <c r="F224" s="3265">
        <v>0.05</v>
      </c>
      <c r="G224" s="3282"/>
    </row>
    <row r="225" spans="1:7">
      <c r="A225" s="3275" t="s">
        <v>304</v>
      </c>
      <c r="B225" s="3264" t="s">
        <v>3005</v>
      </c>
      <c r="C225" s="3276"/>
      <c r="D225" s="3276"/>
      <c r="E225" s="3276"/>
      <c r="F225" s="3265">
        <v>0.05</v>
      </c>
      <c r="G225" s="3282"/>
    </row>
    <row r="226" spans="1:7">
      <c r="A226" s="3275" t="s">
        <v>304</v>
      </c>
      <c r="B226" s="3264" t="s">
        <v>3207</v>
      </c>
      <c r="C226" s="3276"/>
      <c r="D226" s="3276"/>
      <c r="E226" s="3276"/>
      <c r="F226" s="3265">
        <v>0.05</v>
      </c>
      <c r="G226" s="3282"/>
    </row>
    <row r="227" spans="1:7">
      <c r="A227" s="3275" t="s">
        <v>304</v>
      </c>
      <c r="B227" s="3264" t="s">
        <v>3208</v>
      </c>
      <c r="C227" s="3276"/>
      <c r="D227" s="3276"/>
      <c r="E227" s="3276"/>
      <c r="F227" s="3265">
        <v>0.05</v>
      </c>
      <c r="G227" s="3282"/>
    </row>
    <row r="228" spans="1:7">
      <c r="A228" s="3275" t="s">
        <v>304</v>
      </c>
      <c r="B228" s="3264" t="s">
        <v>3209</v>
      </c>
      <c r="C228" s="3276"/>
      <c r="D228" s="3276"/>
      <c r="E228" s="3276"/>
      <c r="F228" s="3265">
        <v>0.05</v>
      </c>
      <c r="G228" s="3282"/>
    </row>
    <row r="229" spans="1:7">
      <c r="A229" s="3275" t="s">
        <v>304</v>
      </c>
      <c r="B229" s="3264" t="s">
        <v>3210</v>
      </c>
      <c r="C229" s="3276"/>
      <c r="D229" s="3276"/>
      <c r="E229" s="3276"/>
      <c r="F229" s="3265">
        <v>0.05</v>
      </c>
      <c r="G229" s="3282"/>
    </row>
    <row r="230" spans="1:7">
      <c r="A230" s="3275" t="s">
        <v>304</v>
      </c>
      <c r="B230" s="3264" t="s">
        <v>3211</v>
      </c>
      <c r="C230" s="3276"/>
      <c r="D230" s="3276"/>
      <c r="E230" s="3276"/>
      <c r="F230" s="3265">
        <v>0.05</v>
      </c>
      <c r="G230" s="3282"/>
    </row>
    <row r="231" spans="1:7">
      <c r="A231" s="3275" t="s">
        <v>304</v>
      </c>
      <c r="B231" s="3264" t="s">
        <v>3212</v>
      </c>
      <c r="C231" s="3276"/>
      <c r="D231" s="3276"/>
      <c r="E231" s="3276"/>
      <c r="F231" s="3265">
        <v>0.05</v>
      </c>
      <c r="G231" s="3282"/>
    </row>
    <row r="232" spans="1:7">
      <c r="A232" s="3275" t="s">
        <v>304</v>
      </c>
      <c r="B232" s="3264" t="s">
        <v>3213</v>
      </c>
      <c r="C232" s="3276"/>
      <c r="D232" s="3276"/>
      <c r="E232" s="3276"/>
      <c r="F232" s="3265">
        <v>0.05</v>
      </c>
      <c r="G232" s="3282"/>
    </row>
    <row r="233" spans="1:7" ht="14.25" thickBot="1">
      <c r="A233" s="3278" t="s">
        <v>304</v>
      </c>
      <c r="B233" s="3268" t="s">
        <v>3214</v>
      </c>
      <c r="C233" s="3270"/>
      <c r="D233" s="3270"/>
      <c r="E233" s="3270"/>
      <c r="F233" s="3269">
        <v>0.05</v>
      </c>
      <c r="G233" s="3283"/>
    </row>
    <row r="234" spans="1:7">
      <c r="A234" s="3274" t="s">
        <v>305</v>
      </c>
      <c r="B234" s="3260" t="s">
        <v>2863</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2883</v>
      </c>
      <c r="C238" s="3265">
        <v>0.14899999999999999</v>
      </c>
      <c r="D238" s="3265">
        <v>0.14899999999999999</v>
      </c>
      <c r="E238" s="3265">
        <v>0.15</v>
      </c>
      <c r="F238" s="3265">
        <v>0.15</v>
      </c>
      <c r="G238" s="3266">
        <v>0.15</v>
      </c>
    </row>
    <row r="239" spans="1:7">
      <c r="A239" s="3275" t="s">
        <v>305</v>
      </c>
      <c r="B239" s="3264" t="s">
        <v>2887</v>
      </c>
      <c r="C239" s="3265">
        <v>0.15</v>
      </c>
      <c r="D239" s="3265">
        <v>0.15</v>
      </c>
      <c r="E239" s="3265">
        <v>0.15</v>
      </c>
      <c r="F239" s="3265">
        <v>0.15</v>
      </c>
      <c r="G239" s="3266">
        <v>0.15</v>
      </c>
    </row>
    <row r="240" spans="1:7">
      <c r="A240" s="3275" t="s">
        <v>305</v>
      </c>
      <c r="B240" s="3264" t="s">
        <v>2892</v>
      </c>
      <c r="C240" s="3265">
        <v>0.15</v>
      </c>
      <c r="D240" s="3265">
        <v>0.15</v>
      </c>
      <c r="E240" s="3265">
        <v>0.15</v>
      </c>
      <c r="F240" s="3265">
        <v>0.15</v>
      </c>
      <c r="G240" s="3266">
        <v>0.15</v>
      </c>
    </row>
    <row r="241" spans="1:7">
      <c r="A241" s="3275" t="s">
        <v>305</v>
      </c>
      <c r="B241" s="3264" t="s">
        <v>2896</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2902</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2910</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2915</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2923</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2936</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2945</v>
      </c>
      <c r="C258" s="3265">
        <v>0.14299999999999999</v>
      </c>
      <c r="D258" s="3265">
        <v>0.14299999999999999</v>
      </c>
      <c r="E258" s="3265">
        <v>0.15</v>
      </c>
      <c r="F258" s="3265">
        <v>0.14799999999999999</v>
      </c>
      <c r="G258" s="3266">
        <v>0.14599999999999999</v>
      </c>
    </row>
    <row r="259" spans="1:7">
      <c r="A259" s="3275" t="s">
        <v>305</v>
      </c>
      <c r="B259" s="3264" t="s">
        <v>2949</v>
      </c>
      <c r="C259" s="3265">
        <v>0.14399999999999999</v>
      </c>
      <c r="D259" s="3265">
        <v>0.14399999999999999</v>
      </c>
      <c r="E259" s="3265">
        <v>0.14899999999999999</v>
      </c>
      <c r="F259" s="3265">
        <v>0.14699999999999999</v>
      </c>
      <c r="G259" s="3266">
        <v>0.14599999999999999</v>
      </c>
    </row>
    <row r="260" spans="1:7">
      <c r="A260" s="3275" t="s">
        <v>305</v>
      </c>
      <c r="B260" s="3264" t="s">
        <v>2956</v>
      </c>
      <c r="C260" s="3265">
        <v>0.109</v>
      </c>
      <c r="D260" s="3265">
        <v>0.111</v>
      </c>
      <c r="E260" s="3265">
        <v>0.13100000000000001</v>
      </c>
      <c r="F260" s="3265">
        <v>0.126</v>
      </c>
      <c r="G260" s="3266">
        <v>0.11899999999999999</v>
      </c>
    </row>
    <row r="261" spans="1:7">
      <c r="A261" s="3275" t="s">
        <v>305</v>
      </c>
      <c r="B261" s="3264" t="s">
        <v>2963</v>
      </c>
      <c r="C261" s="3265">
        <v>0.1</v>
      </c>
      <c r="D261" s="3265">
        <v>0.1</v>
      </c>
      <c r="E261" s="3265">
        <v>0.11799999999999999</v>
      </c>
      <c r="F261" s="3265">
        <v>0.108</v>
      </c>
      <c r="G261" s="3266">
        <v>0.107</v>
      </c>
    </row>
    <row r="262" spans="1:7">
      <c r="A262" s="3275" t="s">
        <v>305</v>
      </c>
      <c r="B262" s="3264" t="s">
        <v>2969</v>
      </c>
      <c r="C262" s="3265">
        <v>0.1</v>
      </c>
      <c r="D262" s="3265">
        <v>0.1</v>
      </c>
      <c r="E262" s="3265">
        <v>0.1</v>
      </c>
      <c r="F262" s="3265">
        <v>0.14099999999999999</v>
      </c>
      <c r="G262" s="3266">
        <v>0.1</v>
      </c>
    </row>
    <row r="263" spans="1:7">
      <c r="A263" s="3275" t="s">
        <v>305</v>
      </c>
      <c r="B263" s="3264" t="s">
        <v>2976</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2987</v>
      </c>
      <c r="C265" s="3276"/>
      <c r="D265" s="3276"/>
      <c r="E265" s="3276"/>
      <c r="F265" s="3265">
        <v>0.05</v>
      </c>
      <c r="G265" s="3282"/>
    </row>
    <row r="266" spans="1:7">
      <c r="A266" s="3275" t="s">
        <v>305</v>
      </c>
      <c r="B266" s="3264" t="s">
        <v>2991</v>
      </c>
      <c r="C266" s="3276"/>
      <c r="D266" s="3276"/>
      <c r="E266" s="3276"/>
      <c r="F266" s="3265">
        <v>0.05</v>
      </c>
      <c r="G266" s="3282"/>
    </row>
    <row r="267" spans="1:7">
      <c r="A267" s="3275" t="s">
        <v>305</v>
      </c>
      <c r="B267" s="3264" t="s">
        <v>2996</v>
      </c>
      <c r="C267" s="3276"/>
      <c r="D267" s="3276"/>
      <c r="E267" s="3276"/>
      <c r="F267" s="3265">
        <v>0.05</v>
      </c>
      <c r="G267" s="3282"/>
    </row>
    <row r="268" spans="1:7">
      <c r="A268" s="3275" t="s">
        <v>305</v>
      </c>
      <c r="B268" s="3264" t="s">
        <v>3001</v>
      </c>
      <c r="C268" s="3276"/>
      <c r="D268" s="3276"/>
      <c r="E268" s="3276"/>
      <c r="F268" s="3265">
        <v>0.05</v>
      </c>
      <c r="G268" s="3282"/>
    </row>
    <row r="269" spans="1:7">
      <c r="A269" s="3275" t="s">
        <v>305</v>
      </c>
      <c r="B269" s="3264" t="s">
        <v>3006</v>
      </c>
      <c r="C269" s="3276"/>
      <c r="D269" s="3276"/>
      <c r="E269" s="3276"/>
      <c r="F269" s="3265">
        <v>0.05</v>
      </c>
      <c r="G269" s="3282"/>
    </row>
    <row r="270" spans="1:7">
      <c r="A270" s="3275" t="s">
        <v>305</v>
      </c>
      <c r="B270" s="3264" t="s">
        <v>3011</v>
      </c>
      <c r="C270" s="3276"/>
      <c r="D270" s="3276"/>
      <c r="E270" s="3276"/>
      <c r="F270" s="3265">
        <v>0.05</v>
      </c>
      <c r="G270" s="3282"/>
    </row>
    <row r="271" spans="1:7">
      <c r="A271" s="3275" t="s">
        <v>305</v>
      </c>
      <c r="B271" s="3264" t="s">
        <v>3215</v>
      </c>
      <c r="C271" s="3276"/>
      <c r="D271" s="3276"/>
      <c r="E271" s="3276"/>
      <c r="F271" s="3265">
        <v>0.05</v>
      </c>
      <c r="G271" s="3282"/>
    </row>
    <row r="272" spans="1:7">
      <c r="A272" s="3275" t="s">
        <v>305</v>
      </c>
      <c r="B272" s="3264" t="s">
        <v>3216</v>
      </c>
      <c r="C272" s="3276"/>
      <c r="D272" s="3276"/>
      <c r="E272" s="3276"/>
      <c r="F272" s="3265">
        <v>0.05</v>
      </c>
      <c r="G272" s="3282"/>
    </row>
    <row r="273" spans="1:7">
      <c r="A273" s="3275" t="s">
        <v>305</v>
      </c>
      <c r="B273" s="3264" t="s">
        <v>3217</v>
      </c>
      <c r="C273" s="3276"/>
      <c r="D273" s="3276"/>
      <c r="E273" s="3276"/>
      <c r="F273" s="3265">
        <v>0.05</v>
      </c>
      <c r="G273" s="3282"/>
    </row>
    <row r="274" spans="1:7">
      <c r="A274" s="3275" t="s">
        <v>305</v>
      </c>
      <c r="B274" s="3264" t="s">
        <v>3218</v>
      </c>
      <c r="C274" s="3276"/>
      <c r="D274" s="3276"/>
      <c r="E274" s="3276"/>
      <c r="F274" s="3265">
        <v>0.05</v>
      </c>
      <c r="G274" s="3282"/>
    </row>
    <row r="275" spans="1:7">
      <c r="A275" s="3275" t="s">
        <v>305</v>
      </c>
      <c r="B275" s="3264" t="s">
        <v>3219</v>
      </c>
      <c r="C275" s="3276"/>
      <c r="D275" s="3276"/>
      <c r="E275" s="3276"/>
      <c r="F275" s="3265">
        <v>0.05</v>
      </c>
      <c r="G275" s="3282"/>
    </row>
    <row r="276" spans="1:7" ht="14.25" thickBot="1">
      <c r="A276" s="3278" t="s">
        <v>305</v>
      </c>
      <c r="B276" s="3268" t="s">
        <v>3220</v>
      </c>
      <c r="C276" s="3270"/>
      <c r="D276" s="3270"/>
      <c r="E276" s="3270"/>
      <c r="F276" s="3269">
        <v>0.05</v>
      </c>
      <c r="G276" s="3283"/>
    </row>
    <row r="277" spans="1:7">
      <c r="A277" s="3274" t="s">
        <v>306</v>
      </c>
      <c r="B277" s="3260" t="s">
        <v>2864</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2876</v>
      </c>
      <c r="C279" s="3265">
        <v>0.15</v>
      </c>
      <c r="D279" s="3265">
        <v>0.15</v>
      </c>
      <c r="E279" s="3265">
        <v>0.15</v>
      </c>
      <c r="F279" s="3265">
        <v>0.15</v>
      </c>
      <c r="G279" s="3266">
        <v>0.15</v>
      </c>
    </row>
    <row r="280" spans="1:7">
      <c r="A280" s="3275" t="s">
        <v>306</v>
      </c>
      <c r="B280" s="3264" t="s">
        <v>2880</v>
      </c>
      <c r="C280" s="3265">
        <v>0.15</v>
      </c>
      <c r="D280" s="3265">
        <v>0.15</v>
      </c>
      <c r="E280" s="3265">
        <v>0.15</v>
      </c>
      <c r="F280" s="3265">
        <v>0.15</v>
      </c>
      <c r="G280" s="3266">
        <v>0.15</v>
      </c>
    </row>
    <row r="281" spans="1:7">
      <c r="A281" s="3275" t="s">
        <v>306</v>
      </c>
      <c r="B281" s="3264" t="s">
        <v>2884</v>
      </c>
      <c r="C281" s="3265">
        <v>0.15</v>
      </c>
      <c r="D281" s="3265">
        <v>0.15</v>
      </c>
      <c r="E281" s="3265">
        <v>0.15</v>
      </c>
      <c r="F281" s="3265">
        <v>0.15</v>
      </c>
      <c r="G281" s="3266">
        <v>0.15</v>
      </c>
    </row>
    <row r="282" spans="1:7">
      <c r="A282" s="3275" t="s">
        <v>306</v>
      </c>
      <c r="B282" s="3264" t="s">
        <v>2888</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2903</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2908</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2918</v>
      </c>
      <c r="C293" s="3265">
        <v>0.15</v>
      </c>
      <c r="D293" s="3265">
        <v>0.15</v>
      </c>
      <c r="E293" s="3265">
        <v>0.15</v>
      </c>
      <c r="F293" s="3265">
        <v>0.14499999999999999</v>
      </c>
      <c r="G293" s="3266">
        <v>0.15</v>
      </c>
    </row>
    <row r="294" spans="1:7">
      <c r="A294" s="3275" t="s">
        <v>306</v>
      </c>
      <c r="B294" s="3264" t="s">
        <v>2920</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2937</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2950</v>
      </c>
      <c r="C302" s="3265">
        <v>0.15</v>
      </c>
      <c r="D302" s="3265">
        <v>0.15</v>
      </c>
      <c r="E302" s="3265">
        <v>0.15</v>
      </c>
      <c r="F302" s="3265">
        <v>0.14699999999999999</v>
      </c>
      <c r="G302" s="3266">
        <v>0.15</v>
      </c>
    </row>
    <row r="303" spans="1:7">
      <c r="A303" s="3275" t="s">
        <v>306</v>
      </c>
      <c r="B303" s="3264" t="s">
        <v>2957</v>
      </c>
      <c r="C303" s="3265">
        <v>0.15</v>
      </c>
      <c r="D303" s="3265">
        <v>0.15</v>
      </c>
      <c r="E303" s="3265">
        <v>0.15</v>
      </c>
      <c r="F303" s="3265">
        <v>0.14199999999999999</v>
      </c>
      <c r="G303" s="3266">
        <v>0.15</v>
      </c>
    </row>
    <row r="304" spans="1:7">
      <c r="A304" s="3275" t="s">
        <v>306</v>
      </c>
      <c r="B304" s="3264" t="s">
        <v>2964</v>
      </c>
      <c r="C304" s="3265">
        <v>0.15</v>
      </c>
      <c r="D304" s="3265">
        <v>0.15</v>
      </c>
      <c r="E304" s="3265">
        <v>0.15</v>
      </c>
      <c r="F304" s="3265">
        <v>0.14499999999999999</v>
      </c>
      <c r="G304" s="3266">
        <v>0.15</v>
      </c>
    </row>
    <row r="305" spans="1:7">
      <c r="A305" s="3275" t="s">
        <v>306</v>
      </c>
      <c r="B305" s="3264" t="s">
        <v>2970</v>
      </c>
      <c r="C305" s="3265">
        <v>0.15</v>
      </c>
      <c r="D305" s="3265">
        <v>0.15</v>
      </c>
      <c r="E305" s="3265">
        <v>0.15</v>
      </c>
      <c r="F305" s="3265">
        <v>0.111</v>
      </c>
      <c r="G305" s="3266">
        <v>0.15</v>
      </c>
    </row>
    <row r="306" spans="1:7">
      <c r="A306" s="3275" t="s">
        <v>306</v>
      </c>
      <c r="B306" s="3264" t="s">
        <v>2977</v>
      </c>
      <c r="C306" s="3265">
        <v>0.15</v>
      </c>
      <c r="D306" s="3265">
        <v>0.15</v>
      </c>
      <c r="E306" s="3265">
        <v>0.15</v>
      </c>
      <c r="F306" s="3265">
        <v>0.126</v>
      </c>
      <c r="G306" s="3266">
        <v>0.15</v>
      </c>
    </row>
    <row r="307" spans="1:7">
      <c r="A307" s="3275" t="s">
        <v>306</v>
      </c>
      <c r="B307" s="3264" t="s">
        <v>2982</v>
      </c>
      <c r="C307" s="3265">
        <v>0.15</v>
      </c>
      <c r="D307" s="3265">
        <v>0.15</v>
      </c>
      <c r="E307" s="3265">
        <v>0.15</v>
      </c>
      <c r="F307" s="3265">
        <v>0.12</v>
      </c>
      <c r="G307" s="3266">
        <v>0.15</v>
      </c>
    </row>
    <row r="308" spans="1:7">
      <c r="A308" s="3275" t="s">
        <v>306</v>
      </c>
      <c r="B308" s="3264" t="s">
        <v>2988</v>
      </c>
      <c r="C308" s="3265">
        <v>0.15</v>
      </c>
      <c r="D308" s="3265">
        <v>0.15</v>
      </c>
      <c r="E308" s="3265">
        <v>0.15</v>
      </c>
      <c r="F308" s="3265">
        <v>0.13</v>
      </c>
      <c r="G308" s="3266">
        <v>0.15</v>
      </c>
    </row>
    <row r="309" spans="1:7">
      <c r="A309" s="3275" t="s">
        <v>306</v>
      </c>
      <c r="B309" s="3264" t="s">
        <v>2992</v>
      </c>
      <c r="C309" s="3265">
        <v>0.15</v>
      </c>
      <c r="D309" s="3265">
        <v>0.15</v>
      </c>
      <c r="E309" s="3265">
        <v>0.15</v>
      </c>
      <c r="F309" s="3265">
        <v>0.14099999999999999</v>
      </c>
      <c r="G309" s="3266">
        <v>0.15</v>
      </c>
    </row>
    <row r="310" spans="1:7">
      <c r="A310" s="3275" t="s">
        <v>306</v>
      </c>
      <c r="B310" s="3264" t="s">
        <v>2997</v>
      </c>
      <c r="C310" s="3265">
        <v>0.15</v>
      </c>
      <c r="D310" s="3265">
        <v>0.15</v>
      </c>
      <c r="E310" s="3265">
        <v>0.15</v>
      </c>
      <c r="F310" s="3265">
        <v>0.15</v>
      </c>
      <c r="G310" s="3266">
        <v>0.15</v>
      </c>
    </row>
    <row r="311" spans="1:7">
      <c r="A311" s="3275" t="s">
        <v>306</v>
      </c>
      <c r="B311" s="3264" t="s">
        <v>3002</v>
      </c>
      <c r="C311" s="3265">
        <v>0.13200000000000001</v>
      </c>
      <c r="D311" s="3265">
        <v>0.13300000000000001</v>
      </c>
      <c r="E311" s="3265">
        <v>0.14499999999999999</v>
      </c>
      <c r="F311" s="3265">
        <v>0.14199999999999999</v>
      </c>
      <c r="G311" s="3266">
        <v>0.14000000000000001</v>
      </c>
    </row>
    <row r="312" spans="1:7">
      <c r="A312" s="3275" t="s">
        <v>306</v>
      </c>
      <c r="B312" s="3264" t="s">
        <v>3007</v>
      </c>
      <c r="C312" s="3265">
        <v>0.13800000000000001</v>
      </c>
      <c r="D312" s="3265">
        <v>0.14000000000000001</v>
      </c>
      <c r="E312" s="3265">
        <v>0.14599999999999999</v>
      </c>
      <c r="F312" s="3265">
        <v>0.14899999999999999</v>
      </c>
      <c r="G312" s="3266">
        <v>0.14199999999999999</v>
      </c>
    </row>
    <row r="313" spans="1:7">
      <c r="A313" s="3275" t="s">
        <v>306</v>
      </c>
      <c r="B313" s="3264" t="s">
        <v>3012</v>
      </c>
      <c r="C313" s="3265">
        <v>0.125</v>
      </c>
      <c r="D313" s="3265">
        <v>0.127</v>
      </c>
      <c r="E313" s="3265">
        <v>0.14399999999999999</v>
      </c>
      <c r="F313" s="3265">
        <v>0.115</v>
      </c>
      <c r="G313" s="3266">
        <v>0.13600000000000001</v>
      </c>
    </row>
    <row r="314" spans="1:7">
      <c r="A314" s="3275" t="s">
        <v>306</v>
      </c>
      <c r="B314" s="3264" t="s">
        <v>3221</v>
      </c>
      <c r="C314" s="3281"/>
      <c r="D314" s="3281"/>
      <c r="E314" s="3281"/>
      <c r="F314" s="3265">
        <v>0.05</v>
      </c>
      <c r="G314" s="3282"/>
    </row>
    <row r="315" spans="1:7">
      <c r="A315" s="3275" t="s">
        <v>306</v>
      </c>
      <c r="B315" s="3264" t="s">
        <v>3222</v>
      </c>
      <c r="C315" s="3281"/>
      <c r="D315" s="3281"/>
      <c r="E315" s="3281"/>
      <c r="F315" s="3265">
        <v>0.05</v>
      </c>
      <c r="G315" s="3282"/>
    </row>
    <row r="316" spans="1:7">
      <c r="A316" s="3275" t="s">
        <v>306</v>
      </c>
      <c r="B316" s="3264" t="s">
        <v>3223</v>
      </c>
      <c r="C316" s="3276"/>
      <c r="D316" s="3276"/>
      <c r="E316" s="3276"/>
      <c r="F316" s="3265">
        <v>0.05</v>
      </c>
      <c r="G316" s="3282"/>
    </row>
    <row r="317" spans="1:7">
      <c r="A317" s="3275" t="s">
        <v>306</v>
      </c>
      <c r="B317" s="3264" t="s">
        <v>3224</v>
      </c>
      <c r="C317" s="3276"/>
      <c r="D317" s="3276"/>
      <c r="E317" s="3276"/>
      <c r="F317" s="3265">
        <v>0.05</v>
      </c>
      <c r="G317" s="3282"/>
    </row>
    <row r="318" spans="1:7">
      <c r="A318" s="3275" t="s">
        <v>306</v>
      </c>
      <c r="B318" s="3264" t="s">
        <v>3225</v>
      </c>
      <c r="C318" s="3276"/>
      <c r="D318" s="3276"/>
      <c r="E318" s="3276"/>
      <c r="F318" s="3265">
        <v>0.05</v>
      </c>
      <c r="G318" s="3282"/>
    </row>
    <row r="319" spans="1:7">
      <c r="A319" s="3275" t="s">
        <v>306</v>
      </c>
      <c r="B319" s="3264" t="s">
        <v>3226</v>
      </c>
      <c r="C319" s="3276"/>
      <c r="D319" s="3276"/>
      <c r="E319" s="3276"/>
      <c r="F319" s="3265">
        <v>0.05</v>
      </c>
      <c r="G319" s="3282"/>
    </row>
    <row r="320" spans="1:7">
      <c r="A320" s="3275" t="s">
        <v>306</v>
      </c>
      <c r="B320" s="3264" t="s">
        <v>3227</v>
      </c>
      <c r="C320" s="3276"/>
      <c r="D320" s="3276"/>
      <c r="E320" s="3276"/>
      <c r="F320" s="3265">
        <v>0.05</v>
      </c>
      <c r="G320" s="3282"/>
    </row>
    <row r="321" spans="1:7">
      <c r="A321" s="3275" t="s">
        <v>306</v>
      </c>
      <c r="B321" s="3264" t="s">
        <v>3228</v>
      </c>
      <c r="C321" s="3276"/>
      <c r="D321" s="3276"/>
      <c r="E321" s="3276"/>
      <c r="F321" s="3265">
        <v>0.05</v>
      </c>
      <c r="G321" s="3282"/>
    </row>
    <row r="322" spans="1:7">
      <c r="A322" s="3275" t="s">
        <v>306</v>
      </c>
      <c r="B322" s="3264" t="s">
        <v>3229</v>
      </c>
      <c r="C322" s="3276"/>
      <c r="D322" s="3276"/>
      <c r="E322" s="3276"/>
      <c r="F322" s="3265">
        <v>0.05</v>
      </c>
      <c r="G322" s="3282"/>
    </row>
    <row r="323" spans="1:7">
      <c r="A323" s="3275" t="s">
        <v>306</v>
      </c>
      <c r="B323" s="3264" t="s">
        <v>3230</v>
      </c>
      <c r="C323" s="3276"/>
      <c r="D323" s="3276"/>
      <c r="E323" s="3276"/>
      <c r="F323" s="3265">
        <v>0.05</v>
      </c>
      <c r="G323" s="3282"/>
    </row>
    <row r="324" spans="1:7">
      <c r="A324" s="3275" t="s">
        <v>306</v>
      </c>
      <c r="B324" s="3264" t="s">
        <v>3231</v>
      </c>
      <c r="C324" s="3276"/>
      <c r="D324" s="3276"/>
      <c r="E324" s="3276"/>
      <c r="F324" s="3265">
        <v>0.05</v>
      </c>
      <c r="G324" s="3282"/>
    </row>
    <row r="325" spans="1:7">
      <c r="A325" s="3275" t="s">
        <v>306</v>
      </c>
      <c r="B325" s="3264" t="s">
        <v>3232</v>
      </c>
      <c r="C325" s="3276"/>
      <c r="D325" s="3276"/>
      <c r="E325" s="3276"/>
      <c r="F325" s="3265">
        <v>0.05</v>
      </c>
      <c r="G325" s="3282"/>
    </row>
    <row r="326" spans="1:7" ht="14.25" thickBot="1">
      <c r="A326" s="3278" t="s">
        <v>306</v>
      </c>
      <c r="B326" s="3268" t="s">
        <v>3233</v>
      </c>
      <c r="C326" s="3270"/>
      <c r="D326" s="3270"/>
      <c r="E326" s="3270"/>
      <c r="F326" s="3269">
        <v>0.05</v>
      </c>
      <c r="G326" s="3283"/>
    </row>
    <row r="327" spans="1:7">
      <c r="A327" s="3274" t="s">
        <v>307</v>
      </c>
      <c r="B327" s="3260" t="s">
        <v>2865</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2877</v>
      </c>
      <c r="C329" s="3265">
        <v>0.15</v>
      </c>
      <c r="D329" s="3265">
        <v>0.15</v>
      </c>
      <c r="E329" s="3265">
        <v>0.15</v>
      </c>
      <c r="F329" s="3265">
        <v>0.15</v>
      </c>
      <c r="G329" s="3266">
        <v>0.15</v>
      </c>
    </row>
    <row r="330" spans="1:7">
      <c r="A330" s="3275" t="s">
        <v>307</v>
      </c>
      <c r="B330" s="3264" t="s">
        <v>2881</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2889</v>
      </c>
      <c r="C332" s="3265">
        <v>0.15</v>
      </c>
      <c r="D332" s="3265">
        <v>0.15</v>
      </c>
      <c r="E332" s="3265">
        <v>0.15</v>
      </c>
      <c r="F332" s="3265">
        <v>0.15</v>
      </c>
      <c r="G332" s="3266">
        <v>0.15</v>
      </c>
    </row>
    <row r="333" spans="1:7">
      <c r="A333" s="3275" t="s">
        <v>307</v>
      </c>
      <c r="B333" s="3264" t="s">
        <v>2893</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2899</v>
      </c>
      <c r="C336" s="3265">
        <v>0.15</v>
      </c>
      <c r="D336" s="3265">
        <v>0.15</v>
      </c>
      <c r="E336" s="3265">
        <v>0.15</v>
      </c>
      <c r="F336" s="3265">
        <v>0.14199999999999999</v>
      </c>
      <c r="G336" s="3266">
        <v>0.15</v>
      </c>
    </row>
    <row r="337" spans="1:7">
      <c r="A337" s="3275" t="s">
        <v>307</v>
      </c>
      <c r="B337" s="3264" t="s">
        <v>2904</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2911</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2916</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2924</v>
      </c>
      <c r="C345" s="3265">
        <v>0.15</v>
      </c>
      <c r="D345" s="3265">
        <v>0.15</v>
      </c>
      <c r="E345" s="3265">
        <v>0.15</v>
      </c>
      <c r="F345" s="3265">
        <v>0.13800000000000001</v>
      </c>
      <c r="G345" s="3266">
        <v>0.15</v>
      </c>
    </row>
    <row r="346" spans="1:7">
      <c r="A346" s="3275" t="s">
        <v>307</v>
      </c>
      <c r="B346" s="3264" t="s">
        <v>2926</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2933</v>
      </c>
      <c r="C348" s="3265">
        <v>0.15</v>
      </c>
      <c r="D348" s="3265">
        <v>0.15</v>
      </c>
      <c r="E348" s="3265">
        <v>0.15</v>
      </c>
      <c r="F348" s="3265">
        <v>0.14399999999999999</v>
      </c>
      <c r="G348" s="3266">
        <v>0.15</v>
      </c>
    </row>
    <row r="349" spans="1:7">
      <c r="A349" s="3275" t="s">
        <v>307</v>
      </c>
      <c r="B349" s="3264" t="s">
        <v>2938</v>
      </c>
      <c r="C349" s="3265">
        <v>0.15</v>
      </c>
      <c r="D349" s="3265">
        <v>0.15</v>
      </c>
      <c r="E349" s="3265">
        <v>0.15</v>
      </c>
      <c r="F349" s="3265">
        <v>0.15</v>
      </c>
      <c r="G349" s="3266">
        <v>0.15</v>
      </c>
    </row>
    <row r="350" spans="1:7">
      <c r="A350" s="3275" t="s">
        <v>307</v>
      </c>
      <c r="B350" s="3264" t="s">
        <v>2941</v>
      </c>
      <c r="C350" s="3265">
        <v>0.15</v>
      </c>
      <c r="D350" s="3265">
        <v>0.15</v>
      </c>
      <c r="E350" s="3265">
        <v>0.15</v>
      </c>
      <c r="F350" s="3265">
        <v>0.14699999999999999</v>
      </c>
      <c r="G350" s="3266">
        <v>0.15</v>
      </c>
    </row>
    <row r="351" spans="1:7">
      <c r="A351" s="3275" t="s">
        <v>307</v>
      </c>
      <c r="B351" s="3264" t="s">
        <v>2946</v>
      </c>
      <c r="C351" s="3265">
        <v>0.15</v>
      </c>
      <c r="D351" s="3265">
        <v>0.15</v>
      </c>
      <c r="E351" s="3265">
        <v>0.15</v>
      </c>
      <c r="F351" s="3265">
        <v>0.13</v>
      </c>
      <c r="G351" s="3266">
        <v>0.15</v>
      </c>
    </row>
    <row r="352" spans="1:7">
      <c r="A352" s="3275" t="s">
        <v>307</v>
      </c>
      <c r="B352" s="3264" t="s">
        <v>2951</v>
      </c>
      <c r="C352" s="3265">
        <v>0.15</v>
      </c>
      <c r="D352" s="3265">
        <v>0.15</v>
      </c>
      <c r="E352" s="3265">
        <v>0.15</v>
      </c>
      <c r="F352" s="3265">
        <v>0.14599999999999999</v>
      </c>
      <c r="G352" s="3266">
        <v>0.15</v>
      </c>
    </row>
    <row r="353" spans="1:7">
      <c r="A353" s="3275" t="s">
        <v>307</v>
      </c>
      <c r="B353" s="3264" t="s">
        <v>2958</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2971</v>
      </c>
      <c r="C355" s="3265">
        <v>0.15</v>
      </c>
      <c r="D355" s="3265">
        <v>0.15</v>
      </c>
      <c r="E355" s="3265">
        <v>0.15</v>
      </c>
      <c r="F355" s="3265">
        <v>0.15</v>
      </c>
      <c r="G355" s="3266">
        <v>0.15</v>
      </c>
    </row>
    <row r="356" spans="1:7">
      <c r="A356" s="3275" t="s">
        <v>307</v>
      </c>
      <c r="B356" s="3264" t="s">
        <v>2978</v>
      </c>
      <c r="C356" s="3265">
        <v>0.15</v>
      </c>
      <c r="D356" s="3265">
        <v>0.15</v>
      </c>
      <c r="E356" s="3265">
        <v>0.15</v>
      </c>
      <c r="F356" s="3265">
        <v>0.15</v>
      </c>
      <c r="G356" s="3266">
        <v>0.15</v>
      </c>
    </row>
    <row r="357" spans="1:7" ht="14.25" thickBot="1">
      <c r="A357" s="3278" t="s">
        <v>307</v>
      </c>
      <c r="B357" s="3268" t="s">
        <v>2983</v>
      </c>
      <c r="C357" s="3269">
        <v>0.126</v>
      </c>
      <c r="D357" s="3269">
        <v>0.127</v>
      </c>
      <c r="E357" s="3269">
        <v>0.14299999999999999</v>
      </c>
      <c r="F357" s="3269">
        <v>0.125</v>
      </c>
      <c r="G357" s="3271">
        <v>0.129</v>
      </c>
    </row>
    <row r="358" spans="1:7">
      <c r="A358" s="3274" t="s">
        <v>2852</v>
      </c>
      <c r="B358" s="3260" t="s">
        <v>2866</v>
      </c>
      <c r="C358" s="3261">
        <v>0.15</v>
      </c>
      <c r="D358" s="3261">
        <v>0.15</v>
      </c>
      <c r="E358" s="3261">
        <v>0.15</v>
      </c>
      <c r="F358" s="3261">
        <v>0.15</v>
      </c>
      <c r="G358" s="3262">
        <v>0.15</v>
      </c>
    </row>
    <row r="359" spans="1:7">
      <c r="A359" s="3275" t="s">
        <v>2852</v>
      </c>
      <c r="B359" s="3264" t="s">
        <v>2872</v>
      </c>
      <c r="C359" s="3265">
        <v>0.1</v>
      </c>
      <c r="D359" s="3265">
        <v>0.1</v>
      </c>
      <c r="E359" s="3265">
        <v>0.1</v>
      </c>
      <c r="F359" s="3265">
        <v>0.1</v>
      </c>
      <c r="G359" s="3266">
        <v>0.1</v>
      </c>
    </row>
    <row r="360" spans="1:7">
      <c r="A360" s="3275" t="s">
        <v>2852</v>
      </c>
      <c r="B360" s="3264" t="s">
        <v>2878</v>
      </c>
      <c r="C360" s="3265">
        <v>0.15</v>
      </c>
      <c r="D360" s="3265">
        <v>0.15</v>
      </c>
      <c r="E360" s="3265">
        <v>0.15</v>
      </c>
      <c r="F360" s="3265">
        <v>0.14899999999999999</v>
      </c>
      <c r="G360" s="3266">
        <v>0.15</v>
      </c>
    </row>
    <row r="361" spans="1:7">
      <c r="A361" s="3275" t="s">
        <v>2852</v>
      </c>
      <c r="B361" s="3264" t="s">
        <v>153</v>
      </c>
      <c r="C361" s="3265">
        <v>0.15</v>
      </c>
      <c r="D361" s="3265">
        <v>0.15</v>
      </c>
      <c r="E361" s="3265">
        <v>0.15</v>
      </c>
      <c r="F361" s="3265">
        <v>0.115</v>
      </c>
      <c r="G361" s="3266">
        <v>0.15</v>
      </c>
    </row>
    <row r="362" spans="1:7">
      <c r="A362" s="3275" t="s">
        <v>2852</v>
      </c>
      <c r="B362" s="3264" t="s">
        <v>2885</v>
      </c>
      <c r="C362" s="3265">
        <v>0.15</v>
      </c>
      <c r="D362" s="3265">
        <v>0.15</v>
      </c>
      <c r="E362" s="3265">
        <v>0.15</v>
      </c>
      <c r="F362" s="3265">
        <v>0.106</v>
      </c>
      <c r="G362" s="3266">
        <v>0.15</v>
      </c>
    </row>
    <row r="363" spans="1:7">
      <c r="A363" s="3275" t="s">
        <v>2852</v>
      </c>
      <c r="B363" s="3264" t="s">
        <v>2890</v>
      </c>
      <c r="C363" s="3265">
        <v>0.15</v>
      </c>
      <c r="D363" s="3265">
        <v>0.15</v>
      </c>
      <c r="E363" s="3265">
        <v>0.15</v>
      </c>
      <c r="F363" s="3265">
        <v>0.14699999999999999</v>
      </c>
      <c r="G363" s="3266">
        <v>0.15</v>
      </c>
    </row>
    <row r="364" spans="1:7">
      <c r="A364" s="3275" t="s">
        <v>2852</v>
      </c>
      <c r="B364" s="3264" t="s">
        <v>2894</v>
      </c>
      <c r="C364" s="3265">
        <v>0.15</v>
      </c>
      <c r="D364" s="3265">
        <v>0.15</v>
      </c>
      <c r="E364" s="3265">
        <v>0.15</v>
      </c>
      <c r="F364" s="3265">
        <v>0.14799999999999999</v>
      </c>
      <c r="G364" s="3266">
        <v>0.15</v>
      </c>
    </row>
    <row r="365" spans="1:7">
      <c r="A365" s="3275" t="s">
        <v>2852</v>
      </c>
      <c r="B365" s="3264" t="s">
        <v>200</v>
      </c>
      <c r="C365" s="3265">
        <v>0.15</v>
      </c>
      <c r="D365" s="3265">
        <v>0.15</v>
      </c>
      <c r="E365" s="3265">
        <v>0.15</v>
      </c>
      <c r="F365" s="3265">
        <v>0.15</v>
      </c>
      <c r="G365" s="3266">
        <v>0.15</v>
      </c>
    </row>
    <row r="366" spans="1:7">
      <c r="A366" s="3275" t="s">
        <v>2852</v>
      </c>
      <c r="B366" s="3264" t="s">
        <v>2897</v>
      </c>
      <c r="C366" s="3265">
        <v>0.15</v>
      </c>
      <c r="D366" s="3265">
        <v>0.15</v>
      </c>
      <c r="E366" s="3265">
        <v>0.15</v>
      </c>
      <c r="F366" s="3265">
        <v>0.15</v>
      </c>
      <c r="G366" s="3266">
        <v>0.15</v>
      </c>
    </row>
    <row r="367" spans="1:7">
      <c r="A367" s="3275" t="s">
        <v>2852</v>
      </c>
      <c r="B367" s="3264" t="s">
        <v>2900</v>
      </c>
      <c r="C367" s="3265">
        <v>0.15</v>
      </c>
      <c r="D367" s="3265">
        <v>0.15</v>
      </c>
      <c r="E367" s="3265">
        <v>0.15</v>
      </c>
      <c r="F367" s="3265">
        <v>0.14699999999999999</v>
      </c>
      <c r="G367" s="3266">
        <v>0.15</v>
      </c>
    </row>
    <row r="368" spans="1:7">
      <c r="A368" s="3275" t="s">
        <v>2852</v>
      </c>
      <c r="B368" s="3264" t="s">
        <v>2905</v>
      </c>
      <c r="C368" s="3265">
        <v>0.15</v>
      </c>
      <c r="D368" s="3265">
        <v>0.15</v>
      </c>
      <c r="E368" s="3265">
        <v>0.15</v>
      </c>
      <c r="F368" s="3265">
        <v>0.13600000000000001</v>
      </c>
      <c r="G368" s="3266">
        <v>0.15</v>
      </c>
    </row>
    <row r="369" spans="1:7">
      <c r="A369" s="3275" t="s">
        <v>2852</v>
      </c>
      <c r="B369" s="3264" t="s">
        <v>214</v>
      </c>
      <c r="C369" s="3265">
        <v>0.15</v>
      </c>
      <c r="D369" s="3265">
        <v>0.15</v>
      </c>
      <c r="E369" s="3265">
        <v>0.15</v>
      </c>
      <c r="F369" s="3265">
        <v>0.14399999999999999</v>
      </c>
      <c r="G369" s="3266">
        <v>0.15</v>
      </c>
    </row>
    <row r="370" spans="1:7">
      <c r="A370" s="3275" t="s">
        <v>2852</v>
      </c>
      <c r="B370" s="3264" t="s">
        <v>221</v>
      </c>
      <c r="C370" s="3265">
        <v>0.15</v>
      </c>
      <c r="D370" s="3265">
        <v>0.15</v>
      </c>
      <c r="E370" s="3265">
        <v>0.15</v>
      </c>
      <c r="F370" s="3265">
        <v>0.14599999999999999</v>
      </c>
      <c r="G370" s="3266">
        <v>0.15</v>
      </c>
    </row>
    <row r="371" spans="1:7">
      <c r="A371" s="3275" t="s">
        <v>2852</v>
      </c>
      <c r="B371" s="3264" t="s">
        <v>229</v>
      </c>
      <c r="C371" s="3265">
        <v>0.15</v>
      </c>
      <c r="D371" s="3265">
        <v>0.15</v>
      </c>
      <c r="E371" s="3265">
        <v>0.15</v>
      </c>
      <c r="F371" s="3265">
        <v>0.12</v>
      </c>
      <c r="G371" s="3266">
        <v>0.15</v>
      </c>
    </row>
    <row r="372" spans="1:7">
      <c r="A372" s="3275" t="s">
        <v>2852</v>
      </c>
      <c r="B372" s="3264" t="s">
        <v>2913</v>
      </c>
      <c r="C372" s="3265">
        <v>0.15</v>
      </c>
      <c r="D372" s="3265">
        <v>0.15</v>
      </c>
      <c r="E372" s="3265">
        <v>0.15</v>
      </c>
      <c r="F372" s="3265">
        <v>0.14299999999999999</v>
      </c>
      <c r="G372" s="3266">
        <v>0.15</v>
      </c>
    </row>
    <row r="373" spans="1:7">
      <c r="A373" s="3275" t="s">
        <v>2852</v>
      </c>
      <c r="B373" s="3264" t="s">
        <v>258</v>
      </c>
      <c r="C373" s="3265">
        <v>0.15</v>
      </c>
      <c r="D373" s="3265">
        <v>0.15</v>
      </c>
      <c r="E373" s="3265">
        <v>0.15</v>
      </c>
      <c r="F373" s="3265">
        <v>0.14599999999999999</v>
      </c>
      <c r="G373" s="3266">
        <v>0.15</v>
      </c>
    </row>
    <row r="374" spans="1:7">
      <c r="A374" s="3275" t="s">
        <v>2852</v>
      </c>
      <c r="B374" s="3264" t="s">
        <v>266</v>
      </c>
      <c r="C374" s="3265">
        <v>0.15</v>
      </c>
      <c r="D374" s="3265">
        <v>0.15</v>
      </c>
      <c r="E374" s="3265">
        <v>0.15</v>
      </c>
      <c r="F374" s="3265">
        <v>0.14399999999999999</v>
      </c>
      <c r="G374" s="3266">
        <v>0.15</v>
      </c>
    </row>
    <row r="375" spans="1:7">
      <c r="A375" s="3275" t="s">
        <v>2852</v>
      </c>
      <c r="B375" s="3264" t="s">
        <v>2921</v>
      </c>
      <c r="C375" s="3265">
        <v>0.15</v>
      </c>
      <c r="D375" s="3265">
        <v>0.15</v>
      </c>
      <c r="E375" s="3265">
        <v>0.15</v>
      </c>
      <c r="F375" s="3265">
        <v>0.13</v>
      </c>
      <c r="G375" s="3266">
        <v>0.15</v>
      </c>
    </row>
    <row r="376" spans="1:7">
      <c r="A376" s="3275" t="s">
        <v>2852</v>
      </c>
      <c r="B376" s="3264" t="s">
        <v>277</v>
      </c>
      <c r="C376" s="3265">
        <v>0.15</v>
      </c>
      <c r="D376" s="3265">
        <v>0.15</v>
      </c>
      <c r="E376" s="3265">
        <v>0.15</v>
      </c>
      <c r="F376" s="3265">
        <v>0.14199999999999999</v>
      </c>
      <c r="G376" s="3266">
        <v>0.15</v>
      </c>
    </row>
    <row r="377" spans="1:7" ht="14.25" thickBot="1">
      <c r="A377" s="3278" t="s">
        <v>2852</v>
      </c>
      <c r="B377" s="3268" t="s">
        <v>2927</v>
      </c>
      <c r="C377" s="3269">
        <v>0.15</v>
      </c>
      <c r="D377" s="3269">
        <v>0.15</v>
      </c>
      <c r="E377" s="3269">
        <v>0.15</v>
      </c>
      <c r="F377" s="3269">
        <v>0.14000000000000001</v>
      </c>
      <c r="G377" s="3271">
        <v>0.15</v>
      </c>
    </row>
    <row r="378" spans="1:7">
      <c r="A378" s="3274" t="s">
        <v>2853</v>
      </c>
      <c r="B378" s="3260" t="s">
        <v>2867</v>
      </c>
      <c r="C378" s="3261">
        <v>0.15</v>
      </c>
      <c r="D378" s="3261">
        <v>0.15</v>
      </c>
      <c r="E378" s="3261">
        <v>0.15</v>
      </c>
      <c r="F378" s="3261">
        <v>0.107</v>
      </c>
      <c r="G378" s="3262">
        <v>0.15</v>
      </c>
    </row>
    <row r="379" spans="1:7">
      <c r="A379" s="3275" t="s">
        <v>2853</v>
      </c>
      <c r="B379" s="3264" t="s">
        <v>2873</v>
      </c>
      <c r="C379" s="3265">
        <v>0.15</v>
      </c>
      <c r="D379" s="3265">
        <v>0.15</v>
      </c>
      <c r="E379" s="3265">
        <v>0.15</v>
      </c>
      <c r="F379" s="3265">
        <v>0.115</v>
      </c>
      <c r="G379" s="3266">
        <v>0.14899999999999999</v>
      </c>
    </row>
    <row r="380" spans="1:7">
      <c r="A380" s="3275" t="s">
        <v>2853</v>
      </c>
      <c r="B380" s="3264" t="s">
        <v>2879</v>
      </c>
      <c r="C380" s="3265">
        <v>0.15</v>
      </c>
      <c r="D380" s="3265">
        <v>0.15</v>
      </c>
      <c r="E380" s="3265">
        <v>0.15</v>
      </c>
      <c r="F380" s="3265">
        <v>0.1</v>
      </c>
      <c r="G380" s="3266">
        <v>0.14799999999999999</v>
      </c>
    </row>
    <row r="381" spans="1:7">
      <c r="A381" s="3275" t="s">
        <v>2853</v>
      </c>
      <c r="B381" s="3264" t="s">
        <v>2882</v>
      </c>
      <c r="C381" s="3265">
        <v>0.15</v>
      </c>
      <c r="D381" s="3265">
        <v>0.15</v>
      </c>
      <c r="E381" s="3265">
        <v>0.15</v>
      </c>
      <c r="F381" s="3265">
        <v>0.126</v>
      </c>
      <c r="G381" s="3266">
        <v>0.15</v>
      </c>
    </row>
    <row r="382" spans="1:7">
      <c r="A382" s="3275" t="s">
        <v>2853</v>
      </c>
      <c r="B382" s="3264" t="s">
        <v>2886</v>
      </c>
      <c r="C382" s="3265">
        <v>0.15</v>
      </c>
      <c r="D382" s="3265">
        <v>0.15</v>
      </c>
      <c r="E382" s="3265">
        <v>0.15</v>
      </c>
      <c r="F382" s="3265">
        <v>0.15</v>
      </c>
      <c r="G382" s="3266">
        <v>0.15</v>
      </c>
    </row>
    <row r="383" spans="1:7">
      <c r="A383" s="3275" t="s">
        <v>2853</v>
      </c>
      <c r="B383" s="3264" t="s">
        <v>2891</v>
      </c>
      <c r="C383" s="3265">
        <v>0.15</v>
      </c>
      <c r="D383" s="3265">
        <v>0.15</v>
      </c>
      <c r="E383" s="3265">
        <v>0.15</v>
      </c>
      <c r="F383" s="3265">
        <v>0.14699999999999999</v>
      </c>
      <c r="G383" s="3266">
        <v>0.15</v>
      </c>
    </row>
    <row r="384" spans="1:7" ht="14.25" thickBot="1">
      <c r="A384" s="3285" t="s">
        <v>2853</v>
      </c>
      <c r="B384" s="3286" t="s">
        <v>2895</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3" t="s">
        <v>3234</v>
      </c>
      <c r="B1" s="3773"/>
      <c r="C1" s="3773"/>
      <c r="D1" s="3773"/>
      <c r="E1" s="3773"/>
      <c r="F1" s="3774"/>
    </row>
    <row r="2" spans="1:6">
      <c r="A2" s="3291" t="s">
        <v>3235</v>
      </c>
      <c r="B2" s="3292"/>
      <c r="C2" s="3292"/>
      <c r="D2" s="3292"/>
      <c r="E2" s="3292"/>
      <c r="F2" s="3292"/>
    </row>
    <row r="3" spans="1:6">
      <c r="A3" s="3291" t="s">
        <v>3236</v>
      </c>
      <c r="B3" s="3292"/>
      <c r="C3" s="3292"/>
      <c r="D3" s="3292"/>
      <c r="E3" s="3292"/>
      <c r="F3" s="3293" t="s">
        <v>3237</v>
      </c>
    </row>
    <row r="4" spans="1:6">
      <c r="A4" s="3294" t="s">
        <v>672</v>
      </c>
      <c r="B4" s="3294" t="s">
        <v>673</v>
      </c>
      <c r="C4" s="3294" t="s">
        <v>21</v>
      </c>
      <c r="D4" s="3294" t="s">
        <v>674</v>
      </c>
      <c r="E4" s="3294" t="s">
        <v>3</v>
      </c>
      <c r="F4" s="3294" t="s">
        <v>3238</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X44" sqref="X44"/>
    </sheetView>
  </sheetViews>
  <sheetFormatPr defaultRowHeight="13.5"/>
  <cols>
    <col min="1" max="1" width="13.875" customWidth="1"/>
    <col min="11" max="17" width="0" hidden="1" customWidth="1"/>
    <col min="25" max="30" width="0" hidden="1" customWidth="1"/>
  </cols>
  <sheetData>
    <row r="1" spans="1:30">
      <c r="A1" s="3221">
        <f>基准地价修正!G23</f>
        <v>45604</v>
      </c>
      <c r="B1" s="3210" t="s">
        <v>3384</v>
      </c>
      <c r="C1" s="3211"/>
      <c r="D1" s="3211"/>
      <c r="E1" s="3211"/>
      <c r="F1" s="3211"/>
      <c r="G1" s="3211"/>
      <c r="H1" s="3211"/>
      <c r="I1" s="3211"/>
      <c r="J1" s="3165"/>
      <c r="K1" s="3211" t="s">
        <v>454</v>
      </c>
      <c r="L1" s="3211"/>
      <c r="M1" s="3211"/>
      <c r="N1" s="3211"/>
      <c r="O1" s="3211"/>
      <c r="P1" s="3211"/>
      <c r="Q1" s="3165"/>
      <c r="R1" s="3775" t="s">
        <v>456</v>
      </c>
      <c r="S1" s="3776"/>
      <c r="T1" s="3776"/>
      <c r="U1" s="3776"/>
      <c r="V1" s="3776"/>
      <c r="W1" s="3776"/>
      <c r="X1" s="3165"/>
      <c r="Y1" s="3775" t="s">
        <v>457</v>
      </c>
      <c r="Z1" s="3776"/>
      <c r="AA1" s="3776"/>
      <c r="AB1" s="3776"/>
      <c r="AC1" s="3776"/>
      <c r="AD1" s="3776"/>
    </row>
    <row r="2" spans="1:30" s="3143" customFormat="1" ht="14.25" thickBot="1">
      <c r="B2" s="3144"/>
      <c r="C2" s="3145"/>
      <c r="D2" s="3146" t="s">
        <v>2812</v>
      </c>
      <c r="E2" s="3147" t="s">
        <v>2813</v>
      </c>
      <c r="F2" s="3147" t="s">
        <v>2814</v>
      </c>
      <c r="G2" s="3147" t="s">
        <v>2815</v>
      </c>
      <c r="H2" s="3147" t="s">
        <v>2816</v>
      </c>
      <c r="I2" s="3147" t="s">
        <v>2633</v>
      </c>
      <c r="J2" s="3148"/>
      <c r="K2" s="3146" t="s">
        <v>2812</v>
      </c>
      <c r="L2" s="3147" t="s">
        <v>2813</v>
      </c>
      <c r="M2" s="3147" t="s">
        <v>2814</v>
      </c>
      <c r="N2" s="3147" t="s">
        <v>2815</v>
      </c>
      <c r="O2" s="3147" t="s">
        <v>2817</v>
      </c>
      <c r="P2" s="3147" t="s">
        <v>2633</v>
      </c>
      <c r="Q2" s="3148"/>
      <c r="R2" s="3146" t="s">
        <v>2812</v>
      </c>
      <c r="S2" s="3147" t="s">
        <v>2813</v>
      </c>
      <c r="T2" s="3147" t="s">
        <v>2814</v>
      </c>
      <c r="U2" s="3147" t="s">
        <v>2818</v>
      </c>
      <c r="V2" s="3147" t="s">
        <v>2819</v>
      </c>
      <c r="W2" s="3147" t="s">
        <v>2633</v>
      </c>
      <c r="X2" s="3148"/>
      <c r="Y2" s="3146" t="s">
        <v>2812</v>
      </c>
      <c r="Z2" s="3147" t="s">
        <v>2813</v>
      </c>
      <c r="AA2" s="3147" t="s">
        <v>2814</v>
      </c>
      <c r="AB2" s="3147" t="s">
        <v>2820</v>
      </c>
      <c r="AC2" s="3147" t="s">
        <v>2819</v>
      </c>
      <c r="AD2" s="3147" t="s">
        <v>2633</v>
      </c>
    </row>
    <row r="3" spans="1:30" s="3161" customFormat="1" ht="12.75">
      <c r="A3" s="3149" t="s">
        <v>2821</v>
      </c>
      <c r="B3" s="3150"/>
      <c r="C3" s="3151"/>
      <c r="D3" s="3151">
        <f>ROUND(AVERAGEIF(D4:D21,"&lt;&gt;0"),2)</f>
        <v>0.47</v>
      </c>
      <c r="E3" s="3151">
        <f t="shared" ref="E3:H3" si="0">ROUND(AVERAGEIF(E4:E21,"&lt;&gt;0"),2)</f>
        <v>0.3</v>
      </c>
      <c r="F3" s="3151">
        <f t="shared" si="0"/>
        <v>0.04</v>
      </c>
      <c r="G3" s="3151">
        <f t="shared" si="0"/>
        <v>0.51</v>
      </c>
      <c r="H3" s="3151">
        <f t="shared" si="0"/>
        <v>0.55000000000000004</v>
      </c>
      <c r="I3" s="3151">
        <f>F3</f>
        <v>0.04</v>
      </c>
      <c r="J3" s="3152"/>
      <c r="K3" s="3153">
        <f>ROUND(AVERAGEIF(K4:K21,"&lt;&gt;0"),4)</f>
        <v>4.7000000000000002E-3</v>
      </c>
      <c r="L3" s="3154">
        <f t="shared" ref="L3:O3" si="1">ROUND(AVERAGEIF(L4:L21,"&lt;&gt;0"),4)</f>
        <v>3.0000000000000001E-3</v>
      </c>
      <c r="M3" s="3154">
        <f t="shared" si="1"/>
        <v>4.0000000000000002E-4</v>
      </c>
      <c r="N3" s="3154">
        <f t="shared" si="1"/>
        <v>5.1000000000000004E-3</v>
      </c>
      <c r="O3" s="3154">
        <f t="shared" si="1"/>
        <v>5.4999999999999997E-3</v>
      </c>
      <c r="P3" s="3154">
        <f>M3</f>
        <v>4.0000000000000002E-4</v>
      </c>
      <c r="Q3" s="3152"/>
      <c r="R3" s="3155">
        <f>ROUND(SUMPRODUCT(PRODUCT(1+K4:K21)),4)</f>
        <v>1.0723</v>
      </c>
      <c r="S3" s="3156">
        <f t="shared" ref="S3:V3" si="2">ROUND(SUMPRODUCT(PRODUCT(1+L4:L21)),4)</f>
        <v>1.0465</v>
      </c>
      <c r="T3" s="3156">
        <f t="shared" si="2"/>
        <v>1.0054000000000001</v>
      </c>
      <c r="U3" s="3156">
        <f t="shared" si="2"/>
        <v>1.0790999999999999</v>
      </c>
      <c r="V3" s="3156">
        <f t="shared" si="2"/>
        <v>1.0857000000000001</v>
      </c>
      <c r="W3" s="3155">
        <f>T3</f>
        <v>1.0054000000000001</v>
      </c>
      <c r="X3" s="3152"/>
      <c r="Y3" s="3157">
        <f>ROUND(AVERAGEIF(Y8:Y21,"&lt;&gt;0"),4)</f>
        <v>8.3999999999999995E-3</v>
      </c>
      <c r="Z3" s="3158">
        <f t="shared" ref="Z3:AC3" si="3">ROUND(AVERAGEIF(Z8:Z21,"&lt;&gt;0"),4)</f>
        <v>3.5000000000000001E-3</v>
      </c>
      <c r="AA3" s="3159">
        <f t="shared" si="3"/>
        <v>8.0000000000000004E-4</v>
      </c>
      <c r="AB3" s="3157">
        <f t="shared" si="3"/>
        <v>9.1000000000000004E-3</v>
      </c>
      <c r="AC3" s="3160">
        <f t="shared" si="3"/>
        <v>6.1000000000000004E-3</v>
      </c>
      <c r="AD3" s="3157">
        <f>AA3</f>
        <v>8.0000000000000004E-4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3380</v>
      </c>
      <c r="B5" s="3177">
        <v>2025</v>
      </c>
      <c r="C5" s="3178">
        <v>1</v>
      </c>
      <c r="D5" s="3179">
        <v>0</v>
      </c>
      <c r="E5" s="3179">
        <v>0</v>
      </c>
      <c r="F5" s="3179">
        <v>0</v>
      </c>
      <c r="G5" s="3179">
        <v>0</v>
      </c>
      <c r="H5" s="3179">
        <v>0</v>
      </c>
      <c r="I5" s="3180">
        <f t="shared" ref="I5" si="4">F5</f>
        <v>0</v>
      </c>
      <c r="J5" s="3181"/>
      <c r="K5" s="3182">
        <f t="shared" ref="K5" si="5">D5/100</f>
        <v>0</v>
      </c>
      <c r="L5" s="3172">
        <f t="shared" ref="L5" si="6">E5/100</f>
        <v>0</v>
      </c>
      <c r="M5" s="3172">
        <f t="shared" ref="M5" si="7">F5/100</f>
        <v>0</v>
      </c>
      <c r="N5" s="3172">
        <f t="shared" ref="N5" si="8">G5/100</f>
        <v>0</v>
      </c>
      <c r="O5" s="3172">
        <f t="shared" ref="O5" si="9">H5/100</f>
        <v>0</v>
      </c>
      <c r="P5" s="3172">
        <f>M5</f>
        <v>0</v>
      </c>
      <c r="Q5" s="3181"/>
      <c r="R5" s="3183">
        <f>ROUND(IF(项目基本情况!$B$8="出让",SUMPRODUCT(PRODUCT(1+K5:$K$21)),SUMPRODUCT(PRODUCT(1+K5:$K$20))),4)</f>
        <v>1.0620000000000001</v>
      </c>
      <c r="S5" s="3183">
        <f>ROUND(IF(项目基本情况!$B$8="出让",SUMPRODUCT(PRODUCT(1+L5:$L$21)),SUMPRODUCT(PRODUCT(1+L5:$L$20))),4)</f>
        <v>1.0448</v>
      </c>
      <c r="T5" s="3183">
        <f>ROUND(IF(项目基本情况!$B$8="出让",SUMPRODUCT(PRODUCT(1+M5:$M$21)),SUMPRODUCT(PRODUCT(1+M5:$M$20))),4)</f>
        <v>1.0079</v>
      </c>
      <c r="U5" s="3183">
        <f>ROUND(IF(项目基本情况!$B$8="出让",SUMPRODUCT(PRODUCT(1+N5:$N$21)),SUMPRODUCT(PRODUCT(1+N5:$N$20))),4)</f>
        <v>1.0672999999999999</v>
      </c>
      <c r="V5" s="3183">
        <f>ROUND(IF(项目基本情况!$B$8="出让",SUMPRODUCT(PRODUCT(1+O5:$O$21)),SUMPRODUCT(PRODUCT(1+O5:$O$20))),4)</f>
        <v>1.0818000000000001</v>
      </c>
      <c r="W5" s="3183">
        <f>T5</f>
        <v>1.0079</v>
      </c>
      <c r="X5" s="3181"/>
      <c r="Y5" s="3184">
        <f>IF(D5=0,0,ROUND(AVERAGE(D5:D18)/100,4))</f>
        <v>0</v>
      </c>
      <c r="Z5" s="3184">
        <f t="shared" ref="Z5" si="10">IF(E5=0,0,ROUND(AVERAGE(E5:E18)/100,4))</f>
        <v>0</v>
      </c>
      <c r="AA5" s="3184">
        <f t="shared" ref="AA5" si="11">IF(F5=0,0,ROUND(AVERAGE(F5:F18)/100,4))</f>
        <v>0</v>
      </c>
      <c r="AB5" s="3184">
        <f t="shared" ref="AB5" si="12">IF(G5=0,0,ROUND(AVERAGE(G5:G18)/100,4))</f>
        <v>0</v>
      </c>
      <c r="AC5" s="3184">
        <f t="shared" ref="AC5" si="13">IF(H5=0,0,ROUND(AVERAGE(H5:H18)/100,4))</f>
        <v>0</v>
      </c>
      <c r="AD5" s="3184">
        <f t="shared" ref="AD5" si="14">AA5</f>
        <v>0</v>
      </c>
    </row>
    <row r="6" spans="1:30" s="3195" customFormat="1" ht="12.75">
      <c r="A6" s="3186" t="s">
        <v>3389</v>
      </c>
      <c r="B6" s="3187">
        <v>2024</v>
      </c>
      <c r="C6" s="3188">
        <v>4</v>
      </c>
      <c r="D6" s="3189">
        <v>0</v>
      </c>
      <c r="E6" s="3189">
        <v>0</v>
      </c>
      <c r="F6" s="3189">
        <v>0</v>
      </c>
      <c r="G6" s="3189">
        <v>0</v>
      </c>
      <c r="H6" s="3190">
        <v>0</v>
      </c>
      <c r="I6" s="3191">
        <f t="shared" ref="I6" si="15">F6</f>
        <v>0</v>
      </c>
      <c r="J6" s="3192"/>
      <c r="K6" s="3193">
        <f t="shared" ref="K6" si="16">D6/100</f>
        <v>0</v>
      </c>
      <c r="L6" s="3194">
        <f t="shared" ref="L6" si="17">E6/100</f>
        <v>0</v>
      </c>
      <c r="M6" s="3194">
        <f t="shared" ref="M6" si="18">F6/100</f>
        <v>0</v>
      </c>
      <c r="N6" s="3194">
        <f t="shared" ref="N6" si="19">G6/100</f>
        <v>0</v>
      </c>
      <c r="O6" s="3194">
        <f t="shared" ref="O6" si="20">H6/100</f>
        <v>0</v>
      </c>
      <c r="P6" s="3194">
        <f>M6</f>
        <v>0</v>
      </c>
      <c r="Q6" s="3192"/>
      <c r="R6" s="3192">
        <f>ROUND(IF(项目基本情况!$B$8="出让",SUMPRODUCT(PRODUCT(1+K6:$K$21)),SUMPRODUCT(PRODUCT(1+K6:$K$20))),4)</f>
        <v>1.0620000000000001</v>
      </c>
      <c r="S6" s="3192">
        <f>ROUND(IF(项目基本情况!$B$8="出让",SUMPRODUCT(PRODUCT(1+L6:$L$21)),SUMPRODUCT(PRODUCT(1+L6:$L$20))),4)</f>
        <v>1.0448</v>
      </c>
      <c r="T6" s="3192">
        <f>ROUND(IF(项目基本情况!$B$8="出让",SUMPRODUCT(PRODUCT(1+M6:$M$21)),SUMPRODUCT(PRODUCT(1+M6:$M$20))),4)</f>
        <v>1.0079</v>
      </c>
      <c r="U6" s="3192">
        <f>ROUND(IF(项目基本情况!$B$8="出让",SUMPRODUCT(PRODUCT(1+N6:$N$21)),SUMPRODUCT(PRODUCT(1+N6:$N$20))),4)</f>
        <v>1.0672999999999999</v>
      </c>
      <c r="V6" s="3192">
        <f>ROUND(IF(项目基本情况!$B$8="出让",SUMPRODUCT(PRODUCT(1+O6:$O$21)),SUMPRODUCT(PRODUCT(1+O6:$O$20))),4)</f>
        <v>1.0818000000000001</v>
      </c>
      <c r="W6" s="3192">
        <f>T6</f>
        <v>1.0079</v>
      </c>
      <c r="X6" s="3192"/>
      <c r="Y6" s="3194">
        <f>IF(D6=0,0,ROUND(AVERAGE(D6:D19)/100,4))</f>
        <v>0</v>
      </c>
      <c r="Z6" s="3194">
        <f t="shared" ref="Z6" si="21">IF(E6=0,0,ROUND(AVERAGE(E6:E19)/100,4))</f>
        <v>0</v>
      </c>
      <c r="AA6" s="3194">
        <f t="shared" ref="AA6" si="22">IF(F6=0,0,ROUND(AVERAGE(F6:F19)/100,4))</f>
        <v>0</v>
      </c>
      <c r="AB6" s="3194">
        <f t="shared" ref="AB6" si="23">IF(G6=0,0,ROUND(AVERAGE(G6:G19)/100,4))</f>
        <v>0</v>
      </c>
      <c r="AC6" s="3194">
        <f t="shared" ref="AC6" si="24">IF(H6=0,0,ROUND(AVERAGE(H6:H19)/100,4))</f>
        <v>0</v>
      </c>
      <c r="AD6" s="3194">
        <f t="shared" ref="AD6" si="25">AA6</f>
        <v>0</v>
      </c>
    </row>
    <row r="7" spans="1:30" s="3185" customFormat="1" ht="12.75">
      <c r="A7" s="2205" t="s">
        <v>3388</v>
      </c>
      <c r="B7" s="3177">
        <v>2024</v>
      </c>
      <c r="C7" s="3178">
        <v>3</v>
      </c>
      <c r="D7" s="3179">
        <v>-1.19</v>
      </c>
      <c r="E7" s="3179">
        <v>-0.47</v>
      </c>
      <c r="F7" s="3179">
        <v>-0.28999999999999998</v>
      </c>
      <c r="G7" s="3179">
        <v>-0.74</v>
      </c>
      <c r="H7" s="3179">
        <v>-0.21</v>
      </c>
      <c r="I7" s="3180">
        <f t="shared" ref="I7" si="26">F7</f>
        <v>-0.28999999999999998</v>
      </c>
      <c r="J7" s="3181"/>
      <c r="K7" s="3182">
        <f t="shared" ref="K7" si="27">D7/100</f>
        <v>-1.1899999999999999E-2</v>
      </c>
      <c r="L7" s="3172">
        <f t="shared" ref="L7" si="28">E7/100</f>
        <v>-4.6999999999999993E-3</v>
      </c>
      <c r="M7" s="3172">
        <f t="shared" ref="M7" si="29">F7/100</f>
        <v>-2.8999999999999998E-3</v>
      </c>
      <c r="N7" s="3172">
        <f t="shared" ref="N7" si="30">G7/100</f>
        <v>-7.4000000000000003E-3</v>
      </c>
      <c r="O7" s="3172">
        <f t="shared" ref="O7" si="31">H7/100</f>
        <v>-2.0999999999999999E-3</v>
      </c>
      <c r="P7" s="3172">
        <f>M7</f>
        <v>-2.8999999999999998E-3</v>
      </c>
      <c r="Q7" s="3181"/>
      <c r="R7" s="3183">
        <f>ROUND(IF(项目基本情况!$B$8="出让",SUMPRODUCT(PRODUCT(1+K7:$K$21)),SUMPRODUCT(PRODUCT(1+K7:$K$20))),4)</f>
        <v>1.0620000000000001</v>
      </c>
      <c r="S7" s="3183">
        <f>ROUND(IF(项目基本情况!$B$8="出让",SUMPRODUCT(PRODUCT(1+L7:$L$21)),SUMPRODUCT(PRODUCT(1+L7:$L$20))),4)</f>
        <v>1.0448</v>
      </c>
      <c r="T7" s="3183">
        <f>ROUND(IF(项目基本情况!$B$8="出让",SUMPRODUCT(PRODUCT(1+M7:$M$21)),SUMPRODUCT(PRODUCT(1+M7:$M$20))),4)</f>
        <v>1.0079</v>
      </c>
      <c r="U7" s="3183">
        <f>ROUND(IF(项目基本情况!$B$8="出让",SUMPRODUCT(PRODUCT(1+N7:$N$21)),SUMPRODUCT(PRODUCT(1+N7:$N$20))),4)</f>
        <v>1.0672999999999999</v>
      </c>
      <c r="V7" s="3183">
        <f>ROUND(IF(项目基本情况!$B$8="出让",SUMPRODUCT(PRODUCT(1+O7:$O$21)),SUMPRODUCT(PRODUCT(1+O7:$O$20))),4)</f>
        <v>1.0818000000000001</v>
      </c>
      <c r="W7" s="3183">
        <f>T7</f>
        <v>1.0079</v>
      </c>
      <c r="X7" s="3181"/>
      <c r="Y7" s="3184">
        <f>IF(D7=0,0,ROUND(AVERAGE(D7:D20)/100,4))</f>
        <v>4.3E-3</v>
      </c>
      <c r="Z7" s="3184">
        <f t="shared" ref="Z7" si="32">IF(E7=0,0,ROUND(AVERAGE(E7:E20)/100,4))</f>
        <v>3.0999999999999999E-3</v>
      </c>
      <c r="AA7" s="3184">
        <f t="shared" ref="AA7" si="33">IF(F7=0,0,ROUND(AVERAGE(F7:F20)/100,4))</f>
        <v>5.9999999999999995E-4</v>
      </c>
      <c r="AB7" s="3184">
        <f t="shared" ref="AB7" si="34">IF(G7=0,0,ROUND(AVERAGE(G7:G20)/100,4))</f>
        <v>4.7000000000000002E-3</v>
      </c>
      <c r="AC7" s="3184">
        <f t="shared" ref="AC7" si="35">IF(H7=0,0,ROUND(AVERAGE(H7:H20)/100,4))</f>
        <v>5.5999999999999999E-3</v>
      </c>
      <c r="AD7" s="3184">
        <f t="shared" ref="AD7" si="36">AA7</f>
        <v>5.9999999999999995E-4</v>
      </c>
    </row>
    <row r="8" spans="1:30" s="3185" customFormat="1" ht="12.75">
      <c r="A8" s="3176" t="s">
        <v>3381</v>
      </c>
      <c r="B8" s="3177">
        <v>2024</v>
      </c>
      <c r="C8" s="3178">
        <v>2</v>
      </c>
      <c r="D8" s="3179">
        <v>-0.59</v>
      </c>
      <c r="E8" s="3179">
        <v>-0.21</v>
      </c>
      <c r="F8" s="3179">
        <v>-1.38</v>
      </c>
      <c r="G8" s="3179">
        <v>-1.24</v>
      </c>
      <c r="H8" s="3196">
        <v>0.34</v>
      </c>
      <c r="I8" s="3180">
        <f t="shared" ref="I8:I21" si="37">F8</f>
        <v>-1.38</v>
      </c>
      <c r="J8" s="3181"/>
      <c r="K8" s="3182">
        <f t="shared" ref="K8:O21" si="38">D8/100</f>
        <v>-5.8999999999999999E-3</v>
      </c>
      <c r="L8" s="3172">
        <f t="shared" si="38"/>
        <v>-2.0999999999999999E-3</v>
      </c>
      <c r="M8" s="3172">
        <f t="shared" si="38"/>
        <v>-1.38E-2</v>
      </c>
      <c r="N8" s="3172">
        <f t="shared" si="38"/>
        <v>-1.24E-2</v>
      </c>
      <c r="O8" s="3172">
        <f t="shared" si="38"/>
        <v>3.4000000000000002E-3</v>
      </c>
      <c r="P8" s="3172">
        <f>M8</f>
        <v>-1.38E-2</v>
      </c>
      <c r="Q8" s="3181"/>
      <c r="R8" s="3183">
        <f>ROUND(IF(项目基本情况!$B$8="出让",SUMPRODUCT(PRODUCT(1+K8:$K$21)),SUMPRODUCT(PRODUCT(1+K8:$K$20))),4)</f>
        <v>1.0748</v>
      </c>
      <c r="S8" s="3183">
        <f>ROUND(IF(项目基本情况!$B$8="出让",SUMPRODUCT(PRODUCT(1+L8:$L$21)),SUMPRODUCT(PRODUCT(1+L8:$L$20))),4)</f>
        <v>1.0498000000000001</v>
      </c>
      <c r="T8" s="3183">
        <f>ROUND(IF(项目基本情况!$B$8="出让",SUMPRODUCT(PRODUCT(1+M8:$M$21)),SUMPRODUCT(PRODUCT(1+M8:$M$20))),4)</f>
        <v>1.0107999999999999</v>
      </c>
      <c r="U8" s="3183">
        <f>ROUND(IF(项目基本情况!$B$8="出让",SUMPRODUCT(PRODUCT(1+N8:$N$21)),SUMPRODUCT(PRODUCT(1+N8:$N$20))),4)</f>
        <v>1.0752999999999999</v>
      </c>
      <c r="V8" s="3183">
        <f>ROUND(IF(项目基本情况!$B$8="出让",SUMPRODUCT(PRODUCT(1+O8:$O$21)),SUMPRODUCT(PRODUCT(1+O8:$O$20))),4)</f>
        <v>1.0841000000000001</v>
      </c>
      <c r="W8" s="3183">
        <f>T8</f>
        <v>1.0107999999999999</v>
      </c>
      <c r="X8" s="3181"/>
      <c r="Y8" s="3184">
        <f>IF(D8=0,0,ROUND(AVERAGE(D8:D21)/100,4))</f>
        <v>5.8999999999999999E-3</v>
      </c>
      <c r="Z8" s="3184">
        <f t="shared" ref="Z8:AC8" si="39">IF(E8=0,0,ROUND(AVERAGE(E8:E21)/100,4))</f>
        <v>3.5999999999999999E-3</v>
      </c>
      <c r="AA8" s="3184">
        <f t="shared" si="39"/>
        <v>5.9999999999999995E-4</v>
      </c>
      <c r="AB8" s="3184">
        <f t="shared" si="39"/>
        <v>6.0000000000000001E-3</v>
      </c>
      <c r="AC8" s="3184">
        <f t="shared" si="39"/>
        <v>6.0000000000000001E-3</v>
      </c>
      <c r="AD8" s="3184">
        <f t="shared" ref="AD8:AD20" si="40">AA8</f>
        <v>5.9999999999999995E-4</v>
      </c>
    </row>
    <row r="9" spans="1:30" s="3185" customFormat="1" ht="12.75">
      <c r="A9" s="3176" t="s">
        <v>3377</v>
      </c>
      <c r="B9" s="3177">
        <v>2024</v>
      </c>
      <c r="C9" s="3178">
        <v>1</v>
      </c>
      <c r="D9" s="3179">
        <v>0.08</v>
      </c>
      <c r="E9" s="3179">
        <v>0.46</v>
      </c>
      <c r="F9" s="3179">
        <v>-0.16</v>
      </c>
      <c r="G9" s="3179">
        <v>0.26</v>
      </c>
      <c r="H9" s="3196">
        <v>0.59</v>
      </c>
      <c r="I9" s="3180">
        <v>0</v>
      </c>
      <c r="J9" s="3181"/>
      <c r="K9" s="3182">
        <f t="shared" ref="K9" si="41">D9/100</f>
        <v>8.0000000000000004E-4</v>
      </c>
      <c r="L9" s="3172">
        <f t="shared" ref="L9" si="42">E9/100</f>
        <v>4.5999999999999999E-3</v>
      </c>
      <c r="M9" s="3172">
        <f t="shared" ref="M9" si="43">F9/100</f>
        <v>-1.6000000000000001E-3</v>
      </c>
      <c r="N9" s="3172">
        <f t="shared" ref="N9" si="44">G9/100</f>
        <v>2.5999999999999999E-3</v>
      </c>
      <c r="O9" s="3172">
        <f t="shared" ref="O9" si="45">H9/100</f>
        <v>5.8999999999999999E-3</v>
      </c>
      <c r="P9" s="3172">
        <f t="shared" ref="P9" si="46">M9</f>
        <v>-1.6000000000000001E-3</v>
      </c>
      <c r="Q9" s="3181"/>
      <c r="R9" s="3183">
        <f>ROUND(IF(项目基本情况!$B$8="出让",SUMPRODUCT(PRODUCT(1+K9:$K$21)),SUMPRODUCT(PRODUCT(1+K9:$K$20))),4)</f>
        <v>1.0811999999999999</v>
      </c>
      <c r="S9" s="3183">
        <f>ROUND(IF(项目基本情况!$B$8="出让",SUMPRODUCT(PRODUCT(1+L9:$L$21)),SUMPRODUCT(PRODUCT(1+L9:$L$20))),4)</f>
        <v>1.052</v>
      </c>
      <c r="T9" s="3183">
        <f>ROUND(IF(项目基本情况!$B$8="出让",SUMPRODUCT(PRODUCT(1+M9:$M$21)),SUMPRODUCT(PRODUCT(1+M9:$M$20))),4)</f>
        <v>1.0249999999999999</v>
      </c>
      <c r="U9" s="3183">
        <f>ROUND(IF(项目基本情况!$B$8="出让",SUMPRODUCT(PRODUCT(1+N9:$N$21)),SUMPRODUCT(PRODUCT(1+N9:$N$20))),4)</f>
        <v>1.0888</v>
      </c>
      <c r="V9" s="3183">
        <f>ROUND(IF(项目基本情况!$B$8="出让",SUMPRODUCT(PRODUCT(1+O9:$O$21)),SUMPRODUCT(PRODUCT(1+O9:$O$20))),4)</f>
        <v>1.0804</v>
      </c>
      <c r="W9" s="3183">
        <f t="shared" ref="W9" si="47">T9</f>
        <v>1.0249999999999999</v>
      </c>
      <c r="X9" s="3181"/>
      <c r="Y9" s="3184"/>
      <c r="Z9" s="3184"/>
      <c r="AA9" s="3184"/>
      <c r="AB9" s="3184"/>
      <c r="AC9" s="3184"/>
      <c r="AD9" s="3184"/>
    </row>
    <row r="10" spans="1:30" s="3185" customFormat="1" ht="12.75">
      <c r="A10" s="3176" t="s">
        <v>3373</v>
      </c>
      <c r="B10" s="3177">
        <v>2023</v>
      </c>
      <c r="C10" s="3178">
        <v>4</v>
      </c>
      <c r="D10" s="3179">
        <v>0.19</v>
      </c>
      <c r="E10" s="3179">
        <v>0.24</v>
      </c>
      <c r="F10" s="3179">
        <v>-0.16</v>
      </c>
      <c r="G10" s="3179">
        <v>0.17</v>
      </c>
      <c r="H10" s="3196">
        <v>0.61</v>
      </c>
      <c r="I10" s="3180">
        <f>F10</f>
        <v>-0.16</v>
      </c>
      <c r="J10" s="3181"/>
      <c r="K10" s="3182">
        <f t="shared" si="38"/>
        <v>1.9E-3</v>
      </c>
      <c r="L10" s="3172">
        <f t="shared" si="38"/>
        <v>2.3999999999999998E-3</v>
      </c>
      <c r="M10" s="3172">
        <f t="shared" si="38"/>
        <v>-1.6000000000000001E-3</v>
      </c>
      <c r="N10" s="3172">
        <f t="shared" si="38"/>
        <v>1.7000000000000001E-3</v>
      </c>
      <c r="O10" s="3172">
        <f t="shared" si="38"/>
        <v>6.0999999999999995E-3</v>
      </c>
      <c r="P10" s="3172">
        <f t="shared" ref="P10" si="48">M10</f>
        <v>-1.6000000000000001E-3</v>
      </c>
      <c r="Q10" s="3181"/>
      <c r="R10" s="3183">
        <f>ROUND(IF(项目基本情况!$B$8="出让",SUMPRODUCT(PRODUCT(1+K10:$K$21)),SUMPRODUCT(PRODUCT(1+K10:$K$20))),4)</f>
        <v>1.0804</v>
      </c>
      <c r="S10" s="3183">
        <f>ROUND(IF(项目基本情况!$B$8="出让",SUMPRODUCT(PRODUCT(1+L10:$L$21)),SUMPRODUCT(PRODUCT(1+L10:$L$20))),4)</f>
        <v>1.0471999999999999</v>
      </c>
      <c r="T10" s="3183">
        <f>ROUND(IF(项目基本情况!$B$8="出让",SUMPRODUCT(PRODUCT(1+M10:$M$21)),SUMPRODUCT(PRODUCT(1+M10:$M$20))),4)</f>
        <v>1.0266</v>
      </c>
      <c r="U10" s="3183">
        <f>ROUND(IF(项目基本情况!$B$8="出让",SUMPRODUCT(PRODUCT(1+N10:$N$21)),SUMPRODUCT(PRODUCT(1+N10:$N$20))),4)</f>
        <v>1.0859000000000001</v>
      </c>
      <c r="V10" s="3183">
        <f>ROUND(IF(项目基本情况!$B$8="出让",SUMPRODUCT(PRODUCT(1+O10:$O$21)),SUMPRODUCT(PRODUCT(1+O10:$O$20))),4)</f>
        <v>1.0741000000000001</v>
      </c>
      <c r="W10" s="3183">
        <f t="shared" ref="W10" si="49">T10</f>
        <v>1.0266</v>
      </c>
      <c r="X10" s="3181"/>
      <c r="Y10" s="3184"/>
      <c r="Z10" s="3184"/>
      <c r="AA10" s="3184"/>
      <c r="AB10" s="3184"/>
      <c r="AC10" s="3184"/>
      <c r="AD10" s="3184"/>
    </row>
    <row r="11" spans="1:30" s="3185" customFormat="1" ht="12.75">
      <c r="A11" s="3176" t="s">
        <v>3372</v>
      </c>
      <c r="B11" s="3177">
        <v>2023</v>
      </c>
      <c r="C11" s="3178">
        <v>3</v>
      </c>
      <c r="D11" s="3179">
        <v>0.25</v>
      </c>
      <c r="E11" s="3179">
        <v>0.5</v>
      </c>
      <c r="F11" s="3179">
        <v>0.31</v>
      </c>
      <c r="G11" s="3179">
        <v>0.21</v>
      </c>
      <c r="H11" s="3196">
        <v>0.43</v>
      </c>
      <c r="I11" s="3180">
        <f t="shared" si="37"/>
        <v>0.31</v>
      </c>
      <c r="J11" s="3181"/>
      <c r="K11" s="3182">
        <f t="shared" ref="K11:K13" si="50">D11/100</f>
        <v>2.5000000000000001E-3</v>
      </c>
      <c r="L11" s="3172">
        <f t="shared" ref="L11:L13" si="51">E11/100</f>
        <v>5.0000000000000001E-3</v>
      </c>
      <c r="M11" s="3172">
        <f t="shared" ref="M11:M13" si="52">F11/100</f>
        <v>3.0999999999999999E-3</v>
      </c>
      <c r="N11" s="3172">
        <f t="shared" ref="N11:N13" si="53">G11/100</f>
        <v>2.0999999999999999E-3</v>
      </c>
      <c r="O11" s="3172">
        <f t="shared" ref="O11:O13" si="54">H11/100</f>
        <v>4.3E-3</v>
      </c>
      <c r="P11" s="3172">
        <f t="shared" ref="P11:P13" si="55">M11</f>
        <v>3.0999999999999999E-3</v>
      </c>
      <c r="Q11" s="3181"/>
      <c r="R11" s="3183">
        <f>ROUND(IF(项目基本情况!$B$8="出让",SUMPRODUCT(PRODUCT(1+K11:$K$21)),SUMPRODUCT(PRODUCT(1+K11:$K$20))),4)</f>
        <v>1.0783</v>
      </c>
      <c r="S11" s="3183">
        <f>ROUND(IF(项目基本情况!$B$8="出让",SUMPRODUCT(PRODUCT(1+L11:$L$21)),SUMPRODUCT(PRODUCT(1+L11:$L$20))),4)</f>
        <v>1.0447</v>
      </c>
      <c r="T11" s="3183">
        <f>ROUND(IF(项目基本情况!$B$8="出让",SUMPRODUCT(PRODUCT(1+M11:$M$21)),SUMPRODUCT(PRODUCT(1+M11:$M$20))),4)</f>
        <v>1.0282</v>
      </c>
      <c r="U11" s="3183">
        <f>ROUND(IF(项目基本情况!$B$8="出让",SUMPRODUCT(PRODUCT(1+N11:$N$21)),SUMPRODUCT(PRODUCT(1+N11:$N$20))),4)</f>
        <v>1.0841000000000001</v>
      </c>
      <c r="V11" s="3183">
        <f>ROUND(IF(项目基本情况!$B$8="出让",SUMPRODUCT(PRODUCT(1+O11:$O$21)),SUMPRODUCT(PRODUCT(1+O11:$O$20))),4)</f>
        <v>1.0674999999999999</v>
      </c>
      <c r="W11" s="3183">
        <f t="shared" ref="W11:W12" si="56">T11</f>
        <v>1.0282</v>
      </c>
      <c r="X11" s="3181"/>
      <c r="Y11" s="3184"/>
      <c r="Z11" s="3184"/>
      <c r="AA11" s="3184"/>
      <c r="AB11" s="3184"/>
      <c r="AC11" s="3184"/>
      <c r="AD11" s="3184"/>
    </row>
    <row r="12" spans="1:30" s="3185" customFormat="1" ht="12.75">
      <c r="A12" s="3176" t="s">
        <v>3370</v>
      </c>
      <c r="B12" s="3177">
        <v>2023</v>
      </c>
      <c r="C12" s="3178">
        <v>2</v>
      </c>
      <c r="D12" s="3179">
        <v>0.91</v>
      </c>
      <c r="E12" s="3179">
        <v>0.66</v>
      </c>
      <c r="F12" s="3179">
        <v>0.47</v>
      </c>
      <c r="G12" s="3179">
        <v>0.96</v>
      </c>
      <c r="H12" s="3196">
        <v>0.71</v>
      </c>
      <c r="I12" s="3180">
        <f t="shared" si="37"/>
        <v>0.47</v>
      </c>
      <c r="J12" s="3181"/>
      <c r="K12" s="3182">
        <f t="shared" si="50"/>
        <v>9.1000000000000004E-3</v>
      </c>
      <c r="L12" s="3172">
        <f t="shared" si="51"/>
        <v>6.6E-3</v>
      </c>
      <c r="M12" s="3172">
        <f t="shared" si="52"/>
        <v>4.6999999999999993E-3</v>
      </c>
      <c r="N12" s="3172">
        <f t="shared" si="53"/>
        <v>9.5999999999999992E-3</v>
      </c>
      <c r="O12" s="3172">
        <f t="shared" si="54"/>
        <v>7.0999999999999995E-3</v>
      </c>
      <c r="P12" s="3172">
        <f t="shared" si="55"/>
        <v>4.6999999999999993E-3</v>
      </c>
      <c r="Q12" s="3181"/>
      <c r="R12" s="3183">
        <f>ROUND(IF(项目基本情况!$B$8="出让",SUMPRODUCT(PRODUCT(1+K12:$K$21)),SUMPRODUCT(PRODUCT(1+K12:$K$20))),4)</f>
        <v>1.0755999999999999</v>
      </c>
      <c r="S12" s="3183">
        <f>ROUND(IF(项目基本情况!$B$8="出让",SUMPRODUCT(PRODUCT(1+L12:$L$21)),SUMPRODUCT(PRODUCT(1+L12:$L$20))),4)</f>
        <v>1.0395000000000001</v>
      </c>
      <c r="T12" s="3183">
        <f>ROUND(IF(项目基本情况!$B$8="出让",SUMPRODUCT(PRODUCT(1+M12:$M$21)),SUMPRODUCT(PRODUCT(1+M12:$M$20))),4)</f>
        <v>1.0250999999999999</v>
      </c>
      <c r="U12" s="3183">
        <f>ROUND(IF(项目基本情况!$B$8="出让",SUMPRODUCT(PRODUCT(1+N12:$N$21)),SUMPRODUCT(PRODUCT(1+N12:$N$20))),4)</f>
        <v>1.0818000000000001</v>
      </c>
      <c r="V12" s="3183">
        <f>ROUND(IF(项目基本情况!$B$8="出让",SUMPRODUCT(PRODUCT(1+O12:$O$21)),SUMPRODUCT(PRODUCT(1+O12:$O$20))),4)</f>
        <v>1.0629999999999999</v>
      </c>
      <c r="W12" s="3183">
        <f t="shared" si="56"/>
        <v>1.0250999999999999</v>
      </c>
      <c r="X12" s="3181"/>
      <c r="Y12" s="3184"/>
      <c r="Z12" s="3184"/>
      <c r="AA12" s="3184"/>
      <c r="AB12" s="3184"/>
      <c r="AC12" s="3184"/>
      <c r="AD12" s="3184"/>
    </row>
    <row r="13" spans="1:30" s="3185" customFormat="1" ht="12.75">
      <c r="A13" s="3176" t="s">
        <v>3369</v>
      </c>
      <c r="B13" s="3177">
        <v>2023</v>
      </c>
      <c r="C13" s="3178">
        <v>1</v>
      </c>
      <c r="D13" s="3179">
        <v>0.89</v>
      </c>
      <c r="E13" s="3179">
        <v>0.74</v>
      </c>
      <c r="F13" s="3179">
        <v>0.56999999999999995</v>
      </c>
      <c r="G13" s="3179">
        <v>0.92</v>
      </c>
      <c r="H13" s="3196">
        <v>0.5</v>
      </c>
      <c r="I13" s="3180">
        <f t="shared" si="37"/>
        <v>0.56999999999999995</v>
      </c>
      <c r="J13" s="3181"/>
      <c r="K13" s="3182">
        <f t="shared" si="50"/>
        <v>8.8999999999999999E-3</v>
      </c>
      <c r="L13" s="3172">
        <f t="shared" si="51"/>
        <v>7.4000000000000003E-3</v>
      </c>
      <c r="M13" s="3172">
        <f t="shared" si="52"/>
        <v>5.6999999999999993E-3</v>
      </c>
      <c r="N13" s="3172">
        <f t="shared" si="53"/>
        <v>9.1999999999999998E-3</v>
      </c>
      <c r="O13" s="3172">
        <f t="shared" si="54"/>
        <v>5.0000000000000001E-3</v>
      </c>
      <c r="P13" s="3172">
        <f t="shared" si="55"/>
        <v>5.6999999999999993E-3</v>
      </c>
      <c r="Q13" s="3181"/>
      <c r="R13" s="3183">
        <f>ROUND(IF(项目基本情况!$B$8="出让",SUMPRODUCT(PRODUCT(1+K13:$K$21)),SUMPRODUCT(PRODUCT(1+K13:$K$20))),4)</f>
        <v>1.0659000000000001</v>
      </c>
      <c r="S13" s="3183">
        <f>ROUND(IF(项目基本情况!$B$8="出让",SUMPRODUCT(PRODUCT(1+L13:$L$21)),SUMPRODUCT(PRODUCT(1+L13:$L$20))),4)</f>
        <v>1.0326</v>
      </c>
      <c r="T13" s="3183">
        <f>ROUND(IF(项目基本情况!$B$8="出让",SUMPRODUCT(PRODUCT(1+M13:$M$21)),SUMPRODUCT(PRODUCT(1+M13:$M$20))),4)</f>
        <v>1.0203</v>
      </c>
      <c r="U13" s="3183">
        <f>ROUND(IF(项目基本情况!$B$8="出让",SUMPRODUCT(PRODUCT(1+N13:$N$21)),SUMPRODUCT(PRODUCT(1+N13:$N$20))),4)</f>
        <v>1.0714999999999999</v>
      </c>
      <c r="V13" s="3183">
        <f>ROUND(IF(项目基本情况!$B$8="出让",SUMPRODUCT(PRODUCT(1+O13:$O$21)),SUMPRODUCT(PRODUCT(1+O13:$O$20))),4)</f>
        <v>1.0555000000000001</v>
      </c>
      <c r="W13" s="3183">
        <f t="shared" ref="W13:W20" si="57">T13</f>
        <v>1.0203</v>
      </c>
      <c r="X13" s="3181"/>
      <c r="Y13" s="3184"/>
      <c r="Z13" s="3184"/>
      <c r="AA13" s="3184"/>
      <c r="AB13" s="3184"/>
      <c r="AC13" s="3184"/>
      <c r="AD13" s="3184"/>
    </row>
    <row r="14" spans="1:30" s="3185" customFormat="1" ht="12.75">
      <c r="A14" s="3176" t="s">
        <v>3368</v>
      </c>
      <c r="B14" s="3177">
        <v>2022</v>
      </c>
      <c r="C14" s="3178">
        <v>4</v>
      </c>
      <c r="D14" s="3179">
        <v>0.62</v>
      </c>
      <c r="E14" s="3179">
        <v>0.2</v>
      </c>
      <c r="F14" s="3179">
        <v>0.11</v>
      </c>
      <c r="G14" s="3179">
        <v>0.69</v>
      </c>
      <c r="H14" s="3196">
        <v>0.53</v>
      </c>
      <c r="I14" s="3180">
        <f t="shared" si="37"/>
        <v>0.11</v>
      </c>
      <c r="J14" s="3181"/>
      <c r="K14" s="3182">
        <f t="shared" si="38"/>
        <v>6.1999999999999998E-3</v>
      </c>
      <c r="L14" s="3172">
        <f t="shared" si="38"/>
        <v>2E-3</v>
      </c>
      <c r="M14" s="3172">
        <f t="shared" si="38"/>
        <v>1.1000000000000001E-3</v>
      </c>
      <c r="N14" s="3172">
        <f t="shared" si="38"/>
        <v>6.8999999999999999E-3</v>
      </c>
      <c r="O14" s="3172">
        <f t="shared" si="38"/>
        <v>5.3E-3</v>
      </c>
      <c r="P14" s="3172">
        <f t="shared" ref="P14:P21" si="58">M14</f>
        <v>1.1000000000000001E-3</v>
      </c>
      <c r="Q14" s="3181"/>
      <c r="R14" s="3183">
        <f>ROUND(IF(项目基本情况!$B$8="出让",SUMPRODUCT(PRODUCT(1+K14:$K$21)),SUMPRODUCT(PRODUCT(1+K14:$K$20))),4)</f>
        <v>1.0565</v>
      </c>
      <c r="S14" s="3183">
        <f>ROUND(IF(项目基本情况!$B$8="出让",SUMPRODUCT(PRODUCT(1+L14:$L$21)),SUMPRODUCT(PRODUCT(1+L14:$L$20))),4)</f>
        <v>1.0250999999999999</v>
      </c>
      <c r="T14" s="3183">
        <f>ROUND(IF(项目基本情况!$B$8="出让",SUMPRODUCT(PRODUCT(1+M14:$M$21)),SUMPRODUCT(PRODUCT(1+M14:$M$20))),4)</f>
        <v>1.0145</v>
      </c>
      <c r="U14" s="3183">
        <f>ROUND(IF(项目基本情况!$B$8="出让",SUMPRODUCT(PRODUCT(1+N14:$N$21)),SUMPRODUCT(PRODUCT(1+N14:$N$20))),4)</f>
        <v>1.0618000000000001</v>
      </c>
      <c r="V14" s="3183">
        <f>ROUND(IF(项目基本情况!$B$8="出让",SUMPRODUCT(PRODUCT(1+O14:$O$21)),SUMPRODUCT(PRODUCT(1+O14:$O$20))),4)</f>
        <v>1.0502</v>
      </c>
      <c r="W14" s="3183">
        <f t="shared" si="57"/>
        <v>1.0145</v>
      </c>
      <c r="X14" s="3181"/>
      <c r="Y14" s="3184">
        <f>IF(D14=0,0,ROUND(AVERAGE(D14:D22)/100,4))</f>
        <v>8.0999999999999996E-3</v>
      </c>
      <c r="Z14" s="3184">
        <f t="shared" ref="Z14:AC14" si="59">IF(E14=0,0,ROUND(AVERAGE(E14:E21)/100,4))</f>
        <v>3.3E-3</v>
      </c>
      <c r="AA14" s="3184">
        <f t="shared" si="59"/>
        <v>1.5E-3</v>
      </c>
      <c r="AB14" s="3184">
        <f t="shared" si="59"/>
        <v>8.8999999999999999E-3</v>
      </c>
      <c r="AC14" s="3184">
        <f t="shared" si="59"/>
        <v>6.6E-3</v>
      </c>
      <c r="AD14" s="3184">
        <f t="shared" si="40"/>
        <v>1.5E-3</v>
      </c>
    </row>
    <row r="15" spans="1:30" s="3185" customFormat="1" ht="12.75">
      <c r="A15" s="3176" t="s">
        <v>3366</v>
      </c>
      <c r="B15" s="3177">
        <v>2022</v>
      </c>
      <c r="C15" s="3178">
        <v>3</v>
      </c>
      <c r="D15" s="3179">
        <v>0.66</v>
      </c>
      <c r="E15" s="3179">
        <v>0.32</v>
      </c>
      <c r="F15" s="3179">
        <v>0.23</v>
      </c>
      <c r="G15" s="3179">
        <v>0.72</v>
      </c>
      <c r="H15" s="3196">
        <v>0.63</v>
      </c>
      <c r="I15" s="3180">
        <f t="shared" si="37"/>
        <v>0.23</v>
      </c>
      <c r="J15" s="3181"/>
      <c r="K15" s="3182">
        <f t="shared" si="38"/>
        <v>6.6E-3</v>
      </c>
      <c r="L15" s="3172">
        <f t="shared" si="38"/>
        <v>3.2000000000000002E-3</v>
      </c>
      <c r="M15" s="3172">
        <f t="shared" si="38"/>
        <v>2.3E-3</v>
      </c>
      <c r="N15" s="3172">
        <f t="shared" si="38"/>
        <v>7.1999999999999998E-3</v>
      </c>
      <c r="O15" s="3172">
        <f t="shared" si="38"/>
        <v>6.3E-3</v>
      </c>
      <c r="P15" s="3172">
        <f t="shared" si="58"/>
        <v>2.3E-3</v>
      </c>
      <c r="Q15" s="3181"/>
      <c r="R15" s="3183">
        <f>ROUND(IF(项目基本情况!$B$8="出让",SUMPRODUCT(PRODUCT(1+K15:$K$21)),SUMPRODUCT(PRODUCT(1+K15:$K$20))),4)</f>
        <v>1.05</v>
      </c>
      <c r="S15" s="3183">
        <f>ROUND(IF(项目基本情况!$B$8="出让",SUMPRODUCT(PRODUCT(1+L15:$L$21)),SUMPRODUCT(PRODUCT(1+L15:$L$20))),4)</f>
        <v>1.0229999999999999</v>
      </c>
      <c r="T15" s="3183">
        <f>ROUND(IF(项目基本情况!$B$8="出让",SUMPRODUCT(PRODUCT(1+M15:$M$21)),SUMPRODUCT(PRODUCT(1+M15:$M$20))),4)</f>
        <v>1.0134000000000001</v>
      </c>
      <c r="U15" s="3183">
        <f>ROUND(IF(项目基本情况!$B$8="出让",SUMPRODUCT(PRODUCT(1+N15:$N$21)),SUMPRODUCT(PRODUCT(1+N15:$N$20))),4)</f>
        <v>1.0545</v>
      </c>
      <c r="V15" s="3183">
        <f>ROUND(IF(项目基本情况!$B$8="出让",SUMPRODUCT(PRODUCT(1+O15:$O$21)),SUMPRODUCT(PRODUCT(1+O15:$O$20))),4)</f>
        <v>1.0447</v>
      </c>
      <c r="W15" s="3183">
        <f t="shared" si="57"/>
        <v>1.0134000000000001</v>
      </c>
      <c r="X15" s="3181"/>
      <c r="Y15" s="3184">
        <f>IF(D15=0,0,ROUND(AVERAGE(D15:D21)/100,4))</f>
        <v>8.3999999999999995E-3</v>
      </c>
      <c r="Z15" s="3184">
        <f t="shared" ref="Z15:AC15" si="60">IF(E15=0,0,ROUND(AVERAGE(E15:E21)/100,4))</f>
        <v>3.5000000000000001E-3</v>
      </c>
      <c r="AA15" s="3184">
        <f t="shared" si="60"/>
        <v>1.5E-3</v>
      </c>
      <c r="AB15" s="3184">
        <f t="shared" si="60"/>
        <v>9.1999999999999998E-3</v>
      </c>
      <c r="AC15" s="3184">
        <f t="shared" si="60"/>
        <v>6.7999999999999996E-3</v>
      </c>
      <c r="AD15" s="3184">
        <f t="shared" si="40"/>
        <v>1.5E-3</v>
      </c>
    </row>
    <row r="16" spans="1:30" s="3185" customFormat="1" ht="12.75">
      <c r="A16" s="3176" t="s">
        <v>3357</v>
      </c>
      <c r="B16" s="3177">
        <v>2022</v>
      </c>
      <c r="C16" s="3178">
        <v>2</v>
      </c>
      <c r="D16" s="3179">
        <v>0.93</v>
      </c>
      <c r="E16" s="3179">
        <v>0.15</v>
      </c>
      <c r="F16" s="3179">
        <v>0.01</v>
      </c>
      <c r="G16" s="3179">
        <v>1.05</v>
      </c>
      <c r="H16" s="3196">
        <v>1.08</v>
      </c>
      <c r="I16" s="3180">
        <f t="shared" si="37"/>
        <v>0.01</v>
      </c>
      <c r="J16" s="3181"/>
      <c r="K16" s="3182">
        <f t="shared" si="38"/>
        <v>9.300000000000001E-3</v>
      </c>
      <c r="L16" s="3172">
        <f t="shared" si="38"/>
        <v>1.5E-3</v>
      </c>
      <c r="M16" s="3172">
        <f t="shared" si="38"/>
        <v>1E-4</v>
      </c>
      <c r="N16" s="3172">
        <f t="shared" si="38"/>
        <v>1.0500000000000001E-2</v>
      </c>
      <c r="O16" s="3172">
        <f t="shared" si="38"/>
        <v>1.0800000000000001E-2</v>
      </c>
      <c r="P16" s="3172">
        <f t="shared" si="58"/>
        <v>1E-4</v>
      </c>
      <c r="Q16" s="3181"/>
      <c r="R16" s="3183">
        <f>ROUND(IF(项目基本情况!$B$8="出让",SUMPRODUCT(PRODUCT(1+K16:$K$21)),SUMPRODUCT(PRODUCT(1+K16:$K$20))),4)</f>
        <v>1.0430999999999999</v>
      </c>
      <c r="S16" s="3183">
        <f>ROUND(IF(项目基本情况!$B$8="出让",SUMPRODUCT(PRODUCT(1+L16:$L$21)),SUMPRODUCT(PRODUCT(1+L16:$L$20))),4)</f>
        <v>1.0197000000000001</v>
      </c>
      <c r="T16" s="3183">
        <f>ROUND(IF(项目基本情况!$B$8="出让",SUMPRODUCT(PRODUCT(1+M16:$M$21)),SUMPRODUCT(PRODUCT(1+M16:$M$20))),4)</f>
        <v>1.0109999999999999</v>
      </c>
      <c r="U16" s="3183">
        <f>ROUND(IF(项目基本情况!$B$8="出让",SUMPRODUCT(PRODUCT(1+N16:$N$21)),SUMPRODUCT(PRODUCT(1+N16:$N$20))),4)</f>
        <v>1.0468999999999999</v>
      </c>
      <c r="V16" s="3183">
        <f>ROUND(IF(项目基本情况!$B$8="出让",SUMPRODUCT(PRODUCT(1+O16:$O$21)),SUMPRODUCT(PRODUCT(1+O16:$O$20))),4)</f>
        <v>1.0382</v>
      </c>
      <c r="W16" s="3183">
        <f t="shared" si="57"/>
        <v>1.0109999999999999</v>
      </c>
      <c r="X16" s="3181"/>
      <c r="Y16" s="3184">
        <f>IF(D16=0,0,ROUND(AVERAGE(D16:D21)/100,4))</f>
        <v>8.6999999999999994E-3</v>
      </c>
      <c r="Z16" s="3184">
        <f t="shared" ref="Z16:AC16" si="61">IF(E16=0,0,ROUND(AVERAGE(E16:E21)/100,4))</f>
        <v>3.5000000000000001E-3</v>
      </c>
      <c r="AA16" s="3184">
        <f t="shared" si="61"/>
        <v>1.4E-3</v>
      </c>
      <c r="AB16" s="3184">
        <f t="shared" si="61"/>
        <v>9.4999999999999998E-3</v>
      </c>
      <c r="AC16" s="3184">
        <f t="shared" si="61"/>
        <v>6.8999999999999999E-3</v>
      </c>
      <c r="AD16" s="3184">
        <f t="shared" si="40"/>
        <v>1.4E-3</v>
      </c>
    </row>
    <row r="17" spans="1:30" s="3185" customFormat="1" ht="12.75">
      <c r="A17" s="3176" t="s">
        <v>2822</v>
      </c>
      <c r="B17" s="3177">
        <v>2022</v>
      </c>
      <c r="C17" s="3178">
        <v>1</v>
      </c>
      <c r="D17" s="3179">
        <v>0.89</v>
      </c>
      <c r="E17" s="3179">
        <v>0.44</v>
      </c>
      <c r="F17" s="3179">
        <v>0.37</v>
      </c>
      <c r="G17" s="3179">
        <v>0.96</v>
      </c>
      <c r="H17" s="3196">
        <v>0.64</v>
      </c>
      <c r="I17" s="3180">
        <f t="shared" si="37"/>
        <v>0.37</v>
      </c>
      <c r="J17" s="3181"/>
      <c r="K17" s="3182">
        <f t="shared" si="38"/>
        <v>8.8999999999999999E-3</v>
      </c>
      <c r="L17" s="3172">
        <f t="shared" si="38"/>
        <v>4.4000000000000003E-3</v>
      </c>
      <c r="M17" s="3172">
        <f t="shared" si="38"/>
        <v>3.7000000000000002E-3</v>
      </c>
      <c r="N17" s="3172">
        <f t="shared" si="38"/>
        <v>9.5999999999999992E-3</v>
      </c>
      <c r="O17" s="3172">
        <f t="shared" si="38"/>
        <v>6.4000000000000003E-3</v>
      </c>
      <c r="P17" s="3172">
        <f t="shared" si="58"/>
        <v>3.7000000000000002E-3</v>
      </c>
      <c r="Q17" s="3181"/>
      <c r="R17" s="3183">
        <f>ROUND(IF(项目基本情况!$B$8="出让",SUMPRODUCT(PRODUCT(1+K17:$K$21)),SUMPRODUCT(PRODUCT(1+K17:$K$20))),4)</f>
        <v>1.0335000000000001</v>
      </c>
      <c r="S17" s="3183">
        <f>ROUND(IF(项目基本情况!$B$8="出让",SUMPRODUCT(PRODUCT(1+L17:$L$21)),SUMPRODUCT(PRODUCT(1+L17:$L$20))),4)</f>
        <v>1.0182</v>
      </c>
      <c r="T17" s="3183">
        <f>ROUND(IF(项目基本情况!$B$8="出让",SUMPRODUCT(PRODUCT(1+M17:$M$21)),SUMPRODUCT(PRODUCT(1+M17:$M$20))),4)</f>
        <v>1.0108999999999999</v>
      </c>
      <c r="U17" s="3183">
        <f>ROUND(IF(项目基本情况!$B$8="出让",SUMPRODUCT(PRODUCT(1+N17:$N$21)),SUMPRODUCT(PRODUCT(1+N17:$N$20))),4)</f>
        <v>1.0361</v>
      </c>
      <c r="V17" s="3183">
        <f>ROUND(IF(项目基本情况!$B$8="出让",SUMPRODUCT(PRODUCT(1+O17:$O$21)),SUMPRODUCT(PRODUCT(1+O17:$O$20))),4)</f>
        <v>1.0270999999999999</v>
      </c>
      <c r="W17" s="3183">
        <f t="shared" si="57"/>
        <v>1.0108999999999999</v>
      </c>
      <c r="X17" s="3181"/>
      <c r="Y17" s="3184">
        <f>IF(D17=0,0,ROUND(AVERAGE(D17:D21)/100,4))</f>
        <v>8.6E-3</v>
      </c>
      <c r="Z17" s="3184">
        <f t="shared" ref="Z17:AC17" si="62">IF(E17=0,0,ROUND(AVERAGE(E17:E21)/100,4))</f>
        <v>3.8999999999999998E-3</v>
      </c>
      <c r="AA17" s="3184">
        <f t="shared" si="62"/>
        <v>1.6999999999999999E-3</v>
      </c>
      <c r="AB17" s="3184">
        <f t="shared" si="62"/>
        <v>9.2999999999999992E-3</v>
      </c>
      <c r="AC17" s="3184">
        <f t="shared" si="62"/>
        <v>6.1000000000000004E-3</v>
      </c>
      <c r="AD17" s="3184">
        <f t="shared" si="40"/>
        <v>1.6999999999999999E-3</v>
      </c>
    </row>
    <row r="18" spans="1:30" s="3185" customFormat="1" ht="12.75">
      <c r="A18" s="3176" t="s">
        <v>2823</v>
      </c>
      <c r="B18" s="3177">
        <v>2021</v>
      </c>
      <c r="C18" s="3178">
        <v>4</v>
      </c>
      <c r="D18" s="3179">
        <v>1.03</v>
      </c>
      <c r="E18" s="3179">
        <v>0.24</v>
      </c>
      <c r="F18" s="3179">
        <v>7.0000000000000007E-2</v>
      </c>
      <c r="G18" s="3179">
        <v>1.17</v>
      </c>
      <c r="H18" s="3196">
        <v>0.55000000000000004</v>
      </c>
      <c r="I18" s="3180">
        <f t="shared" si="37"/>
        <v>7.0000000000000007E-2</v>
      </c>
      <c r="J18" s="3181"/>
      <c r="K18" s="3182">
        <f t="shared" si="38"/>
        <v>1.03E-2</v>
      </c>
      <c r="L18" s="3172">
        <f t="shared" si="38"/>
        <v>2.3999999999999998E-3</v>
      </c>
      <c r="M18" s="3172">
        <f t="shared" si="38"/>
        <v>7.000000000000001E-4</v>
      </c>
      <c r="N18" s="3172">
        <f t="shared" si="38"/>
        <v>1.1699999999999999E-2</v>
      </c>
      <c r="O18" s="3172">
        <f t="shared" si="38"/>
        <v>5.5000000000000005E-3</v>
      </c>
      <c r="P18" s="3172">
        <f t="shared" si="58"/>
        <v>7.000000000000001E-4</v>
      </c>
      <c r="Q18" s="3181"/>
      <c r="R18" s="3183">
        <f>ROUND(IF(项目基本情况!$B$8="出让",SUMPRODUCT(PRODUCT(1+K18:$K$21)),SUMPRODUCT(PRODUCT(1+K18:$K$20))),4)</f>
        <v>1.0244</v>
      </c>
      <c r="S18" s="3183">
        <f>ROUND(IF(项目基本情况!$B$8="出让",SUMPRODUCT(PRODUCT(1+L18:$L$21)),SUMPRODUCT(PRODUCT(1+L18:$L$20))),4)</f>
        <v>1.0138</v>
      </c>
      <c r="T18" s="3183">
        <f>ROUND(IF(项目基本情况!$B$8="出让",SUMPRODUCT(PRODUCT(1+M18:$M$21)),SUMPRODUCT(PRODUCT(1+M18:$M$20))),4)</f>
        <v>1.0072000000000001</v>
      </c>
      <c r="U18" s="3183">
        <f>ROUND(IF(项目基本情况!$B$8="出让",SUMPRODUCT(PRODUCT(1+N18:$N$21)),SUMPRODUCT(PRODUCT(1+N18:$N$20))),4)</f>
        <v>1.0262</v>
      </c>
      <c r="V18" s="3183">
        <f>ROUND(IF(项目基本情况!$B$8="出让",SUMPRODUCT(PRODUCT(1+O18:$O$21)),SUMPRODUCT(PRODUCT(1+O18:$O$20))),4)</f>
        <v>1.0205</v>
      </c>
      <c r="W18" s="3183">
        <f t="shared" si="57"/>
        <v>1.0072000000000001</v>
      </c>
      <c r="X18" s="3181"/>
      <c r="Y18" s="3184">
        <f>IF(D18=0,0,ROUND(AVERAGE(D18:D21)/100,4))</f>
        <v>8.5000000000000006E-3</v>
      </c>
      <c r="Z18" s="3184">
        <f t="shared" ref="Z18:AC18" si="63">IF(E18=0,0,ROUND(AVERAGE(E18:E21)/100,4))</f>
        <v>3.8E-3</v>
      </c>
      <c r="AA18" s="3184">
        <f t="shared" si="63"/>
        <v>1.1999999999999999E-3</v>
      </c>
      <c r="AB18" s="3184">
        <f t="shared" si="63"/>
        <v>9.2999999999999992E-3</v>
      </c>
      <c r="AC18" s="3184">
        <f t="shared" si="63"/>
        <v>6.0000000000000001E-3</v>
      </c>
      <c r="AD18" s="3184">
        <f t="shared" si="40"/>
        <v>1.1999999999999999E-3</v>
      </c>
    </row>
    <row r="19" spans="1:30" s="3185" customFormat="1" ht="12.75">
      <c r="A19" s="3176" t="s">
        <v>2824</v>
      </c>
      <c r="B19" s="3177">
        <v>2021</v>
      </c>
      <c r="C19" s="3178">
        <v>3</v>
      </c>
      <c r="D19" s="3179">
        <v>0.47</v>
      </c>
      <c r="E19" s="3179">
        <v>0.41</v>
      </c>
      <c r="F19" s="3179">
        <v>0.24</v>
      </c>
      <c r="G19" s="3179">
        <v>0.48</v>
      </c>
      <c r="H19" s="3196">
        <v>0.48</v>
      </c>
      <c r="I19" s="3180">
        <f t="shared" si="37"/>
        <v>0.24</v>
      </c>
      <c r="J19" s="3181"/>
      <c r="K19" s="3182">
        <f t="shared" si="38"/>
        <v>4.6999999999999993E-3</v>
      </c>
      <c r="L19" s="3172">
        <f t="shared" si="38"/>
        <v>4.0999999999999995E-3</v>
      </c>
      <c r="M19" s="3172">
        <f t="shared" si="38"/>
        <v>2.3999999999999998E-3</v>
      </c>
      <c r="N19" s="3172">
        <f t="shared" si="38"/>
        <v>4.7999999999999996E-3</v>
      </c>
      <c r="O19" s="3172">
        <f t="shared" si="38"/>
        <v>4.7999999999999996E-3</v>
      </c>
      <c r="P19" s="3172">
        <f t="shared" si="58"/>
        <v>2.3999999999999998E-3</v>
      </c>
      <c r="Q19" s="3181"/>
      <c r="R19" s="3183">
        <f>ROUND(IF(项目基本情况!$B$8="出让",SUMPRODUCT(PRODUCT(1+K19:$K$21)),SUMPRODUCT(PRODUCT(1+K19:$K$20))),4)</f>
        <v>1.0139</v>
      </c>
      <c r="S19" s="3183">
        <f>ROUND(IF(项目基本情况!$B$8="出让",SUMPRODUCT(PRODUCT(1+L19:$L$21)),SUMPRODUCT(PRODUCT(1+L19:$L$20))),4)</f>
        <v>1.0113000000000001</v>
      </c>
      <c r="T19" s="3183">
        <f>ROUND(IF(项目基本情况!$B$8="出让",SUMPRODUCT(PRODUCT(1+M19:$M$21)),SUMPRODUCT(PRODUCT(1+M19:$M$20))),4)</f>
        <v>1.0065</v>
      </c>
      <c r="U19" s="3183">
        <f>ROUND(IF(项目基本情况!$B$8="出让",SUMPRODUCT(PRODUCT(1+N19:$N$21)),SUMPRODUCT(PRODUCT(1+N19:$N$20))),4)</f>
        <v>1.0143</v>
      </c>
      <c r="V19" s="3183">
        <f>ROUND(IF(项目基本情况!$B$8="出让",SUMPRODUCT(PRODUCT(1+O19:$O$21)),SUMPRODUCT(PRODUCT(1+O19:$O$20))),4)</f>
        <v>1.0148999999999999</v>
      </c>
      <c r="W19" s="3183">
        <f t="shared" si="57"/>
        <v>1.0065</v>
      </c>
      <c r="X19" s="3181"/>
      <c r="Y19" s="3184">
        <f>IF(D19=0,0,ROUND(AVERAGE(D19:D21)/100,4))</f>
        <v>7.9000000000000008E-3</v>
      </c>
      <c r="Z19" s="3184">
        <f>IF(E19=0,0,ROUND(AVERAGE(E19:E21)/100,4))</f>
        <v>4.3E-3</v>
      </c>
      <c r="AA19" s="3184">
        <f>IF(F19=0,0,ROUND(AVERAGE(F19:F21)/100,4))</f>
        <v>1.2999999999999999E-3</v>
      </c>
      <c r="AB19" s="3184">
        <f>IF(G19=0,0,ROUND(AVERAGE(G19:G21)/100,4))</f>
        <v>8.5000000000000006E-3</v>
      </c>
      <c r="AC19" s="3184">
        <f>IF(H19=0,0,ROUND(AVERAGE(H19:H21)/100,4))</f>
        <v>6.1999999999999998E-3</v>
      </c>
      <c r="AD19" s="3184">
        <f t="shared" si="40"/>
        <v>1.2999999999999999E-3</v>
      </c>
    </row>
    <row r="20" spans="1:30" s="3185" customFormat="1" ht="12.75">
      <c r="A20" s="3176" t="s">
        <v>2825</v>
      </c>
      <c r="B20" s="3177">
        <v>2021</v>
      </c>
      <c r="C20" s="3178">
        <v>2</v>
      </c>
      <c r="D20" s="3179">
        <v>0.92</v>
      </c>
      <c r="E20" s="3179">
        <v>0.72</v>
      </c>
      <c r="F20" s="3179">
        <v>0.41</v>
      </c>
      <c r="G20" s="3179">
        <v>0.95</v>
      </c>
      <c r="H20" s="3196">
        <v>1.01</v>
      </c>
      <c r="I20" s="3180">
        <f t="shared" si="37"/>
        <v>0.41</v>
      </c>
      <c r="J20" s="3181"/>
      <c r="K20" s="3182">
        <f t="shared" si="38"/>
        <v>9.1999999999999998E-3</v>
      </c>
      <c r="L20" s="3172">
        <f t="shared" si="38"/>
        <v>7.1999999999999998E-3</v>
      </c>
      <c r="M20" s="3172">
        <f t="shared" si="38"/>
        <v>4.0999999999999995E-3</v>
      </c>
      <c r="N20" s="3172">
        <f t="shared" si="38"/>
        <v>9.4999999999999998E-3</v>
      </c>
      <c r="O20" s="3172">
        <f t="shared" si="38"/>
        <v>1.01E-2</v>
      </c>
      <c r="P20" s="3172">
        <f t="shared" si="58"/>
        <v>4.0999999999999995E-3</v>
      </c>
      <c r="Q20" s="3181"/>
      <c r="R20" s="3183">
        <f>ROUND(IF(项目基本情况!$B$8="出让",SUMPRODUCT(PRODUCT(1+K20:$K$21)),SUMPRODUCT(PRODUCT(1+K20:$K$20))),4)</f>
        <v>1.0092000000000001</v>
      </c>
      <c r="S20" s="3183">
        <f>ROUND(IF(项目基本情况!$B$8="出让",SUMPRODUCT(PRODUCT(1+L20:$L$21)),SUMPRODUCT(PRODUCT(1+L20:$L$20))),4)</f>
        <v>1.0072000000000001</v>
      </c>
      <c r="T20" s="3183">
        <f>ROUND(IF(项目基本情况!$B$8="出让",SUMPRODUCT(PRODUCT(1+M20:$M$21)),SUMPRODUCT(PRODUCT(1+M20:$M$20))),4)</f>
        <v>1.0041</v>
      </c>
      <c r="U20" s="3183">
        <f>ROUND(IF(项目基本情况!$B$8="出让",SUMPRODUCT(PRODUCT(1+N20:$N$21)),SUMPRODUCT(PRODUCT(1+N20:$N$20))),4)</f>
        <v>1.0095000000000001</v>
      </c>
      <c r="V20" s="3183">
        <f>ROUND(IF(项目基本情况!$B$8="出让",SUMPRODUCT(PRODUCT(1+O20:$O$21)),SUMPRODUCT(PRODUCT(1+O20:$O$20))),4)</f>
        <v>1.0101</v>
      </c>
      <c r="W20" s="3183">
        <f t="shared" si="57"/>
        <v>1.0041</v>
      </c>
      <c r="X20" s="3181"/>
      <c r="Y20" s="3184">
        <f>IF(D20=0,0,ROUND(AVERAGE(D20:D21)/100,4))</f>
        <v>9.4999999999999998E-3</v>
      </c>
      <c r="Z20" s="3184">
        <f>IF(E20=0,0,ROUND(AVERAGE(E20:E21)/100,4))</f>
        <v>4.4000000000000003E-3</v>
      </c>
      <c r="AA20" s="3184">
        <f>IF(F20=0,0,ROUND(AVERAGE(F20:F21)/100,4))</f>
        <v>8.0000000000000004E-4</v>
      </c>
      <c r="AB20" s="3184">
        <f>IF(G20=0,0,ROUND(AVERAGE(G20:G21)/100,4))</f>
        <v>1.03E-2</v>
      </c>
      <c r="AC20" s="3184">
        <f>IF(H20=0,0,ROUND(AVERAGE(H20:H21)/100,4))</f>
        <v>6.8999999999999999E-3</v>
      </c>
      <c r="AD20" s="3184">
        <f t="shared" si="40"/>
        <v>8.0000000000000004E-4</v>
      </c>
    </row>
    <row r="21" spans="1:30" s="3207" customFormat="1" thickBot="1">
      <c r="A21" s="3197" t="s">
        <v>2826</v>
      </c>
      <c r="B21" s="3198">
        <v>2021</v>
      </c>
      <c r="C21" s="3199">
        <v>1</v>
      </c>
      <c r="D21" s="3200">
        <v>0.97</v>
      </c>
      <c r="E21" s="3200">
        <v>0.16</v>
      </c>
      <c r="F21" s="3200">
        <v>-0.25</v>
      </c>
      <c r="G21" s="3200">
        <v>1.1100000000000001</v>
      </c>
      <c r="H21" s="3201">
        <v>0.36</v>
      </c>
      <c r="I21" s="3202">
        <f t="shared" si="37"/>
        <v>-0.25</v>
      </c>
      <c r="J21" s="3203"/>
      <c r="K21" s="3204">
        <f t="shared" si="38"/>
        <v>9.7000000000000003E-3</v>
      </c>
      <c r="L21" s="3205">
        <f t="shared" si="38"/>
        <v>1.6000000000000001E-3</v>
      </c>
      <c r="M21" s="3205">
        <f>F21/100</f>
        <v>-2.5000000000000001E-3</v>
      </c>
      <c r="N21" s="3205">
        <f t="shared" si="38"/>
        <v>1.11E-2</v>
      </c>
      <c r="O21" s="3205">
        <f t="shared" si="38"/>
        <v>3.5999999999999999E-3</v>
      </c>
      <c r="P21" s="3205">
        <f t="shared" si="58"/>
        <v>-2.5000000000000001E-3</v>
      </c>
      <c r="Q21" s="3203"/>
      <c r="R21" s="3206">
        <v>1</v>
      </c>
      <c r="S21" s="3206">
        <v>1</v>
      </c>
      <c r="T21" s="3206">
        <v>1</v>
      </c>
      <c r="U21" s="3206">
        <v>1</v>
      </c>
      <c r="V21" s="3206">
        <v>1</v>
      </c>
      <c r="W21" s="3206">
        <f t="shared" ref="W21" si="64">T21</f>
        <v>1</v>
      </c>
      <c r="X21" s="3203"/>
      <c r="Y21" s="3205">
        <f>IF(D21=0,0,ROUND(AVERAGE(D21:D21)/100,4))</f>
        <v>9.7000000000000003E-3</v>
      </c>
      <c r="Z21" s="3205">
        <f>IF(E21=0,0,ROUND(AVERAGE(E21:E21)/100,4))</f>
        <v>1.6000000000000001E-3</v>
      </c>
      <c r="AA21" s="3205">
        <f>IF(F21=0,0,ROUND(AVERAGE(F21:F21)/100,4))</f>
        <v>-2.5000000000000001E-3</v>
      </c>
      <c r="AB21" s="3205">
        <f>IF(G21=0,0,ROUND(AVERAGE(G21:G21)/100,4))</f>
        <v>1.11E-2</v>
      </c>
      <c r="AC21" s="3205">
        <f>IF(H21=0,0,ROUND(AVERAGE(H21:H21)/100,4))</f>
        <v>3.5999999999999999E-3</v>
      </c>
      <c r="AD21" s="3205">
        <f>AA21</f>
        <v>-2.5000000000000001E-3</v>
      </c>
    </row>
    <row r="22" spans="1:30" s="3009" customFormat="1" ht="14.25" thickTop="1"/>
    <row r="23" spans="1:30" s="3009" customFormat="1">
      <c r="A23" s="3448" t="s">
        <v>3387</v>
      </c>
    </row>
    <row r="24" spans="1:30" s="3009" customFormat="1">
      <c r="I24" s="3208" t="s">
        <v>2827</v>
      </c>
    </row>
    <row r="25" spans="1:30" s="3009" customFormat="1"/>
    <row r="26" spans="1:30" s="3209" customFormat="1" ht="12.75">
      <c r="B26" s="3210" t="s">
        <v>3385</v>
      </c>
      <c r="C26" s="3211"/>
      <c r="D26" s="3211"/>
      <c r="E26" s="3211"/>
      <c r="F26" s="3211"/>
      <c r="G26" s="3211"/>
      <c r="H26" s="3211"/>
      <c r="I26" s="3211"/>
      <c r="J26" s="3165"/>
      <c r="K26" s="3211" t="s">
        <v>2828</v>
      </c>
      <c r="L26" s="3211"/>
      <c r="M26" s="3211"/>
      <c r="N26" s="3211"/>
      <c r="O26" s="3211"/>
      <c r="P26" s="3211"/>
      <c r="Q26" s="3165"/>
      <c r="R26" s="3775" t="s">
        <v>2829</v>
      </c>
      <c r="S26" s="3776"/>
      <c r="T26" s="3776"/>
      <c r="U26" s="3776"/>
      <c r="V26" s="3776"/>
      <c r="W26" s="3776"/>
      <c r="X26" s="3165"/>
      <c r="Y26" s="3775" t="s">
        <v>2830</v>
      </c>
      <c r="Z26" s="3776"/>
      <c r="AA26" s="3776"/>
      <c r="AB26" s="3776"/>
      <c r="AC26" s="3776"/>
      <c r="AD26" s="3776"/>
    </row>
    <row r="27" spans="1:30" s="3143" customFormat="1" ht="14.25" thickBot="1">
      <c r="B27" s="3144"/>
      <c r="C27" s="3145"/>
      <c r="D27" s="3146" t="s">
        <v>2831</v>
      </c>
      <c r="E27" s="3147" t="s">
        <v>2832</v>
      </c>
      <c r="F27" s="3147" t="s">
        <v>2833</v>
      </c>
      <c r="G27" s="3147" t="s">
        <v>2834</v>
      </c>
      <c r="H27" s="3147"/>
      <c r="I27" s="3147" t="s">
        <v>2835</v>
      </c>
      <c r="J27" s="3148"/>
      <c r="K27" s="3146" t="s">
        <v>2831</v>
      </c>
      <c r="L27" s="3147" t="s">
        <v>2832</v>
      </c>
      <c r="M27" s="3147" t="s">
        <v>2833</v>
      </c>
      <c r="N27" s="3147" t="s">
        <v>2834</v>
      </c>
      <c r="O27" s="3147"/>
      <c r="P27" s="3147" t="s">
        <v>2835</v>
      </c>
      <c r="Q27" s="3148"/>
      <c r="R27" s="3146" t="s">
        <v>2831</v>
      </c>
      <c r="S27" s="3147" t="s">
        <v>2832</v>
      </c>
      <c r="T27" s="3147" t="s">
        <v>2833</v>
      </c>
      <c r="U27" s="3147" t="s">
        <v>2834</v>
      </c>
      <c r="V27" s="3147"/>
      <c r="W27" s="3147" t="s">
        <v>2835</v>
      </c>
      <c r="X27" s="3148"/>
      <c r="Y27" s="3146" t="s">
        <v>2831</v>
      </c>
      <c r="Z27" s="3147" t="s">
        <v>2832</v>
      </c>
      <c r="AA27" s="3147" t="s">
        <v>2833</v>
      </c>
      <c r="AB27" s="3147" t="s">
        <v>2834</v>
      </c>
      <c r="AC27" s="3147"/>
      <c r="AD27" s="3147" t="s">
        <v>2835</v>
      </c>
    </row>
    <row r="28" spans="1:30" s="3161" customFormat="1" ht="12.75">
      <c r="A28" s="3149" t="s">
        <v>2836</v>
      </c>
      <c r="B28" s="3150"/>
      <c r="C28" s="3151"/>
      <c r="D28" s="3151"/>
      <c r="E28" s="3151">
        <f t="shared" ref="E28:G28" si="65">ROUND(AVERAGEIF(E29:E46,"&lt;&gt;0"),2)</f>
        <v>0.26</v>
      </c>
      <c r="F28" s="3151">
        <f t="shared" si="65"/>
        <v>0.19</v>
      </c>
      <c r="G28" s="3151">
        <f t="shared" si="65"/>
        <v>0.38</v>
      </c>
      <c r="H28" s="3151"/>
      <c r="I28" s="3151">
        <f>F28</f>
        <v>0.19</v>
      </c>
      <c r="J28" s="3152"/>
      <c r="K28" s="3153"/>
      <c r="L28" s="3154">
        <f t="shared" ref="L28:N28" si="66">ROUND(AVERAGEIF(L29:L46,"&lt;&gt;0"),4)</f>
        <v>2.5999999999999999E-3</v>
      </c>
      <c r="M28" s="3154">
        <f t="shared" si="66"/>
        <v>1.9E-3</v>
      </c>
      <c r="N28" s="3154">
        <f t="shared" si="66"/>
        <v>3.8E-3</v>
      </c>
      <c r="O28" s="3154"/>
      <c r="P28" s="3154">
        <f>M28</f>
        <v>1.9E-3</v>
      </c>
      <c r="Q28" s="3152"/>
      <c r="R28" s="3155"/>
      <c r="S28" s="3156">
        <f>ROUND(SUMPRODUCT(PRODUCT(1+L29:L46)),4)</f>
        <v>1.04</v>
      </c>
      <c r="T28" s="3156">
        <f t="shared" ref="T28:U28" si="67">ROUND(SUMPRODUCT(PRODUCT(1+M29:M46)),4)</f>
        <v>1.0293000000000001</v>
      </c>
      <c r="U28" s="3156">
        <f t="shared" si="67"/>
        <v>1.0583</v>
      </c>
      <c r="V28" s="3156"/>
      <c r="W28" s="3155">
        <f>T28</f>
        <v>1.0293000000000001</v>
      </c>
      <c r="X28" s="3152"/>
      <c r="Y28" s="3157"/>
      <c r="Z28" s="3158">
        <f t="shared" ref="Z28:AB28" si="68">ROUND(AVERAGEIF(Z29:Z46,"&lt;&gt;0"),4)</f>
        <v>4.1000000000000003E-3</v>
      </c>
      <c r="AA28" s="3159">
        <f t="shared" si="68"/>
        <v>3.3E-3</v>
      </c>
      <c r="AB28" s="3157">
        <f t="shared" si="68"/>
        <v>8.0999999999999996E-3</v>
      </c>
      <c r="AC28" s="3160"/>
      <c r="AD28" s="3157">
        <f>AA28</f>
        <v>3.3E-3</v>
      </c>
    </row>
    <row r="29" spans="1:30" s="3162" customFormat="1" ht="12.75">
      <c r="B29" s="3163"/>
      <c r="C29" s="3164"/>
      <c r="D29" s="3164"/>
      <c r="E29" s="3164"/>
      <c r="F29" s="3164"/>
      <c r="G29" s="3164"/>
      <c r="H29" s="3164"/>
      <c r="I29" s="3164"/>
      <c r="J29" s="3165"/>
      <c r="K29" s="3166"/>
      <c r="L29" s="3167"/>
      <c r="M29" s="3167"/>
      <c r="N29" s="3167"/>
      <c r="O29" s="3167"/>
      <c r="P29" s="3167"/>
      <c r="Q29" s="3165"/>
      <c r="R29" s="3168"/>
      <c r="S29" s="3169"/>
      <c r="T29" s="3170"/>
      <c r="U29" s="3168"/>
      <c r="V29" s="3171"/>
      <c r="W29" s="3168"/>
      <c r="X29" s="3165"/>
      <c r="Y29" s="3172"/>
      <c r="Z29" s="3173"/>
      <c r="AA29" s="3174"/>
      <c r="AB29" s="3172"/>
      <c r="AC29" s="3175"/>
      <c r="AD29" s="3172"/>
    </row>
    <row r="30" spans="1:30" s="3185" customFormat="1" ht="12.75">
      <c r="A30" s="2205" t="s">
        <v>3380</v>
      </c>
      <c r="B30" s="3177">
        <v>2025</v>
      </c>
      <c r="C30" s="3178">
        <v>1</v>
      </c>
      <c r="D30" s="3179"/>
      <c r="E30" s="3179">
        <v>0</v>
      </c>
      <c r="F30" s="3179">
        <v>0</v>
      </c>
      <c r="G30" s="3179">
        <v>0</v>
      </c>
      <c r="H30" s="3179"/>
      <c r="I30" s="3180">
        <f t="shared" ref="I30" si="69">F30</f>
        <v>0</v>
      </c>
      <c r="J30" s="3181"/>
      <c r="K30" s="3182"/>
      <c r="L30" s="3172">
        <f t="shared" ref="L30" si="70">E30/100</f>
        <v>0</v>
      </c>
      <c r="M30" s="3172">
        <f t="shared" ref="M30" si="71">F30/100</f>
        <v>0</v>
      </c>
      <c r="N30" s="3172">
        <f t="shared" ref="N30" si="72">G30/100</f>
        <v>0</v>
      </c>
      <c r="O30" s="3172"/>
      <c r="P30" s="3172">
        <f>M30</f>
        <v>0</v>
      </c>
      <c r="Q30" s="3181"/>
      <c r="R30" s="3183"/>
      <c r="S30" s="3183">
        <f>ROUND(IF(项目基本情况!$B$8="出让",SUMPRODUCT(PRODUCT(1+L30:L$46)),SUMPRODUCT(PRODUCT(1+L30:L$45))),4)</f>
        <v>1.0364</v>
      </c>
      <c r="T30" s="3183">
        <f>ROUND(IF(项目基本情况!$B$8="出让",SUMPRODUCT(PRODUCT(1+M30:M$46)),SUMPRODUCT(PRODUCT(1+M30:M$45))),4)</f>
        <v>1.0244</v>
      </c>
      <c r="U30" s="3183">
        <f>ROUND(IF(项目基本情况!$B$8="出让",SUMPRODUCT(PRODUCT(1+N30:N$46)),SUMPRODUCT(PRODUCT(1+N30:N$45))),4)</f>
        <v>1.048</v>
      </c>
      <c r="V30" s="3183"/>
      <c r="W30" s="3183">
        <f>T30</f>
        <v>1.0244</v>
      </c>
      <c r="X30" s="3181"/>
      <c r="Y30" s="3184"/>
      <c r="Z30" s="3212">
        <f t="shared" ref="Z30" si="73">IF(E30=0,0,ROUND(AVERAGE(E30:E43)/100,4))</f>
        <v>0</v>
      </c>
      <c r="AA30" s="3212">
        <f t="shared" ref="AA30" si="74">IF(F30=0,0,ROUND(AVERAGE(F30:F43)/100,4))</f>
        <v>0</v>
      </c>
      <c r="AB30" s="3212">
        <f t="shared" ref="AB30" si="75">IF(G30=0,0,ROUND(AVERAGE(G30:G43)/100,4))</f>
        <v>0</v>
      </c>
      <c r="AC30" s="3213"/>
      <c r="AD30" s="3184">
        <f>IF(I30=0,0,ROUND(AVERAGE(I30:I43)/100,4))</f>
        <v>0</v>
      </c>
    </row>
    <row r="31" spans="1:30" s="3195" customFormat="1" ht="12.75">
      <c r="A31" s="3186" t="s">
        <v>3382</v>
      </c>
      <c r="B31" s="3187">
        <v>2024</v>
      </c>
      <c r="C31" s="3188">
        <v>4</v>
      </c>
      <c r="D31" s="3189"/>
      <c r="E31" s="3189">
        <v>0</v>
      </c>
      <c r="F31" s="3189">
        <v>0</v>
      </c>
      <c r="G31" s="3189">
        <v>0</v>
      </c>
      <c r="H31" s="3190"/>
      <c r="I31" s="3191">
        <f t="shared" ref="I31" si="76">F31</f>
        <v>0</v>
      </c>
      <c r="J31" s="3192"/>
      <c r="K31" s="3193"/>
      <c r="L31" s="3194">
        <f t="shared" ref="L31" si="77">E31/100</f>
        <v>0</v>
      </c>
      <c r="M31" s="3194">
        <f t="shared" ref="M31" si="78">F31/100</f>
        <v>0</v>
      </c>
      <c r="N31" s="3194">
        <f t="shared" ref="N31" si="79">G31/100</f>
        <v>0</v>
      </c>
      <c r="O31" s="3194"/>
      <c r="P31" s="3194">
        <f>M31</f>
        <v>0</v>
      </c>
      <c r="Q31" s="3192"/>
      <c r="R31" s="3192"/>
      <c r="S31" s="3192">
        <f>ROUND(IF(项目基本情况!$B$8="出让",SUMPRODUCT(PRODUCT(1+L31:L$46)),SUMPRODUCT(PRODUCT(1+L31:L$45))),4)</f>
        <v>1.0364</v>
      </c>
      <c r="T31" s="3192">
        <f>ROUND(IF(项目基本情况!$B$8="出让",SUMPRODUCT(PRODUCT(1+M31:M$46)),SUMPRODUCT(PRODUCT(1+M31:M$45))),4)</f>
        <v>1.0244</v>
      </c>
      <c r="U31" s="3192">
        <f>ROUND(IF(项目基本情况!$B$8="出让",SUMPRODUCT(PRODUCT(1+N31:N$46)),SUMPRODUCT(PRODUCT(1+N31:N$45))),4)</f>
        <v>1.048</v>
      </c>
      <c r="V31" s="3192"/>
      <c r="W31" s="3192">
        <f>T31</f>
        <v>1.0244</v>
      </c>
      <c r="X31" s="3192"/>
      <c r="Y31" s="3194"/>
      <c r="Z31" s="3215">
        <f t="shared" ref="Z31" si="80">IF(E31=0,0,ROUND(AVERAGE(E31:E44)/100,4))</f>
        <v>0</v>
      </c>
      <c r="AA31" s="3216">
        <f t="shared" ref="AA31" si="81">IF(F31=0,0,ROUND(AVERAGE(F31:F44)/100,4))</f>
        <v>0</v>
      </c>
      <c r="AB31" s="3194">
        <f t="shared" ref="AB31" si="82">IF(G31=0,0,ROUND(AVERAGE(G31:G44)/100,4))</f>
        <v>0</v>
      </c>
      <c r="AC31" s="3217"/>
      <c r="AD31" s="3194">
        <f>IF(I31=0,0,ROUND(AVERAGE(I31:I44)/100,4))</f>
        <v>0</v>
      </c>
    </row>
    <row r="32" spans="1:30" s="3185" customFormat="1" ht="12.75">
      <c r="A32" s="2205" t="s">
        <v>3375</v>
      </c>
      <c r="B32" s="3177">
        <v>2024</v>
      </c>
      <c r="C32" s="3178">
        <v>3</v>
      </c>
      <c r="D32" s="3179"/>
      <c r="E32" s="3179">
        <v>-0.66</v>
      </c>
      <c r="F32" s="3179">
        <v>-0.52</v>
      </c>
      <c r="G32" s="3179">
        <v>-2.87</v>
      </c>
      <c r="H32" s="3179"/>
      <c r="I32" s="3180">
        <f t="shared" ref="I32" si="83">F32</f>
        <v>-0.52</v>
      </c>
      <c r="J32" s="3181"/>
      <c r="K32" s="3182"/>
      <c r="L32" s="3172">
        <f t="shared" ref="L32" si="84">E32/100</f>
        <v>-6.6E-3</v>
      </c>
      <c r="M32" s="3172">
        <f t="shared" ref="M32" si="85">F32/100</f>
        <v>-5.1999999999999998E-3</v>
      </c>
      <c r="N32" s="3172">
        <f t="shared" ref="N32" si="86">G32/100</f>
        <v>-2.87E-2</v>
      </c>
      <c r="O32" s="3172"/>
      <c r="P32" s="3172">
        <f>M32</f>
        <v>-5.1999999999999998E-3</v>
      </c>
      <c r="Q32" s="3181"/>
      <c r="R32" s="3183"/>
      <c r="S32" s="3183">
        <f>ROUND(IF(项目基本情况!$B$8="出让",SUMPRODUCT(PRODUCT(1+L32:L$46)),SUMPRODUCT(PRODUCT(1+L32:L$45))),4)</f>
        <v>1.0364</v>
      </c>
      <c r="T32" s="3183">
        <f>ROUND(IF(项目基本情况!$B$8="出让",SUMPRODUCT(PRODUCT(1+M32:M$46)),SUMPRODUCT(PRODUCT(1+M32:M$45))),4)</f>
        <v>1.0244</v>
      </c>
      <c r="U32" s="3183">
        <f>ROUND(IF(项目基本情况!$B$8="出让",SUMPRODUCT(PRODUCT(1+N32:N$46)),SUMPRODUCT(PRODUCT(1+N32:N$45))),4)</f>
        <v>1.048</v>
      </c>
      <c r="V32" s="3183"/>
      <c r="W32" s="3183">
        <f>T32</f>
        <v>1.0244</v>
      </c>
      <c r="X32" s="3181"/>
      <c r="Y32" s="3184"/>
      <c r="Z32" s="3212">
        <f t="shared" ref="Z32:AB33" si="87">IF(E32=0,0,ROUND(AVERAGE(E32:E45)/100,4))</f>
        <v>2.5999999999999999E-3</v>
      </c>
      <c r="AA32" s="3212">
        <f t="shared" si="87"/>
        <v>1.6999999999999999E-3</v>
      </c>
      <c r="AB32" s="3212">
        <f t="shared" si="87"/>
        <v>3.3999999999999998E-3</v>
      </c>
      <c r="AC32" s="3213"/>
      <c r="AD32" s="3184">
        <f>IF(I32=0,0,ROUND(AVERAGE(I32:I45)/100,4))</f>
        <v>1.6999999999999999E-3</v>
      </c>
    </row>
    <row r="33" spans="1:30" s="3185" customFormat="1" ht="12.75">
      <c r="A33" s="3176" t="s">
        <v>3383</v>
      </c>
      <c r="B33" s="3177">
        <v>2024</v>
      </c>
      <c r="C33" s="3178">
        <v>2</v>
      </c>
      <c r="D33" s="3179"/>
      <c r="E33" s="3179">
        <v>-0.31</v>
      </c>
      <c r="F33" s="3179">
        <v>-0.39</v>
      </c>
      <c r="G33" s="3179">
        <v>1.23</v>
      </c>
      <c r="H33" s="3196"/>
      <c r="I33" s="3180">
        <f t="shared" ref="I33:I46" si="88">F33</f>
        <v>-0.39</v>
      </c>
      <c r="J33" s="3181"/>
      <c r="K33" s="3182"/>
      <c r="L33" s="3172">
        <f t="shared" ref="L33:N46" si="89">E33/100</f>
        <v>-3.0999999999999999E-3</v>
      </c>
      <c r="M33" s="3172">
        <f t="shared" si="89"/>
        <v>-3.9000000000000003E-3</v>
      </c>
      <c r="N33" s="3172">
        <f t="shared" si="89"/>
        <v>1.23E-2</v>
      </c>
      <c r="O33" s="3172"/>
      <c r="P33" s="3172">
        <f>M33</f>
        <v>-3.9000000000000003E-3</v>
      </c>
      <c r="Q33" s="3181"/>
      <c r="R33" s="3183"/>
      <c r="S33" s="3183">
        <f>ROUND(IF(项目基本情况!$B$8="出让",SUMPRODUCT(PRODUCT(1+L33:L$46)),SUMPRODUCT(PRODUCT(1+L33:L$45))),4)</f>
        <v>1.0432999999999999</v>
      </c>
      <c r="T33" s="3183">
        <f>ROUND(IF(项目基本情况!$B$8="出让",SUMPRODUCT(PRODUCT(1+M33:M$46)),SUMPRODUCT(PRODUCT(1+M33:M$45))),4)</f>
        <v>1.0298</v>
      </c>
      <c r="U33" s="3183">
        <f>ROUND(IF(项目基本情况!$B$8="出让",SUMPRODUCT(PRODUCT(1+N33:N$46)),SUMPRODUCT(PRODUCT(1+N33:N$45))),4)</f>
        <v>1.079</v>
      </c>
      <c r="V33" s="3183"/>
      <c r="W33" s="3183">
        <f>T33</f>
        <v>1.0298</v>
      </c>
      <c r="X33" s="3181"/>
      <c r="Y33" s="3184"/>
      <c r="Z33" s="3212">
        <f t="shared" si="87"/>
        <v>3.3E-3</v>
      </c>
      <c r="AA33" s="3214">
        <f t="shared" si="87"/>
        <v>2.3999999999999998E-3</v>
      </c>
      <c r="AB33" s="3184">
        <f t="shared" si="87"/>
        <v>6.1999999999999998E-3</v>
      </c>
      <c r="AC33" s="3213"/>
      <c r="AD33" s="3184">
        <f>IF(I33=0,0,ROUND(AVERAGE(I33:I46)/100,4))</f>
        <v>2.3999999999999998E-3</v>
      </c>
    </row>
    <row r="34" spans="1:30" s="3185" customFormat="1" ht="12.75">
      <c r="A34" s="3176" t="s">
        <v>3376</v>
      </c>
      <c r="B34" s="3177">
        <v>2024</v>
      </c>
      <c r="C34" s="3178">
        <v>1</v>
      </c>
      <c r="D34" s="3179"/>
      <c r="E34" s="3179">
        <v>0.25</v>
      </c>
      <c r="F34" s="3179">
        <v>0.4</v>
      </c>
      <c r="G34" s="3179">
        <v>-0.63</v>
      </c>
      <c r="H34" s="3196"/>
      <c r="I34" s="3180">
        <f t="shared" ref="I34:I35" si="90">F34</f>
        <v>0.4</v>
      </c>
      <c r="J34" s="3181"/>
      <c r="K34" s="3182"/>
      <c r="L34" s="3172">
        <f t="shared" ref="L34" si="91">E34/100</f>
        <v>2.5000000000000001E-3</v>
      </c>
      <c r="M34" s="3172">
        <f t="shared" ref="M34" si="92">F34/100</f>
        <v>4.0000000000000001E-3</v>
      </c>
      <c r="N34" s="3172">
        <f t="shared" ref="N34" si="93">G34/100</f>
        <v>-6.3E-3</v>
      </c>
      <c r="O34" s="3172"/>
      <c r="P34" s="3172">
        <f t="shared" ref="P34" si="94">M34</f>
        <v>4.0000000000000001E-3</v>
      </c>
      <c r="Q34" s="3181"/>
      <c r="R34" s="3183"/>
      <c r="S34" s="3183">
        <f>ROUND(IF(项目基本情况!$B$8="出让",SUMPRODUCT(PRODUCT(1+L34:L$46)),SUMPRODUCT(PRODUCT(1+L34:L$45))),4)</f>
        <v>1.0465</v>
      </c>
      <c r="T34" s="3183">
        <f>ROUND(IF(项目基本情况!$B$8="出让",SUMPRODUCT(PRODUCT(1+M34:M$46)),SUMPRODUCT(PRODUCT(1+M34:M$45))),4)</f>
        <v>1.0338000000000001</v>
      </c>
      <c r="U34" s="3183">
        <f>ROUND(IF(项目基本情况!$B$8="出让",SUMPRODUCT(PRODUCT(1+N34:N$46)),SUMPRODUCT(PRODUCT(1+N34:N$45))),4)</f>
        <v>1.0659000000000001</v>
      </c>
      <c r="V34" s="3183"/>
      <c r="W34" s="3183">
        <f t="shared" ref="W34" si="95">T34</f>
        <v>1.0338000000000001</v>
      </c>
      <c r="X34" s="3181"/>
      <c r="Y34" s="3184"/>
      <c r="Z34" s="3212"/>
      <c r="AA34" s="3214"/>
      <c r="AB34" s="3184"/>
      <c r="AC34" s="3213"/>
      <c r="AD34" s="3184"/>
    </row>
    <row r="35" spans="1:30" s="3185" customFormat="1" ht="12.75">
      <c r="A35" s="3176" t="s">
        <v>3374</v>
      </c>
      <c r="B35" s="3177">
        <v>2023</v>
      </c>
      <c r="C35" s="3178">
        <v>4</v>
      </c>
      <c r="D35" s="3179"/>
      <c r="E35" s="3179">
        <v>7.0000000000000007E-2</v>
      </c>
      <c r="F35" s="3179">
        <v>0.09</v>
      </c>
      <c r="G35" s="3179">
        <v>0.03</v>
      </c>
      <c r="H35" s="3196"/>
      <c r="I35" s="3180">
        <f t="shared" si="90"/>
        <v>0.09</v>
      </c>
      <c r="J35" s="3181"/>
      <c r="K35" s="3182"/>
      <c r="L35" s="3172">
        <f t="shared" si="89"/>
        <v>7.000000000000001E-4</v>
      </c>
      <c r="M35" s="3172">
        <f t="shared" si="89"/>
        <v>8.9999999999999998E-4</v>
      </c>
      <c r="N35" s="3172">
        <f t="shared" si="89"/>
        <v>2.9999999999999997E-4</v>
      </c>
      <c r="O35" s="3172"/>
      <c r="P35" s="3172">
        <f t="shared" ref="P35" si="96">M35</f>
        <v>8.9999999999999998E-4</v>
      </c>
      <c r="Q35" s="3181"/>
      <c r="R35" s="3183"/>
      <c r="S35" s="3183">
        <f>ROUND(IF(项目基本情况!$B$8="出让",SUMPRODUCT(PRODUCT(1+L35:L$46)),SUMPRODUCT(PRODUCT(1+L35:L$45))),4)</f>
        <v>1.0439000000000001</v>
      </c>
      <c r="T35" s="3183">
        <f>ROUND(IF(项目基本情况!$B$8="出让",SUMPRODUCT(PRODUCT(1+M35:M$46)),SUMPRODUCT(PRODUCT(1+M35:M$45))),4)</f>
        <v>1.0297000000000001</v>
      </c>
      <c r="U35" s="3183">
        <f>ROUND(IF(项目基本情况!$B$8="出让",SUMPRODUCT(PRODUCT(1+N35:N$46)),SUMPRODUCT(PRODUCT(1+N35:N$45))),4)</f>
        <v>1.0727</v>
      </c>
      <c r="V35" s="3183"/>
      <c r="W35" s="3183">
        <f t="shared" ref="W35" si="97">T35</f>
        <v>1.0297000000000001</v>
      </c>
      <c r="X35" s="3181"/>
      <c r="Y35" s="3184"/>
      <c r="Z35" s="3212"/>
      <c r="AA35" s="3214"/>
      <c r="AB35" s="3184"/>
      <c r="AC35" s="3213"/>
      <c r="AD35" s="3184"/>
    </row>
    <row r="36" spans="1:30" s="3185" customFormat="1" ht="12.75">
      <c r="A36" s="3176" t="s">
        <v>3372</v>
      </c>
      <c r="B36" s="3177">
        <v>2023</v>
      </c>
      <c r="C36" s="3178">
        <v>3</v>
      </c>
      <c r="D36" s="3179"/>
      <c r="E36" s="3179">
        <v>0.35</v>
      </c>
      <c r="F36" s="3179">
        <v>0.17</v>
      </c>
      <c r="G36" s="3179">
        <v>0.52</v>
      </c>
      <c r="H36" s="3196"/>
      <c r="I36" s="3180">
        <f t="shared" si="88"/>
        <v>0.17</v>
      </c>
      <c r="J36" s="3181"/>
      <c r="K36" s="3182"/>
      <c r="L36" s="3172">
        <f t="shared" ref="L36:L38" si="98">E36/100</f>
        <v>3.4999999999999996E-3</v>
      </c>
      <c r="M36" s="3172">
        <f t="shared" ref="M36:M38" si="99">F36/100</f>
        <v>1.7000000000000001E-3</v>
      </c>
      <c r="N36" s="3172">
        <f t="shared" ref="N36:N38" si="100">G36/100</f>
        <v>5.1999999999999998E-3</v>
      </c>
      <c r="O36" s="3172"/>
      <c r="P36" s="3172">
        <f t="shared" ref="P36:P38" si="101">M36</f>
        <v>1.7000000000000001E-3</v>
      </c>
      <c r="Q36" s="3181"/>
      <c r="R36" s="3183"/>
      <c r="S36" s="3183">
        <f>ROUND(IF(项目基本情况!$B$8="出让",SUMPRODUCT(PRODUCT(1+L36:L$46)),SUMPRODUCT(PRODUCT(1+L36:L$45))),4)</f>
        <v>1.0431999999999999</v>
      </c>
      <c r="T36" s="3183">
        <f>ROUND(IF(项目基本情况!$B$8="出让",SUMPRODUCT(PRODUCT(1+M36:M$46)),SUMPRODUCT(PRODUCT(1+M36:M$45))),4)</f>
        <v>1.0286999999999999</v>
      </c>
      <c r="U36" s="3183">
        <f>ROUND(IF(项目基本情况!$B$8="出让",SUMPRODUCT(PRODUCT(1+N36:N$46)),SUMPRODUCT(PRODUCT(1+N36:N$45))),4)</f>
        <v>1.0723</v>
      </c>
      <c r="V36" s="3183"/>
      <c r="W36" s="3183">
        <f t="shared" ref="W36:W38" si="102">T36</f>
        <v>1.0286999999999999</v>
      </c>
      <c r="X36" s="3181"/>
      <c r="Y36" s="3184"/>
      <c r="Z36" s="3212"/>
      <c r="AA36" s="3214"/>
      <c r="AB36" s="3184"/>
      <c r="AC36" s="3213"/>
      <c r="AD36" s="3184"/>
    </row>
    <row r="37" spans="1:30" s="3185" customFormat="1" ht="12.75">
      <c r="A37" s="3176" t="s">
        <v>3371</v>
      </c>
      <c r="B37" s="3177">
        <v>2023</v>
      </c>
      <c r="C37" s="3178">
        <v>2</v>
      </c>
      <c r="D37" s="3179"/>
      <c r="E37" s="3179">
        <v>0.5</v>
      </c>
      <c r="F37" s="3179">
        <v>0.45</v>
      </c>
      <c r="G37" s="3179">
        <v>0.89</v>
      </c>
      <c r="H37" s="3196"/>
      <c r="I37" s="3180">
        <f t="shared" si="88"/>
        <v>0.45</v>
      </c>
      <c r="J37" s="3181"/>
      <c r="K37" s="3182"/>
      <c r="L37" s="3172">
        <f t="shared" si="98"/>
        <v>5.0000000000000001E-3</v>
      </c>
      <c r="M37" s="3172">
        <f t="shared" si="99"/>
        <v>4.5000000000000005E-3</v>
      </c>
      <c r="N37" s="3172">
        <f t="shared" si="100"/>
        <v>8.8999999999999999E-3</v>
      </c>
      <c r="O37" s="3172"/>
      <c r="P37" s="3172">
        <f t="shared" si="101"/>
        <v>4.5000000000000005E-3</v>
      </c>
      <c r="Q37" s="3181"/>
      <c r="R37" s="3183"/>
      <c r="S37" s="3183">
        <f>ROUND(IF(项目基本情况!$B$8="出让",SUMPRODUCT(PRODUCT(1+L37:L$46)),SUMPRODUCT(PRODUCT(1+L37:L$45))),4)</f>
        <v>1.0396000000000001</v>
      </c>
      <c r="T37" s="3183">
        <f>ROUND(IF(项目基本情况!$B$8="出让",SUMPRODUCT(PRODUCT(1+M37:M$46)),SUMPRODUCT(PRODUCT(1+M37:M$45))),4)</f>
        <v>1.0269999999999999</v>
      </c>
      <c r="U37" s="3183">
        <f>ROUND(IF(项目基本情况!$B$8="出让",SUMPRODUCT(PRODUCT(1+N37:N$46)),SUMPRODUCT(PRODUCT(1+N37:N$45))),4)</f>
        <v>1.0668</v>
      </c>
      <c r="V37" s="3183"/>
      <c r="W37" s="3183">
        <f t="shared" si="102"/>
        <v>1.0269999999999999</v>
      </c>
      <c r="X37" s="3181"/>
      <c r="Y37" s="3184"/>
      <c r="Z37" s="3212"/>
      <c r="AA37" s="3214"/>
      <c r="AB37" s="3184"/>
      <c r="AC37" s="3213"/>
      <c r="AD37" s="3184"/>
    </row>
    <row r="38" spans="1:30" s="3185" customFormat="1" ht="12.75">
      <c r="A38" s="3176" t="s">
        <v>3369</v>
      </c>
      <c r="B38" s="3177">
        <v>2023</v>
      </c>
      <c r="C38" s="3178">
        <v>1</v>
      </c>
      <c r="D38" s="3179"/>
      <c r="E38" s="3179">
        <v>0.55000000000000004</v>
      </c>
      <c r="F38" s="3179">
        <v>0.59</v>
      </c>
      <c r="G38" s="3179">
        <v>0.64</v>
      </c>
      <c r="H38" s="3196"/>
      <c r="I38" s="3180">
        <f t="shared" si="88"/>
        <v>0.59</v>
      </c>
      <c r="J38" s="3181"/>
      <c r="K38" s="3182"/>
      <c r="L38" s="3172">
        <f t="shared" si="98"/>
        <v>5.5000000000000005E-3</v>
      </c>
      <c r="M38" s="3172">
        <f t="shared" si="99"/>
        <v>5.8999999999999999E-3</v>
      </c>
      <c r="N38" s="3172">
        <f t="shared" si="100"/>
        <v>6.4000000000000003E-3</v>
      </c>
      <c r="O38" s="3172"/>
      <c r="P38" s="3172">
        <f t="shared" si="101"/>
        <v>5.8999999999999999E-3</v>
      </c>
      <c r="Q38" s="3181"/>
      <c r="R38" s="3183"/>
      <c r="S38" s="3183">
        <f>ROUND(IF(项目基本情况!$B$8="出让",SUMPRODUCT(PRODUCT(1+L38:L$46)),SUMPRODUCT(PRODUCT(1+L38:L$45))),4)</f>
        <v>1.0344</v>
      </c>
      <c r="T38" s="3183">
        <f>ROUND(IF(项目基本情况!$B$8="出让",SUMPRODUCT(PRODUCT(1+M38:M$46)),SUMPRODUCT(PRODUCT(1+M38:M$45))),4)</f>
        <v>1.0224</v>
      </c>
      <c r="U38" s="3183">
        <f>ROUND(IF(项目基本情况!$B$8="出让",SUMPRODUCT(PRODUCT(1+N38:N$46)),SUMPRODUCT(PRODUCT(1+N38:N$45))),4)</f>
        <v>1.0573999999999999</v>
      </c>
      <c r="V38" s="3183"/>
      <c r="W38" s="3183">
        <f t="shared" si="102"/>
        <v>1.0224</v>
      </c>
      <c r="X38" s="3181"/>
      <c r="Y38" s="3184"/>
      <c r="Z38" s="3212"/>
      <c r="AA38" s="3214"/>
      <c r="AB38" s="3184"/>
      <c r="AC38" s="3213"/>
      <c r="AD38" s="3184"/>
    </row>
    <row r="39" spans="1:30" s="3185" customFormat="1" ht="12.75">
      <c r="A39" s="3176" t="s">
        <v>3368</v>
      </c>
      <c r="B39" s="3177">
        <v>2022</v>
      </c>
      <c r="C39" s="3178">
        <v>4</v>
      </c>
      <c r="D39" s="3179"/>
      <c r="E39" s="3179">
        <v>0.45</v>
      </c>
      <c r="F39" s="3179">
        <v>0.2</v>
      </c>
      <c r="G39" s="3179">
        <v>0.38</v>
      </c>
      <c r="H39" s="3196"/>
      <c r="I39" s="3180">
        <f t="shared" si="88"/>
        <v>0.2</v>
      </c>
      <c r="J39" s="3181"/>
      <c r="K39" s="3182"/>
      <c r="L39" s="3172">
        <f t="shared" si="89"/>
        <v>4.5000000000000005E-3</v>
      </c>
      <c r="M39" s="3172">
        <f t="shared" si="89"/>
        <v>2E-3</v>
      </c>
      <c r="N39" s="3172">
        <f t="shared" si="89"/>
        <v>3.8E-3</v>
      </c>
      <c r="O39" s="3172"/>
      <c r="P39" s="3172">
        <f t="shared" ref="P39:P46" si="103">M39</f>
        <v>2E-3</v>
      </c>
      <c r="Q39" s="3181"/>
      <c r="R39" s="3183"/>
      <c r="S39" s="3183">
        <f>ROUND(IF(项目基本情况!$B$8="出让",SUMPRODUCT(PRODUCT(1+L39:L$46)),SUMPRODUCT(PRODUCT(1+L39:L$45))),4)</f>
        <v>1.0286999999999999</v>
      </c>
      <c r="T39" s="3183">
        <f>ROUND(IF(项目基本情况!$B$8="出让",SUMPRODUCT(PRODUCT(1+M39:M$46)),SUMPRODUCT(PRODUCT(1+M39:M$45))),4)</f>
        <v>1.0164</v>
      </c>
      <c r="U39" s="3183">
        <f>ROUND(IF(项目基本情况!$B$8="出让",SUMPRODUCT(PRODUCT(1+N39:N$46)),SUMPRODUCT(PRODUCT(1+N39:N$45))),4)</f>
        <v>1.0506</v>
      </c>
      <c r="V39" s="3183"/>
      <c r="W39" s="3183">
        <f t="shared" ref="W39:W46" si="104">T39</f>
        <v>1.0164</v>
      </c>
      <c r="X39" s="3181"/>
      <c r="Y39" s="3184"/>
      <c r="Z39" s="3212">
        <f t="shared" ref="Z39:AD46" si="105">IF(E39=0,0,ROUND(AVERAGE(E39:E47)/100,4))</f>
        <v>4.0000000000000001E-3</v>
      </c>
      <c r="AA39" s="3214">
        <f t="shared" si="105"/>
        <v>2.5999999999999999E-3</v>
      </c>
      <c r="AB39" s="3184">
        <f t="shared" si="105"/>
        <v>7.4000000000000003E-3</v>
      </c>
      <c r="AC39" s="3213"/>
      <c r="AD39" s="3184">
        <f t="shared" si="105"/>
        <v>2.5999999999999999E-3</v>
      </c>
    </row>
    <row r="40" spans="1:30" s="3185" customFormat="1" ht="12.75">
      <c r="A40" s="3176" t="s">
        <v>3367</v>
      </c>
      <c r="B40" s="3177">
        <v>2022</v>
      </c>
      <c r="C40" s="3178">
        <v>3</v>
      </c>
      <c r="D40" s="3179"/>
      <c r="E40" s="3179">
        <v>0.3</v>
      </c>
      <c r="F40" s="3179">
        <v>0.28999999999999998</v>
      </c>
      <c r="G40" s="3179">
        <v>0.83</v>
      </c>
      <c r="H40" s="3196"/>
      <c r="I40" s="3180">
        <f t="shared" si="88"/>
        <v>0.28999999999999998</v>
      </c>
      <c r="J40" s="3181"/>
      <c r="K40" s="3182"/>
      <c r="L40" s="3172">
        <f t="shared" si="89"/>
        <v>3.0000000000000001E-3</v>
      </c>
      <c r="M40" s="3172">
        <f t="shared" si="89"/>
        <v>2.8999999999999998E-3</v>
      </c>
      <c r="N40" s="3172">
        <f t="shared" si="89"/>
        <v>8.3000000000000001E-3</v>
      </c>
      <c r="O40" s="3172"/>
      <c r="P40" s="3172">
        <f t="shared" si="103"/>
        <v>2.8999999999999998E-3</v>
      </c>
      <c r="Q40" s="3181"/>
      <c r="R40" s="3183"/>
      <c r="S40" s="3183">
        <f>ROUND(IF(项目基本情况!$B$8="出让",SUMPRODUCT(PRODUCT(1+L40:L$46)),SUMPRODUCT(PRODUCT(1+L40:L$45))),4)</f>
        <v>1.0241</v>
      </c>
      <c r="T40" s="3183">
        <f>ROUND(IF(项目基本情况!$B$8="出让",SUMPRODUCT(PRODUCT(1+M40:M$46)),SUMPRODUCT(PRODUCT(1+M40:M$45))),4)</f>
        <v>1.0144</v>
      </c>
      <c r="U40" s="3183">
        <f>ROUND(IF(项目基本情况!$B$8="出让",SUMPRODUCT(PRODUCT(1+N40:N$46)),SUMPRODUCT(PRODUCT(1+N40:N$45))),4)</f>
        <v>1.0467</v>
      </c>
      <c r="V40" s="3183"/>
      <c r="W40" s="3183">
        <f t="shared" si="104"/>
        <v>1.0144</v>
      </c>
      <c r="X40" s="3181"/>
      <c r="Y40" s="3184"/>
      <c r="Z40" s="3212">
        <f t="shared" si="105"/>
        <v>3.8999999999999998E-3</v>
      </c>
      <c r="AA40" s="3214">
        <f t="shared" si="105"/>
        <v>2.7000000000000001E-3</v>
      </c>
      <c r="AB40" s="3184">
        <f t="shared" si="105"/>
        <v>7.9000000000000008E-3</v>
      </c>
      <c r="AC40" s="3213"/>
      <c r="AD40" s="3184">
        <f t="shared" si="105"/>
        <v>2.7000000000000001E-3</v>
      </c>
    </row>
    <row r="41" spans="1:30" s="3185" customFormat="1" ht="12.75">
      <c r="A41" s="3176" t="s">
        <v>3357</v>
      </c>
      <c r="B41" s="3177">
        <v>2022</v>
      </c>
      <c r="C41" s="3178">
        <v>2</v>
      </c>
      <c r="D41" s="3179"/>
      <c r="E41" s="3179">
        <v>-0.11</v>
      </c>
      <c r="F41" s="3179">
        <v>-0.13</v>
      </c>
      <c r="G41" s="3179">
        <v>0.53</v>
      </c>
      <c r="H41" s="3196"/>
      <c r="I41" s="3180">
        <f t="shared" si="88"/>
        <v>-0.13</v>
      </c>
      <c r="J41" s="3181"/>
      <c r="K41" s="3182"/>
      <c r="L41" s="3172">
        <f t="shared" si="89"/>
        <v>-1.1000000000000001E-3</v>
      </c>
      <c r="M41" s="3172">
        <f t="shared" si="89"/>
        <v>-1.2999999999999999E-3</v>
      </c>
      <c r="N41" s="3172">
        <f t="shared" si="89"/>
        <v>5.3E-3</v>
      </c>
      <c r="O41" s="3172"/>
      <c r="P41" s="3172">
        <f t="shared" si="103"/>
        <v>-1.2999999999999999E-3</v>
      </c>
      <c r="Q41" s="3181"/>
      <c r="R41" s="3183"/>
      <c r="S41" s="3183">
        <f>ROUND(IF(项目基本情况!$B$8="出让",SUMPRODUCT(PRODUCT(1+L41:L$46)),SUMPRODUCT(PRODUCT(1+L41:L$45))),4)</f>
        <v>1.0210999999999999</v>
      </c>
      <c r="T41" s="3183">
        <f>ROUND(IF(项目基本情况!$B$8="出让",SUMPRODUCT(PRODUCT(1+M41:M$46)),SUMPRODUCT(PRODUCT(1+M41:M$45))),4)</f>
        <v>1.0114000000000001</v>
      </c>
      <c r="U41" s="3183">
        <f>ROUND(IF(项目基本情况!$B$8="出让",SUMPRODUCT(PRODUCT(1+N41:N$46)),SUMPRODUCT(PRODUCT(1+N41:N$45))),4)</f>
        <v>1.0381</v>
      </c>
      <c r="V41" s="3183"/>
      <c r="W41" s="3183">
        <f t="shared" si="104"/>
        <v>1.0114000000000001</v>
      </c>
      <c r="X41" s="3181"/>
      <c r="Y41" s="3184"/>
      <c r="Z41" s="3212">
        <f t="shared" si="105"/>
        <v>4.1000000000000003E-3</v>
      </c>
      <c r="AA41" s="3214">
        <f t="shared" si="105"/>
        <v>2.7000000000000001E-3</v>
      </c>
      <c r="AB41" s="3184">
        <f t="shared" si="105"/>
        <v>7.9000000000000008E-3</v>
      </c>
      <c r="AC41" s="3213"/>
      <c r="AD41" s="3184">
        <f t="shared" si="105"/>
        <v>2.7000000000000001E-3</v>
      </c>
    </row>
    <row r="42" spans="1:30" s="3185" customFormat="1" ht="12.75">
      <c r="A42" s="3176" t="s">
        <v>2837</v>
      </c>
      <c r="B42" s="3177">
        <v>2022</v>
      </c>
      <c r="C42" s="3178">
        <v>1</v>
      </c>
      <c r="D42" s="3179"/>
      <c r="E42" s="3179">
        <v>0.6</v>
      </c>
      <c r="F42" s="3179">
        <v>0.45</v>
      </c>
      <c r="G42" s="3179">
        <v>0.53</v>
      </c>
      <c r="H42" s="3196"/>
      <c r="I42" s="3180">
        <f t="shared" si="88"/>
        <v>0.45</v>
      </c>
      <c r="J42" s="3181"/>
      <c r="K42" s="3182"/>
      <c r="L42" s="3172">
        <f t="shared" si="89"/>
        <v>6.0000000000000001E-3</v>
      </c>
      <c r="M42" s="3172">
        <f t="shared" si="89"/>
        <v>4.5000000000000005E-3</v>
      </c>
      <c r="N42" s="3172">
        <f t="shared" si="89"/>
        <v>5.3E-3</v>
      </c>
      <c r="O42" s="3172"/>
      <c r="P42" s="3172">
        <f t="shared" si="103"/>
        <v>4.5000000000000005E-3</v>
      </c>
      <c r="Q42" s="3181"/>
      <c r="R42" s="3183"/>
      <c r="S42" s="3183">
        <f>ROUND(IF(项目基本情况!$B$8="出让",SUMPRODUCT(PRODUCT(1+L42:L$46)),SUMPRODUCT(PRODUCT(1+L42:L$45))),4)</f>
        <v>1.0222</v>
      </c>
      <c r="T42" s="3183">
        <f>ROUND(IF(项目基本情况!$B$8="出让",SUMPRODUCT(PRODUCT(1+M42:M$46)),SUMPRODUCT(PRODUCT(1+M42:M$45))),4)</f>
        <v>1.0127999999999999</v>
      </c>
      <c r="U42" s="3183">
        <f>ROUND(IF(项目基本情况!$B$8="出让",SUMPRODUCT(PRODUCT(1+N42:N$46)),SUMPRODUCT(PRODUCT(1+N42:N$45))),4)</f>
        <v>1.0326</v>
      </c>
      <c r="V42" s="3183"/>
      <c r="W42" s="3183">
        <f t="shared" si="104"/>
        <v>1.0127999999999999</v>
      </c>
      <c r="X42" s="3181"/>
      <c r="Y42" s="3184"/>
      <c r="Z42" s="3212">
        <f t="shared" si="105"/>
        <v>5.1000000000000004E-3</v>
      </c>
      <c r="AA42" s="3214">
        <f t="shared" si="105"/>
        <v>3.5000000000000001E-3</v>
      </c>
      <c r="AB42" s="3184">
        <f t="shared" si="105"/>
        <v>8.3999999999999995E-3</v>
      </c>
      <c r="AC42" s="3213"/>
      <c r="AD42" s="3184">
        <f t="shared" si="105"/>
        <v>3.5000000000000001E-3</v>
      </c>
    </row>
    <row r="43" spans="1:30" s="3185" customFormat="1" ht="12.75">
      <c r="A43" s="3176" t="s">
        <v>2838</v>
      </c>
      <c r="B43" s="3177">
        <v>2021</v>
      </c>
      <c r="C43" s="3178">
        <v>4</v>
      </c>
      <c r="D43" s="3179"/>
      <c r="E43" s="3179">
        <v>0.57999999999999996</v>
      </c>
      <c r="F43" s="3179">
        <v>0.08</v>
      </c>
      <c r="G43" s="3179">
        <v>0.68</v>
      </c>
      <c r="H43" s="3196"/>
      <c r="I43" s="3180">
        <f t="shared" si="88"/>
        <v>0.08</v>
      </c>
      <c r="J43" s="3181"/>
      <c r="K43" s="3182"/>
      <c r="L43" s="3172">
        <f t="shared" si="89"/>
        <v>5.7999999999999996E-3</v>
      </c>
      <c r="M43" s="3172">
        <f t="shared" si="89"/>
        <v>8.0000000000000004E-4</v>
      </c>
      <c r="N43" s="3172">
        <f t="shared" si="89"/>
        <v>6.8000000000000005E-3</v>
      </c>
      <c r="O43" s="3172"/>
      <c r="P43" s="3172">
        <f t="shared" si="103"/>
        <v>8.0000000000000004E-4</v>
      </c>
      <c r="Q43" s="3181"/>
      <c r="R43" s="3183"/>
      <c r="S43" s="3183">
        <f>ROUND(IF(项目基本情况!$B$8="出让",SUMPRODUCT(PRODUCT(1+L43:L$46)),SUMPRODUCT(PRODUCT(1+L43:L$45))),4)</f>
        <v>1.0161</v>
      </c>
      <c r="T43" s="3183">
        <f>ROUND(IF(项目基本情况!$B$8="出让",SUMPRODUCT(PRODUCT(1+M43:M$46)),SUMPRODUCT(PRODUCT(1+M43:M$45))),4)</f>
        <v>1.0082</v>
      </c>
      <c r="U43" s="3183">
        <f>ROUND(IF(项目基本情况!$B$8="出让",SUMPRODUCT(PRODUCT(1+N43:N$46)),SUMPRODUCT(PRODUCT(1+N43:N$45))),4)</f>
        <v>1.0270999999999999</v>
      </c>
      <c r="V43" s="3183"/>
      <c r="W43" s="3183">
        <f t="shared" si="104"/>
        <v>1.0082</v>
      </c>
      <c r="X43" s="3181"/>
      <c r="Y43" s="3184"/>
      <c r="Z43" s="3212">
        <f t="shared" si="105"/>
        <v>4.8999999999999998E-3</v>
      </c>
      <c r="AA43" s="3214">
        <f t="shared" si="105"/>
        <v>3.3E-3</v>
      </c>
      <c r="AB43" s="3184">
        <f t="shared" si="105"/>
        <v>9.1999999999999998E-3</v>
      </c>
      <c r="AC43" s="3213"/>
      <c r="AD43" s="3184">
        <f t="shared" si="105"/>
        <v>3.3E-3</v>
      </c>
    </row>
    <row r="44" spans="1:30" s="3185" customFormat="1" ht="12.75">
      <c r="A44" s="3176" t="s">
        <v>2839</v>
      </c>
      <c r="B44" s="3177">
        <v>2021</v>
      </c>
      <c r="C44" s="3178">
        <v>3</v>
      </c>
      <c r="D44" s="3179"/>
      <c r="E44" s="3179">
        <v>0.47</v>
      </c>
      <c r="F44" s="3179">
        <v>0.28000000000000003</v>
      </c>
      <c r="G44" s="3179">
        <v>0.91</v>
      </c>
      <c r="H44" s="3196"/>
      <c r="I44" s="3180">
        <f t="shared" si="88"/>
        <v>0.28000000000000003</v>
      </c>
      <c r="J44" s="3181"/>
      <c r="K44" s="3182"/>
      <c r="L44" s="3172">
        <f t="shared" si="89"/>
        <v>4.6999999999999993E-3</v>
      </c>
      <c r="M44" s="3172">
        <f t="shared" si="89"/>
        <v>2.8000000000000004E-3</v>
      </c>
      <c r="N44" s="3172">
        <f t="shared" si="89"/>
        <v>9.1000000000000004E-3</v>
      </c>
      <c r="O44" s="3172"/>
      <c r="P44" s="3172">
        <f t="shared" si="103"/>
        <v>2.8000000000000004E-3</v>
      </c>
      <c r="Q44" s="3181"/>
      <c r="R44" s="3183"/>
      <c r="S44" s="3183">
        <f>ROUND(IF(项目基本情况!$B$8="出让",SUMPRODUCT(PRODUCT(1+L44:L$46)),SUMPRODUCT(PRODUCT(1+L44:L$45))),4)</f>
        <v>1.0102</v>
      </c>
      <c r="T44" s="3183">
        <f>ROUND(IF(项目基本情况!$B$8="出让",SUMPRODUCT(PRODUCT(1+M44:M$46)),SUMPRODUCT(PRODUCT(1+M44:M$45))),4)</f>
        <v>1.0074000000000001</v>
      </c>
      <c r="U44" s="3183">
        <f>ROUND(IF(项目基本情况!$B$8="出让",SUMPRODUCT(PRODUCT(1+N44:N$46)),SUMPRODUCT(PRODUCT(1+N44:N$45))),4)</f>
        <v>1.0202</v>
      </c>
      <c r="V44" s="3183"/>
      <c r="W44" s="3183">
        <f t="shared" si="104"/>
        <v>1.0074000000000001</v>
      </c>
      <c r="X44" s="3181"/>
      <c r="Y44" s="3184"/>
      <c r="Z44" s="3212">
        <f t="shared" si="105"/>
        <v>4.5999999999999999E-3</v>
      </c>
      <c r="AA44" s="3214">
        <f t="shared" si="105"/>
        <v>4.1000000000000003E-3</v>
      </c>
      <c r="AB44" s="3184">
        <f t="shared" si="105"/>
        <v>0.01</v>
      </c>
      <c r="AC44" s="3213"/>
      <c r="AD44" s="3184">
        <f t="shared" si="105"/>
        <v>4.1000000000000003E-3</v>
      </c>
    </row>
    <row r="45" spans="1:30" s="3185" customFormat="1" ht="12.75">
      <c r="A45" s="3176" t="s">
        <v>2840</v>
      </c>
      <c r="B45" s="3177">
        <v>2021</v>
      </c>
      <c r="C45" s="3178">
        <v>2</v>
      </c>
      <c r="D45" s="3179"/>
      <c r="E45" s="3179">
        <v>0.55000000000000004</v>
      </c>
      <c r="F45" s="3179">
        <v>0.46</v>
      </c>
      <c r="G45" s="3179">
        <v>1.1000000000000001</v>
      </c>
      <c r="H45" s="3196"/>
      <c r="I45" s="3180">
        <f t="shared" si="88"/>
        <v>0.46</v>
      </c>
      <c r="J45" s="3181"/>
      <c r="K45" s="3182"/>
      <c r="L45" s="3172">
        <f t="shared" si="89"/>
        <v>5.5000000000000005E-3</v>
      </c>
      <c r="M45" s="3172">
        <f t="shared" si="89"/>
        <v>4.5999999999999999E-3</v>
      </c>
      <c r="N45" s="3172">
        <f t="shared" si="89"/>
        <v>1.1000000000000001E-2</v>
      </c>
      <c r="O45" s="3172"/>
      <c r="P45" s="3172">
        <f t="shared" si="103"/>
        <v>4.5999999999999999E-3</v>
      </c>
      <c r="Q45" s="3181"/>
      <c r="R45" s="3183"/>
      <c r="S45" s="3183">
        <f>ROUND(IF(项目基本情况!$B$8="出让",SUMPRODUCT(PRODUCT(1+L45:L$46)),SUMPRODUCT(PRODUCT(1+L45:L$45))),4)</f>
        <v>1.0055000000000001</v>
      </c>
      <c r="T45" s="3183">
        <f>ROUND(IF(项目基本情况!$B$8="出让",SUMPRODUCT(PRODUCT(1+M45:M$46)),SUMPRODUCT(PRODUCT(1+M45:M$45))),4)</f>
        <v>1.0045999999999999</v>
      </c>
      <c r="U45" s="3183">
        <f>ROUND(IF(项目基本情况!$B$8="出让",SUMPRODUCT(PRODUCT(1+N45:N$46)),SUMPRODUCT(PRODUCT(1+N45:N$45))),4)</f>
        <v>1.0109999999999999</v>
      </c>
      <c r="V45" s="3183"/>
      <c r="W45" s="3183">
        <f t="shared" si="104"/>
        <v>1.0045999999999999</v>
      </c>
      <c r="X45" s="3181"/>
      <c r="Y45" s="3184"/>
      <c r="Z45" s="3212">
        <f t="shared" si="105"/>
        <v>4.4999999999999997E-3</v>
      </c>
      <c r="AA45" s="3214">
        <f t="shared" si="105"/>
        <v>4.7000000000000002E-3</v>
      </c>
      <c r="AB45" s="3184">
        <f t="shared" si="105"/>
        <v>1.04E-2</v>
      </c>
      <c r="AC45" s="3213"/>
      <c r="AD45" s="3184">
        <f t="shared" si="105"/>
        <v>4.7000000000000002E-3</v>
      </c>
    </row>
    <row r="46" spans="1:30" s="3207" customFormat="1" thickBot="1">
      <c r="A46" s="3197" t="s">
        <v>2826</v>
      </c>
      <c r="B46" s="3198">
        <v>2021</v>
      </c>
      <c r="C46" s="3199">
        <v>1</v>
      </c>
      <c r="D46" s="3200"/>
      <c r="E46" s="3200">
        <v>0.35</v>
      </c>
      <c r="F46" s="3200">
        <v>0.48</v>
      </c>
      <c r="G46" s="3200">
        <v>0.98</v>
      </c>
      <c r="H46" s="3201"/>
      <c r="I46" s="3202">
        <f t="shared" si="88"/>
        <v>0.48</v>
      </c>
      <c r="J46" s="3203"/>
      <c r="K46" s="3204"/>
      <c r="L46" s="3205">
        <f t="shared" si="89"/>
        <v>3.4999999999999996E-3</v>
      </c>
      <c r="M46" s="3205">
        <f>F46/100</f>
        <v>4.7999999999999996E-3</v>
      </c>
      <c r="N46" s="3205">
        <f t="shared" si="89"/>
        <v>9.7999999999999997E-3</v>
      </c>
      <c r="O46" s="3205"/>
      <c r="P46" s="3205">
        <f t="shared" si="103"/>
        <v>4.7999999999999996E-3</v>
      </c>
      <c r="Q46" s="3203"/>
      <c r="R46" s="3206"/>
      <c r="S46" s="3206">
        <v>1</v>
      </c>
      <c r="T46" s="3206">
        <v>1</v>
      </c>
      <c r="U46" s="3206">
        <v>1</v>
      </c>
      <c r="V46" s="3206"/>
      <c r="W46" s="3206">
        <f t="shared" si="104"/>
        <v>1</v>
      </c>
      <c r="X46" s="3203"/>
      <c r="Y46" s="3205"/>
      <c r="Z46" s="3218">
        <f t="shared" si="105"/>
        <v>3.5000000000000001E-3</v>
      </c>
      <c r="AA46" s="3219">
        <f t="shared" si="105"/>
        <v>4.7999999999999996E-3</v>
      </c>
      <c r="AB46" s="3205">
        <f t="shared" si="105"/>
        <v>9.7999999999999997E-3</v>
      </c>
      <c r="AC46" s="3220"/>
      <c r="AD46" s="3205">
        <f t="shared" si="105"/>
        <v>4.7999999999999996E-3</v>
      </c>
    </row>
    <row r="47" spans="1:30" ht="14.25" thickTop="1"/>
    <row r="48" spans="1:30">
      <c r="A48" s="3448" t="s">
        <v>3386</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2" t="s">
        <v>452</v>
      </c>
      <c r="C1" s="3782"/>
      <c r="D1" s="3782"/>
      <c r="E1" s="3782"/>
      <c r="F1" s="3782"/>
      <c r="G1" s="3781" t="s">
        <v>453</v>
      </c>
      <c r="H1" s="3781"/>
      <c r="I1" s="3781"/>
      <c r="J1" s="3781"/>
      <c r="K1" s="3781"/>
      <c r="L1" s="3781"/>
      <c r="N1" s="3781" t="s">
        <v>454</v>
      </c>
      <c r="O1" s="3781"/>
      <c r="P1" s="3781"/>
      <c r="Q1" s="3781"/>
      <c r="S1" s="3781" t="s">
        <v>455</v>
      </c>
      <c r="T1" s="3781"/>
      <c r="U1" s="3781"/>
      <c r="V1" s="3781"/>
      <c r="X1" s="3780" t="s">
        <v>456</v>
      </c>
      <c r="Y1" s="3781"/>
      <c r="Z1" s="3781"/>
      <c r="AA1" s="3781"/>
      <c r="AB1" s="3781"/>
      <c r="AD1" s="3780" t="s">
        <v>457</v>
      </c>
      <c r="AE1" s="3781"/>
      <c r="AF1" s="3781"/>
      <c r="AG1" s="3781"/>
      <c r="AH1" s="3781"/>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7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7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7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7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7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7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7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7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7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7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7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7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7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7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7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7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7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7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7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7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7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7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7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7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7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7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7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7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7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7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7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7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7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7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7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7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7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7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7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7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7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7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7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7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7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7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7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45604</v>
      </c>
      <c r="D1" s="1302" t="s">
        <v>603</v>
      </c>
      <c r="E1" s="1297">
        <f>'数据-取费表'!B22</f>
        <v>0</v>
      </c>
      <c r="F1" s="1302" t="s">
        <v>604</v>
      </c>
      <c r="G1" s="1298" t="e">
        <f ca="1">INDIRECT("d"&amp;$K$1)/100</f>
        <v>#VALUE!</v>
      </c>
      <c r="H1" s="1302" t="s">
        <v>634</v>
      </c>
      <c r="I1" s="1298">
        <f ca="1">F4/100</f>
        <v>1.4999999999999999E-2</v>
      </c>
      <c r="J1" s="1303">
        <f>IF(C1&gt;C13,0,MATCH(C1,C$13:C$114,-1))+IF(SUMIF(C13:C114,C1,D13:D114)=0,13,12)</f>
        <v>13</v>
      </c>
      <c r="K1" s="1303">
        <f ca="1">MATCH(E1,C3:C7,1)+IF(SUMIF(C3:C7,E1,D3:D7)=0,2,1)</f>
        <v>2</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3.1</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3.1</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3.1</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3.1</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3.6</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45586</v>
      </c>
      <c r="D13" s="2822">
        <v>3.1</v>
      </c>
      <c r="E13" s="2822">
        <f>D13</f>
        <v>3.1</v>
      </c>
      <c r="F13" s="2822">
        <f>D13</f>
        <v>3.1</v>
      </c>
      <c r="G13" s="2822">
        <f>D13</f>
        <v>3.1</v>
      </c>
      <c r="H13" s="2822">
        <v>3.6</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45495</v>
      </c>
      <c r="D14" s="2817">
        <v>3.35</v>
      </c>
      <c r="E14" s="2817">
        <f>D14</f>
        <v>3.35</v>
      </c>
      <c r="F14" s="2817">
        <f>D14</f>
        <v>3.35</v>
      </c>
      <c r="G14" s="2817">
        <f>D14</f>
        <v>3.35</v>
      </c>
      <c r="H14" s="2817">
        <v>3.85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45342</v>
      </c>
      <c r="D15" s="2817">
        <v>3.45</v>
      </c>
      <c r="E15" s="2817">
        <f>D15</f>
        <v>3.45</v>
      </c>
      <c r="F15" s="2817">
        <f>D15</f>
        <v>3.45</v>
      </c>
      <c r="G15" s="2817">
        <f>D15</f>
        <v>3.45</v>
      </c>
      <c r="H15" s="2817">
        <v>3.95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45159</v>
      </c>
      <c r="D16" s="2817">
        <v>3.45</v>
      </c>
      <c r="E16" s="2817">
        <f>D16</f>
        <v>3.45</v>
      </c>
      <c r="F16" s="2817">
        <f>D16</f>
        <v>3.45</v>
      </c>
      <c r="G16" s="2817">
        <f>D16</f>
        <v>3.45</v>
      </c>
      <c r="H16" s="2817">
        <v>4.2</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45097</v>
      </c>
      <c r="D17" s="2817">
        <v>3.55</v>
      </c>
      <c r="E17" s="2817">
        <f>D17</f>
        <v>3.55</v>
      </c>
      <c r="F17" s="2817">
        <f>D17</f>
        <v>3.55</v>
      </c>
      <c r="G17" s="2817">
        <f>D17</f>
        <v>3.55</v>
      </c>
      <c r="H17" s="2817">
        <v>4.2</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8">
        <v>44795</v>
      </c>
      <c r="D18" s="2817">
        <v>3.65</v>
      </c>
      <c r="E18" s="2817">
        <v>3.65</v>
      </c>
      <c r="F18" s="2817">
        <v>3.65</v>
      </c>
      <c r="G18" s="2817">
        <v>3.65</v>
      </c>
      <c r="H18" s="2817">
        <v>4.3</v>
      </c>
      <c r="I18" s="2822"/>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6"/>
      <c r="C19" s="2818">
        <v>44701</v>
      </c>
      <c r="D19" s="2817">
        <v>3.7</v>
      </c>
      <c r="E19" s="2817">
        <f>D19</f>
        <v>3.7</v>
      </c>
      <c r="F19" s="2817">
        <f>D19</f>
        <v>3.7</v>
      </c>
      <c r="G19" s="2817">
        <f>D19</f>
        <v>3.7</v>
      </c>
      <c r="H19" s="2817">
        <v>4.45</v>
      </c>
      <c r="I19" s="2822"/>
      <c r="J19" s="2822"/>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8">
        <v>44581</v>
      </c>
      <c r="D20" s="2817">
        <v>3.7</v>
      </c>
      <c r="E20" s="2817">
        <f>D20</f>
        <v>3.7</v>
      </c>
      <c r="F20" s="2817">
        <f>D20</f>
        <v>3.7</v>
      </c>
      <c r="G20" s="2817">
        <f>D20</f>
        <v>3.7</v>
      </c>
      <c r="H20" s="2817">
        <v>4.5999999999999996</v>
      </c>
      <c r="I20" s="2822"/>
      <c r="J20" s="2822"/>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44550</v>
      </c>
      <c r="D21" s="2817">
        <v>3.8</v>
      </c>
      <c r="E21" s="2817">
        <f>D21</f>
        <v>3.8</v>
      </c>
      <c r="F21" s="2817">
        <f>D21</f>
        <v>3.8</v>
      </c>
      <c r="G21" s="2817">
        <f>D21</f>
        <v>3.8</v>
      </c>
      <c r="H21" s="2817">
        <v>4.6500000000000004</v>
      </c>
      <c r="I21" s="2817"/>
      <c r="J21" s="2822"/>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43941</v>
      </c>
      <c r="D22" s="2817">
        <v>3.85</v>
      </c>
      <c r="E22" s="2817">
        <v>3.85</v>
      </c>
      <c r="F22" s="2817">
        <v>3.85</v>
      </c>
      <c r="G22" s="2817">
        <v>3.85</v>
      </c>
      <c r="H22" s="2817">
        <v>4.6500000000000004</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7"/>
      <c r="C23" s="2818">
        <v>43881</v>
      </c>
      <c r="D23" s="2817">
        <v>4.05</v>
      </c>
      <c r="E23" s="2817">
        <v>4.05</v>
      </c>
      <c r="F23" s="2817">
        <v>4.05</v>
      </c>
      <c r="G23" s="2817">
        <v>4.05</v>
      </c>
      <c r="H23" s="2817">
        <v>4.75</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7"/>
      <c r="C24" s="2818">
        <v>43789</v>
      </c>
      <c r="D24" s="2817">
        <v>4.1500000000000004</v>
      </c>
      <c r="E24" s="2817">
        <v>4.1500000000000004</v>
      </c>
      <c r="F24" s="2817">
        <v>4.1500000000000004</v>
      </c>
      <c r="G24" s="2817">
        <v>4.1500000000000004</v>
      </c>
      <c r="H24" s="2817">
        <v>4.8</v>
      </c>
      <c r="I24" s="2817"/>
      <c r="J24" s="2817"/>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2817"/>
      <c r="C25" s="2818">
        <v>43728</v>
      </c>
      <c r="D25" s="2817">
        <v>4.2</v>
      </c>
      <c r="E25" s="2817">
        <v>4.2</v>
      </c>
      <c r="F25" s="2817">
        <v>4.2</v>
      </c>
      <c r="G25" s="2817">
        <v>4.2</v>
      </c>
      <c r="H25" s="2817">
        <v>4.8499999999999996</v>
      </c>
      <c r="I25" s="2817"/>
      <c r="J25" s="2817"/>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4.25">
      <c r="B26" s="2816" t="s">
        <v>2311</v>
      </c>
      <c r="C26" s="2819">
        <v>43697</v>
      </c>
      <c r="D26" s="2820">
        <v>4.25</v>
      </c>
      <c r="E26" s="2820">
        <v>4.25</v>
      </c>
      <c r="F26" s="2820">
        <v>4.25</v>
      </c>
      <c r="G26" s="2820">
        <v>4.25</v>
      </c>
      <c r="H26" s="2820">
        <v>4.8499999999999996</v>
      </c>
      <c r="I26" s="2820"/>
      <c r="J26" s="282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ht="14.25">
      <c r="B27" s="2824"/>
      <c r="C27" s="2825">
        <v>42301</v>
      </c>
      <c r="D27" s="2826">
        <v>4.3499999999999996</v>
      </c>
      <c r="E27" s="2826">
        <v>4.3499999999999996</v>
      </c>
      <c r="F27" s="2826">
        <v>4.75</v>
      </c>
      <c r="G27" s="2826">
        <v>4.75</v>
      </c>
      <c r="H27" s="2826">
        <v>4.9000000000000004</v>
      </c>
      <c r="I27" s="2826"/>
      <c r="J27" s="2826"/>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42242</v>
      </c>
      <c r="D28" s="1290">
        <v>4.5999999999999996</v>
      </c>
      <c r="E28" s="1290">
        <v>4.5999999999999996</v>
      </c>
      <c r="F28" s="1290">
        <v>5</v>
      </c>
      <c r="G28" s="1290">
        <v>5</v>
      </c>
      <c r="H28" s="1290">
        <v>5.15</v>
      </c>
      <c r="I28" s="1290">
        <v>2.75</v>
      </c>
      <c r="J28" s="1290">
        <v>3.25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42183</v>
      </c>
      <c r="D29" s="1290">
        <v>4.8499999999999996</v>
      </c>
      <c r="E29" s="1290">
        <v>4.8499999999999996</v>
      </c>
      <c r="F29" s="1290">
        <v>5.25</v>
      </c>
      <c r="G29" s="1290">
        <v>5.25</v>
      </c>
      <c r="H29" s="1290">
        <v>5.4</v>
      </c>
      <c r="I29" s="1290">
        <v>3</v>
      </c>
      <c r="J29" s="1290">
        <v>3.5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42135</v>
      </c>
      <c r="D30" s="1290">
        <v>5.0999999999999996</v>
      </c>
      <c r="E30" s="1290">
        <v>5.0999999999999996</v>
      </c>
      <c r="F30" s="1290">
        <v>5.5</v>
      </c>
      <c r="G30" s="1290">
        <v>5.5</v>
      </c>
      <c r="H30" s="1290">
        <v>5.65</v>
      </c>
      <c r="I30" s="1290">
        <v>3.25</v>
      </c>
      <c r="J30" s="1290">
        <v>3.75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42064</v>
      </c>
      <c r="D31" s="1290">
        <v>5.35</v>
      </c>
      <c r="E31" s="1290">
        <v>5.35</v>
      </c>
      <c r="F31" s="1290">
        <v>5.75</v>
      </c>
      <c r="G31" s="1290">
        <v>5.75</v>
      </c>
      <c r="H31" s="1290">
        <v>5.9</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41965</v>
      </c>
      <c r="D32" s="1290">
        <v>5.6</v>
      </c>
      <c r="E32" s="1290">
        <v>5.6</v>
      </c>
      <c r="F32" s="1290">
        <v>6</v>
      </c>
      <c r="G32" s="1290">
        <v>6</v>
      </c>
      <c r="H32" s="1290">
        <v>6.15</v>
      </c>
      <c r="I32" s="1290"/>
      <c r="J32" s="1290"/>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41096</v>
      </c>
      <c r="D33" s="1290">
        <v>5.6</v>
      </c>
      <c r="E33" s="1290">
        <v>6</v>
      </c>
      <c r="F33" s="1290">
        <v>6.15</v>
      </c>
      <c r="G33" s="1290">
        <v>6.4</v>
      </c>
      <c r="H33" s="1290">
        <v>6.55</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41068</v>
      </c>
      <c r="D34" s="1290">
        <v>5.85</v>
      </c>
      <c r="E34" s="1290">
        <v>6.31</v>
      </c>
      <c r="F34" s="1290">
        <v>6.4</v>
      </c>
      <c r="G34" s="1290">
        <v>6.65</v>
      </c>
      <c r="H34" s="1290">
        <v>6.8</v>
      </c>
      <c r="I34" s="1290">
        <v>4.2</v>
      </c>
      <c r="J34" s="1290">
        <v>4.7</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40731</v>
      </c>
      <c r="D35" s="1290">
        <v>6.1</v>
      </c>
      <c r="E35" s="1290">
        <v>6.56</v>
      </c>
      <c r="F35" s="1290">
        <v>6.65</v>
      </c>
      <c r="G35" s="1290">
        <v>6.9</v>
      </c>
      <c r="H35" s="1290">
        <v>7.05</v>
      </c>
      <c r="I35" s="1290">
        <v>4.45</v>
      </c>
      <c r="J35" s="1290">
        <v>4.9000000000000004</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40639</v>
      </c>
      <c r="D36" s="1290">
        <v>5.85</v>
      </c>
      <c r="E36" s="1290">
        <v>6.31</v>
      </c>
      <c r="F36" s="1290">
        <v>6.4</v>
      </c>
      <c r="G36" s="1290">
        <v>6.65</v>
      </c>
      <c r="H36" s="1290">
        <v>6.8</v>
      </c>
      <c r="I36" s="1290">
        <v>4.2</v>
      </c>
      <c r="J36" s="1290">
        <v>4.7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40583</v>
      </c>
      <c r="D37" s="1290">
        <v>5.6</v>
      </c>
      <c r="E37" s="1290">
        <v>6.06</v>
      </c>
      <c r="F37" s="1290">
        <v>6.1</v>
      </c>
      <c r="G37" s="1290">
        <v>6.45</v>
      </c>
      <c r="H37" s="1290">
        <v>6.6</v>
      </c>
      <c r="I37" s="1290">
        <v>4</v>
      </c>
      <c r="J37" s="1290">
        <v>4.5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40538</v>
      </c>
      <c r="D38" s="1290">
        <v>5.35</v>
      </c>
      <c r="E38" s="1290">
        <v>5.81</v>
      </c>
      <c r="F38" s="1290">
        <v>5.85</v>
      </c>
      <c r="G38" s="1290">
        <v>6.22</v>
      </c>
      <c r="H38" s="1290">
        <v>6.4</v>
      </c>
      <c r="I38" s="1290">
        <v>3.75</v>
      </c>
      <c r="J38" s="1290">
        <v>4.3</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40471</v>
      </c>
      <c r="D39" s="1290">
        <v>5.0999999999999996</v>
      </c>
      <c r="E39" s="1290">
        <v>5.56</v>
      </c>
      <c r="F39" s="1290">
        <v>5.6</v>
      </c>
      <c r="G39" s="1290">
        <v>5.96</v>
      </c>
      <c r="H39" s="1290">
        <v>6.14</v>
      </c>
      <c r="I39" s="1290">
        <v>3.5</v>
      </c>
      <c r="J39" s="1290">
        <v>4.05</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39805</v>
      </c>
      <c r="D40" s="1290">
        <v>4.8600000000000003</v>
      </c>
      <c r="E40" s="1290">
        <v>5.31</v>
      </c>
      <c r="F40" s="1290">
        <v>5.4</v>
      </c>
      <c r="G40" s="1290">
        <v>5.76</v>
      </c>
      <c r="H40" s="1290">
        <v>5.94</v>
      </c>
      <c r="I40" s="1290">
        <v>3.33</v>
      </c>
      <c r="J40" s="1290">
        <v>3.87</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39779</v>
      </c>
      <c r="D41" s="1290">
        <v>5.04</v>
      </c>
      <c r="E41" s="1290">
        <v>5.58</v>
      </c>
      <c r="F41" s="1290">
        <v>5.67</v>
      </c>
      <c r="G41" s="1290">
        <v>5.94</v>
      </c>
      <c r="H41" s="1290">
        <v>6.12</v>
      </c>
      <c r="I41" s="1290">
        <v>3.51</v>
      </c>
      <c r="J41" s="1290">
        <v>4.05</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39751</v>
      </c>
      <c r="D42" s="1290">
        <v>6.03</v>
      </c>
      <c r="E42" s="1290">
        <v>6.66</v>
      </c>
      <c r="F42" s="1290">
        <v>6.75</v>
      </c>
      <c r="G42" s="1290">
        <v>7.02</v>
      </c>
      <c r="H42" s="1290">
        <v>7.2</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2">
        <v>39748</v>
      </c>
      <c r="D43" s="1290">
        <v>6.12</v>
      </c>
      <c r="E43" s="1290">
        <v>6.93</v>
      </c>
      <c r="F43" s="1290">
        <v>7.02</v>
      </c>
      <c r="G43" s="1290">
        <v>7.29</v>
      </c>
      <c r="H43" s="1290">
        <v>7.47</v>
      </c>
      <c r="I43" s="1290">
        <v>4.05</v>
      </c>
      <c r="J43" s="1290">
        <v>4.59</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39730</v>
      </c>
      <c r="D44" s="1290">
        <v>6.12</v>
      </c>
      <c r="E44" s="1290">
        <v>6.93</v>
      </c>
      <c r="F44" s="1290">
        <v>7.02</v>
      </c>
      <c r="G44" s="1290">
        <v>7.29</v>
      </c>
      <c r="H44" s="1290">
        <v>7.47</v>
      </c>
      <c r="I44" s="1290">
        <v>4.32</v>
      </c>
      <c r="J44" s="1290">
        <v>4.8600000000000003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39707</v>
      </c>
      <c r="D45" s="1290">
        <v>6.21</v>
      </c>
      <c r="E45" s="1290">
        <v>7.2</v>
      </c>
      <c r="F45" s="1290">
        <v>7.29</v>
      </c>
      <c r="G45" s="1290">
        <v>7.56</v>
      </c>
      <c r="H45" s="1290">
        <v>7.74</v>
      </c>
      <c r="I45" s="1290">
        <v>4.59</v>
      </c>
      <c r="J45" s="1290">
        <v>5.13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39437</v>
      </c>
      <c r="D46" s="1290">
        <v>6.57</v>
      </c>
      <c r="E46" s="1290">
        <v>7.47</v>
      </c>
      <c r="F46" s="1290">
        <v>7.56</v>
      </c>
      <c r="G46" s="1290">
        <v>7.74</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39340</v>
      </c>
      <c r="D47" s="1290">
        <v>6.48</v>
      </c>
      <c r="E47" s="1290">
        <v>7.29</v>
      </c>
      <c r="F47" s="1290">
        <v>7.47</v>
      </c>
      <c r="G47" s="1290">
        <v>7.65</v>
      </c>
      <c r="H47" s="1290">
        <v>7.83</v>
      </c>
      <c r="I47" s="1290">
        <v>4.7699999999999996</v>
      </c>
      <c r="J47" s="1290">
        <v>5.22</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39316</v>
      </c>
      <c r="D48" s="1290">
        <v>6.21</v>
      </c>
      <c r="E48" s="1290">
        <v>7.02</v>
      </c>
      <c r="F48" s="1290">
        <v>7.2</v>
      </c>
      <c r="G48" s="1290">
        <v>7.38</v>
      </c>
      <c r="H48" s="1290">
        <v>7.56</v>
      </c>
      <c r="I48" s="1290">
        <v>4.59</v>
      </c>
      <c r="J48" s="1290">
        <v>5.04</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39284</v>
      </c>
      <c r="D49" s="1290">
        <v>6.03</v>
      </c>
      <c r="E49" s="1290">
        <v>6.84</v>
      </c>
      <c r="F49" s="1290">
        <v>7.02</v>
      </c>
      <c r="G49" s="1290">
        <v>7.2</v>
      </c>
      <c r="H49" s="1290">
        <v>7.38</v>
      </c>
      <c r="I49" s="1290">
        <v>4.5</v>
      </c>
      <c r="J49" s="1290">
        <v>4.95</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39221</v>
      </c>
      <c r="D50" s="1290">
        <v>5.85</v>
      </c>
      <c r="E50" s="1290">
        <v>6.57</v>
      </c>
      <c r="F50" s="1290">
        <v>6.75</v>
      </c>
      <c r="G50" s="1290">
        <v>6.93</v>
      </c>
      <c r="H50" s="1290">
        <v>7.2</v>
      </c>
      <c r="I50" s="1290">
        <v>4.41</v>
      </c>
      <c r="J50" s="1290">
        <v>4.8600000000000003</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39159</v>
      </c>
      <c r="D51" s="1290">
        <v>5.67</v>
      </c>
      <c r="E51" s="1290">
        <v>6.39</v>
      </c>
      <c r="F51" s="1290">
        <v>6.57</v>
      </c>
      <c r="G51" s="1290">
        <v>6.75</v>
      </c>
      <c r="H51" s="1290">
        <v>7.11</v>
      </c>
      <c r="I51" s="1290">
        <v>4.32</v>
      </c>
      <c r="J51" s="1290">
        <v>4.7699999999999996</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38948</v>
      </c>
      <c r="D52" s="1290">
        <v>5.58</v>
      </c>
      <c r="E52" s="1290">
        <v>6.12</v>
      </c>
      <c r="F52" s="1290">
        <v>6.3</v>
      </c>
      <c r="G52" s="1290">
        <v>6.48</v>
      </c>
      <c r="H52" s="1290">
        <v>6.84</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38835</v>
      </c>
      <c r="D53" s="1290">
        <v>5.4</v>
      </c>
      <c r="E53" s="1290">
        <v>5.85</v>
      </c>
      <c r="F53" s="1290">
        <v>6.03</v>
      </c>
      <c r="G53" s="1290">
        <v>6.12</v>
      </c>
      <c r="H53" s="1290">
        <v>6.39</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38428</v>
      </c>
      <c r="D54" s="1290">
        <v>5.22</v>
      </c>
      <c r="E54" s="1290">
        <v>5.58</v>
      </c>
      <c r="F54" s="1290">
        <v>5.76</v>
      </c>
      <c r="G54" s="1290">
        <v>5.85</v>
      </c>
      <c r="H54" s="1290">
        <v>6.12</v>
      </c>
      <c r="I54" s="1290">
        <v>3.96</v>
      </c>
      <c r="J54" s="1290">
        <v>4.41</v>
      </c>
      <c r="L54" s="1290"/>
      <c r="M54" s="1291"/>
      <c r="N54" s="1290"/>
      <c r="O54" s="1290"/>
      <c r="P54" s="1290"/>
      <c r="Q54" s="1290"/>
      <c r="R54" s="1290"/>
      <c r="S54" s="1290"/>
      <c r="T54" s="1290"/>
      <c r="U54" s="1290"/>
      <c r="V54" s="1290"/>
      <c r="W54" s="1290"/>
      <c r="X54" s="1290"/>
      <c r="Y54" s="1290"/>
      <c r="Z54" s="1290"/>
    </row>
    <row r="55" spans="2:26">
      <c r="B55" s="1290"/>
      <c r="C55" s="1291">
        <v>38289</v>
      </c>
      <c r="D55" s="1290">
        <v>5.22</v>
      </c>
      <c r="E55" s="1290">
        <v>5.58</v>
      </c>
      <c r="F55" s="1290">
        <v>5.76</v>
      </c>
      <c r="G55" s="1290">
        <v>5.85</v>
      </c>
      <c r="H55" s="1290">
        <v>6.12</v>
      </c>
      <c r="I55" s="1290">
        <v>3.78</v>
      </c>
      <c r="J55" s="1290">
        <v>4.2300000000000004</v>
      </c>
      <c r="L55" s="1290"/>
      <c r="M55" s="1291"/>
      <c r="N55" s="1290"/>
      <c r="O55" s="1290"/>
      <c r="P55" s="1290"/>
      <c r="Q55" s="1290"/>
      <c r="R55" s="1290"/>
      <c r="S55" s="1290"/>
      <c r="T55" s="1290"/>
      <c r="U55" s="1290"/>
      <c r="V55" s="1290"/>
      <c r="W55" s="1290"/>
      <c r="X55" s="1290"/>
      <c r="Y55" s="1290"/>
      <c r="Z55" s="1290"/>
    </row>
    <row r="56" spans="2:26">
      <c r="B56" s="1290"/>
      <c r="C56" s="1291">
        <v>37308</v>
      </c>
      <c r="D56" s="1290">
        <v>5.04</v>
      </c>
      <c r="E56" s="1290">
        <v>5.31</v>
      </c>
      <c r="F56" s="1290">
        <v>5.49</v>
      </c>
      <c r="G56" s="1290">
        <v>5.58</v>
      </c>
      <c r="H56" s="1290">
        <v>5.76</v>
      </c>
      <c r="I56" s="1290">
        <v>3.6</v>
      </c>
      <c r="J56" s="1290">
        <v>4.05</v>
      </c>
      <c r="L56" s="1290"/>
      <c r="M56" s="1291"/>
      <c r="N56" s="1290"/>
      <c r="O56" s="1290"/>
      <c r="P56" s="1290"/>
      <c r="Q56" s="1290"/>
      <c r="R56" s="1290"/>
      <c r="S56" s="1290"/>
      <c r="T56" s="1290"/>
      <c r="U56" s="1290"/>
      <c r="V56" s="1290"/>
      <c r="W56" s="1290"/>
      <c r="X56" s="1290"/>
      <c r="Y56" s="1290"/>
      <c r="Z56" s="1290"/>
    </row>
    <row r="57" spans="2:26">
      <c r="B57" s="1290"/>
      <c r="C57" s="1291">
        <v>36321</v>
      </c>
      <c r="D57" s="1290">
        <v>5.58</v>
      </c>
      <c r="E57" s="1290">
        <v>5.85</v>
      </c>
      <c r="F57" s="1290">
        <v>5.94</v>
      </c>
      <c r="G57" s="1290">
        <v>6.03</v>
      </c>
      <c r="H57" s="1290">
        <v>6.21</v>
      </c>
      <c r="I57" s="1290">
        <v>4.1399999999999997</v>
      </c>
      <c r="J57" s="1290">
        <v>4.59</v>
      </c>
      <c r="L57" s="1290"/>
      <c r="M57" s="1291"/>
      <c r="N57" s="1290"/>
      <c r="O57" s="1290"/>
      <c r="P57" s="1290"/>
      <c r="Q57" s="1290"/>
      <c r="R57" s="1290"/>
      <c r="S57" s="1290"/>
      <c r="T57" s="1290"/>
      <c r="U57" s="1290"/>
      <c r="V57" s="1290"/>
      <c r="W57" s="1290"/>
      <c r="X57" s="1290"/>
      <c r="Y57" s="1290"/>
      <c r="Z57" s="1290"/>
    </row>
    <row r="58" spans="2:26">
      <c r="B58" s="1290"/>
      <c r="C58" s="1291">
        <v>36136</v>
      </c>
      <c r="D58" s="1290">
        <v>6.12</v>
      </c>
      <c r="E58" s="1290">
        <v>6.39</v>
      </c>
      <c r="F58" s="1290">
        <v>6.66</v>
      </c>
      <c r="G58" s="1290">
        <v>7.2</v>
      </c>
      <c r="H58" s="1290">
        <v>7.56</v>
      </c>
      <c r="I58" s="1290">
        <v>0</v>
      </c>
      <c r="J58" s="1290">
        <v>0</v>
      </c>
    </row>
    <row r="59" spans="2:26">
      <c r="B59" s="1290"/>
      <c r="C59" s="1291">
        <v>35977</v>
      </c>
      <c r="D59" s="1290">
        <v>6.57</v>
      </c>
      <c r="E59" s="1290">
        <v>6.93</v>
      </c>
      <c r="F59" s="1290">
        <v>7.11</v>
      </c>
      <c r="G59" s="1290">
        <v>7.65</v>
      </c>
      <c r="H59" s="1290">
        <v>8.01</v>
      </c>
      <c r="I59" s="1290">
        <v>0</v>
      </c>
      <c r="J59" s="1290">
        <v>0</v>
      </c>
    </row>
    <row r="60" spans="2:26">
      <c r="B60" s="1290"/>
      <c r="C60" s="1291">
        <v>35879</v>
      </c>
      <c r="D60" s="1290">
        <v>7.02</v>
      </c>
      <c r="E60" s="1290">
        <v>7.92</v>
      </c>
      <c r="F60" s="1290">
        <v>9</v>
      </c>
      <c r="G60" s="1290">
        <v>9.7200000000000006</v>
      </c>
      <c r="H60" s="1290">
        <v>10.35</v>
      </c>
      <c r="I60" s="1290">
        <v>0</v>
      </c>
      <c r="J60" s="1290">
        <v>0</v>
      </c>
    </row>
    <row r="61" spans="2:26">
      <c r="B61" s="1290"/>
      <c r="C61" s="1291">
        <v>35726</v>
      </c>
      <c r="D61" s="1290">
        <v>7.65</v>
      </c>
      <c r="E61" s="1290">
        <v>8.64</v>
      </c>
      <c r="F61" s="1290">
        <v>9.36</v>
      </c>
      <c r="G61" s="1290">
        <v>9.9</v>
      </c>
      <c r="H61" s="1290">
        <v>10.53</v>
      </c>
      <c r="I61" s="1290">
        <v>0</v>
      </c>
      <c r="J61" s="1290">
        <v>0</v>
      </c>
    </row>
    <row r="62" spans="2:26">
      <c r="B62" s="1290"/>
      <c r="C62" s="1291">
        <v>35300</v>
      </c>
      <c r="D62" s="1290">
        <v>9.18</v>
      </c>
      <c r="E62" s="1290">
        <v>10.08</v>
      </c>
      <c r="F62" s="1290">
        <v>10.98</v>
      </c>
      <c r="G62" s="1290">
        <v>11.7</v>
      </c>
      <c r="H62" s="1290">
        <v>12.42</v>
      </c>
      <c r="I62" s="1290">
        <v>0</v>
      </c>
      <c r="J62" s="1290">
        <v>0</v>
      </c>
    </row>
    <row r="63" spans="2:26">
      <c r="B63" s="1290"/>
      <c r="C63" s="1291">
        <v>35186</v>
      </c>
      <c r="D63" s="1290">
        <v>9.7200000000000006</v>
      </c>
      <c r="E63" s="1290">
        <v>10.98</v>
      </c>
      <c r="F63" s="1290">
        <v>13.14</v>
      </c>
      <c r="G63" s="1290">
        <v>14.94</v>
      </c>
      <c r="H63" s="1290">
        <v>15.12</v>
      </c>
      <c r="I63" s="1290">
        <v>0</v>
      </c>
      <c r="J63" s="1290">
        <v>0</v>
      </c>
    </row>
    <row r="64" spans="2:26">
      <c r="B64" s="1290"/>
      <c r="C64" s="1291">
        <v>34881</v>
      </c>
      <c r="D64" s="1290">
        <v>10.08</v>
      </c>
      <c r="E64" s="1290">
        <v>12.06</v>
      </c>
      <c r="F64" s="1290">
        <v>13.5</v>
      </c>
      <c r="G64" s="1290">
        <v>15.12</v>
      </c>
      <c r="H64" s="1290">
        <v>15.3</v>
      </c>
      <c r="I64" s="1290">
        <v>0</v>
      </c>
      <c r="J64" s="1290">
        <v>0</v>
      </c>
    </row>
    <row r="65" spans="2:10">
      <c r="B65" s="1290"/>
      <c r="C65" s="1291">
        <v>34700</v>
      </c>
      <c r="D65" s="1290">
        <v>9</v>
      </c>
      <c r="E65" s="1290">
        <v>10.98</v>
      </c>
      <c r="F65" s="1290">
        <v>12.96</v>
      </c>
      <c r="G65" s="1290">
        <v>14.58</v>
      </c>
      <c r="H65" s="1290">
        <v>14.76</v>
      </c>
      <c r="I65" s="1290">
        <v>0</v>
      </c>
      <c r="J65" s="1290">
        <v>0</v>
      </c>
    </row>
    <row r="66" spans="2:10">
      <c r="B66" s="1290"/>
      <c r="C66" s="1291">
        <v>34161</v>
      </c>
      <c r="D66" s="1290">
        <v>9</v>
      </c>
      <c r="E66" s="1290">
        <v>10.98</v>
      </c>
      <c r="F66" s="1290">
        <v>12.24</v>
      </c>
      <c r="G66" s="1290">
        <v>13.86</v>
      </c>
      <c r="H66" s="1290">
        <v>14.04</v>
      </c>
      <c r="I66" s="1290">
        <v>0</v>
      </c>
      <c r="J66" s="1290">
        <v>0</v>
      </c>
    </row>
    <row r="67" spans="2:10">
      <c r="B67" s="1290"/>
      <c r="C67" s="1291">
        <v>34104</v>
      </c>
      <c r="D67" s="1290">
        <v>8.82</v>
      </c>
      <c r="E67" s="1290">
        <v>9.36</v>
      </c>
      <c r="F67" s="1290">
        <v>10.8</v>
      </c>
      <c r="G67" s="1290">
        <v>12.06</v>
      </c>
      <c r="H67" s="1290">
        <v>12.24</v>
      </c>
      <c r="I67" s="1290">
        <v>0</v>
      </c>
      <c r="J67" s="1290">
        <v>0</v>
      </c>
    </row>
    <row r="68" spans="2:10">
      <c r="B68" s="1290"/>
      <c r="C68" s="1291">
        <v>33349</v>
      </c>
      <c r="D68" s="1290">
        <v>8.1</v>
      </c>
      <c r="E68" s="1290">
        <v>8.64</v>
      </c>
      <c r="F68" s="1290">
        <v>9</v>
      </c>
      <c r="G68" s="1290">
        <v>9.5399999999999991</v>
      </c>
      <c r="H68" s="1290">
        <v>9.7200000000000006</v>
      </c>
      <c r="I68" s="1290">
        <v>0</v>
      </c>
      <c r="J68" s="1290">
        <v>0</v>
      </c>
    </row>
    <row r="69" spans="2:10">
      <c r="B69" s="1290"/>
      <c r="C69" s="1291">
        <v>33318</v>
      </c>
      <c r="D69" s="1290">
        <v>9</v>
      </c>
      <c r="E69" s="1290">
        <v>10.08</v>
      </c>
      <c r="F69" s="1290">
        <v>10.8</v>
      </c>
      <c r="G69" s="1290">
        <v>11.52</v>
      </c>
      <c r="H69" s="1290">
        <v>11.88</v>
      </c>
      <c r="I69" s="1290" t="s">
        <v>633</v>
      </c>
      <c r="J69" s="1290" t="s">
        <v>633</v>
      </c>
    </row>
    <row r="70" spans="2:10">
      <c r="B70" s="1290"/>
      <c r="C70" s="1291">
        <v>33106</v>
      </c>
      <c r="D70" s="1290">
        <v>8.64</v>
      </c>
      <c r="E70" s="1290">
        <v>9.36</v>
      </c>
      <c r="F70" s="1290">
        <v>10.08</v>
      </c>
      <c r="G70" s="1290">
        <v>10.8</v>
      </c>
      <c r="H70" s="1290">
        <v>11.16</v>
      </c>
      <c r="I70" s="1290">
        <v>0</v>
      </c>
      <c r="J70" s="1290">
        <v>0</v>
      </c>
    </row>
    <row r="71" spans="2:10">
      <c r="B71" s="1290"/>
      <c r="C71" s="1291">
        <v>32540</v>
      </c>
      <c r="D71" s="1290">
        <v>11.34</v>
      </c>
      <c r="E71" s="1290">
        <v>11.34</v>
      </c>
      <c r="F71" s="1290">
        <v>12.78</v>
      </c>
      <c r="G71" s="1290">
        <v>14.4</v>
      </c>
      <c r="H71" s="1290">
        <v>19.260000000000002</v>
      </c>
      <c r="I71" s="1290">
        <v>0</v>
      </c>
      <c r="J71" s="1290">
        <v>0</v>
      </c>
    </row>
    <row r="72" spans="2:10">
      <c r="B72" s="1290"/>
      <c r="C72" s="1291"/>
      <c r="D72" s="1290"/>
      <c r="E72" s="1290"/>
      <c r="F72" s="1290"/>
      <c r="G72" s="1290"/>
      <c r="H72" s="1290"/>
      <c r="I72" s="1290"/>
      <c r="J72" s="1290"/>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93"/>
      <c r="C75" s="1294"/>
      <c r="D75" s="1293"/>
      <c r="E75" s="1293"/>
      <c r="F75" s="1293"/>
      <c r="G75" s="1293"/>
      <c r="H75" s="1293"/>
      <c r="I75" s="1293"/>
      <c r="J75" s="1293"/>
    </row>
    <row r="76" spans="2:10">
      <c r="B76" s="1242"/>
      <c r="C76" s="1242"/>
      <c r="D76" s="1242"/>
      <c r="E76" s="1242"/>
      <c r="F76" s="1242"/>
      <c r="G76" s="1242"/>
      <c r="H76" s="1242"/>
      <c r="I76" s="1242"/>
      <c r="J76" s="1242"/>
    </row>
    <row r="77" spans="2:10">
      <c r="B77" s="1242"/>
      <c r="C77" s="1242"/>
      <c r="D77" s="1242"/>
      <c r="E77" s="1242"/>
      <c r="F77" s="1242"/>
      <c r="G77" s="1242"/>
      <c r="H77" s="1242"/>
      <c r="I77" s="1242"/>
      <c r="J77"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2024-12-17T05:39:08Z</dcterms:modified>
</cp:coreProperties>
</file>