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xingk\Desktop\"/>
    </mc:Choice>
  </mc:AlternateContent>
  <xr:revisionPtr revIDLastSave="0" documentId="13_ncr:1_{52039C1C-8B62-4088-BEF1-36776CF5CC23}" xr6:coauthVersionLast="47" xr6:coauthVersionMax="47" xr10:uidLastSave="{00000000-0000-0000-0000-000000000000}"/>
  <bookViews>
    <workbookView xWindow="11424" yWindow="0" windowWidth="11712" windowHeight="13776" tabRatio="899" firstSheet="1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拆分" sheetId="82"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 i="82" l="1"/>
  <c r="O64" i="82"/>
  <c r="O63" i="82"/>
  <c r="H54" i="82"/>
  <c r="H55" i="82"/>
  <c r="H56" i="82"/>
  <c r="H57" i="82"/>
  <c r="H58" i="82"/>
  <c r="H59" i="82"/>
  <c r="H60" i="82"/>
  <c r="H61" i="82"/>
  <c r="H62" i="82"/>
  <c r="H63" i="82"/>
  <c r="H64" i="82"/>
  <c r="H65" i="82"/>
  <c r="H66" i="82"/>
  <c r="H67" i="82"/>
  <c r="H68" i="82"/>
  <c r="H69" i="82"/>
  <c r="H70" i="82"/>
  <c r="G54" i="82"/>
  <c r="G55" i="82"/>
  <c r="G56" i="82"/>
  <c r="G57" i="82"/>
  <c r="G58" i="82"/>
  <c r="G59" i="82"/>
  <c r="G60" i="82"/>
  <c r="G61" i="82"/>
  <c r="G62" i="82"/>
  <c r="G63" i="82"/>
  <c r="G64" i="82"/>
  <c r="G65" i="82"/>
  <c r="G66" i="82"/>
  <c r="G67" i="82"/>
  <c r="G68" i="82"/>
  <c r="G69" i="82"/>
  <c r="G70" i="82"/>
  <c r="D54" i="82"/>
  <c r="D55" i="82"/>
  <c r="D56" i="82"/>
  <c r="D57" i="82"/>
  <c r="D59" i="82"/>
  <c r="D60" i="82"/>
  <c r="D62" i="82"/>
  <c r="D63" i="82"/>
  <c r="D64" i="82"/>
  <c r="D65" i="82"/>
  <c r="D66" i="82"/>
  <c r="D68" i="82"/>
  <c r="D69" i="82"/>
  <c r="D70" i="82"/>
  <c r="D53" i="82"/>
  <c r="C67" i="82"/>
  <c r="C61" i="82"/>
  <c r="C58" i="82"/>
  <c r="L42" i="82"/>
  <c r="L46" i="82"/>
  <c r="K43" i="82"/>
  <c r="K37" i="82"/>
  <c r="K34" i="82"/>
  <c r="L31" i="82"/>
  <c r="G47" i="82"/>
  <c r="D47" i="82"/>
  <c r="C47" i="82"/>
  <c r="H37" i="82"/>
  <c r="L37" i="82" s="1"/>
  <c r="E47" i="82"/>
  <c r="H34" i="82"/>
  <c r="L34" i="82" s="1"/>
  <c r="H71" i="82"/>
  <c r="G71" i="82"/>
  <c r="C70" i="82"/>
  <c r="C69" i="82"/>
  <c r="C68" i="82"/>
  <c r="C66" i="82"/>
  <c r="C65" i="82"/>
  <c r="C64" i="82"/>
  <c r="C63" i="82"/>
  <c r="C62" i="82"/>
  <c r="C60" i="82"/>
  <c r="C59" i="82"/>
  <c r="C57" i="82"/>
  <c r="C56" i="82"/>
  <c r="C55" i="82"/>
  <c r="C54" i="82"/>
  <c r="H53" i="82"/>
  <c r="G53" i="82"/>
  <c r="C53" i="82"/>
  <c r="F47" i="82"/>
  <c r="K45" i="82"/>
  <c r="L45" i="82" s="1"/>
  <c r="K44" i="82"/>
  <c r="L44" i="82" s="1"/>
  <c r="K41" i="82"/>
  <c r="L41" i="82" s="1"/>
  <c r="K40" i="82"/>
  <c r="L40" i="82" s="1"/>
  <c r="K39" i="82"/>
  <c r="L39" i="82" s="1"/>
  <c r="K38" i="82"/>
  <c r="L38" i="82" s="1"/>
  <c r="K36" i="82"/>
  <c r="L36" i="82" s="1"/>
  <c r="K35" i="82"/>
  <c r="L35" i="82" s="1"/>
  <c r="K33" i="82"/>
  <c r="L33" i="82" s="1"/>
  <c r="L32" i="82"/>
  <c r="K30" i="82"/>
  <c r="L30" i="82" s="1"/>
  <c r="L29" i="82"/>
  <c r="C24" i="82"/>
  <c r="H23" i="82"/>
  <c r="G23" i="82"/>
  <c r="E23" i="82"/>
  <c r="D23" i="82"/>
  <c r="H19" i="82"/>
  <c r="H24" i="82" s="1"/>
  <c r="G19" i="82"/>
  <c r="F19" i="82"/>
  <c r="F24" i="82" s="1"/>
  <c r="E19" i="82"/>
  <c r="D19" i="82"/>
  <c r="G24" i="82" l="1"/>
  <c r="D58" i="82"/>
  <c r="D61" i="82"/>
  <c r="D24" i="82"/>
  <c r="H43" i="82"/>
  <c r="D67" i="82" s="1"/>
  <c r="E24" i="82"/>
  <c r="C71" i="82"/>
  <c r="D71" i="82" l="1"/>
  <c r="H47" i="82"/>
  <c r="L43" i="82"/>
  <c r="L47" i="82"/>
  <c r="M32" i="82" l="1"/>
  <c r="M31" i="82"/>
  <c r="M45" i="82"/>
  <c r="M35" i="82"/>
  <c r="M37" i="82"/>
  <c r="M30" i="82"/>
  <c r="M46" i="82"/>
  <c r="M34" i="82"/>
  <c r="M40" i="82"/>
  <c r="M38" i="82"/>
  <c r="M29" i="82"/>
  <c r="M42" i="82"/>
  <c r="M36" i="82"/>
  <c r="M44" i="82"/>
  <c r="M39" i="82"/>
  <c r="M33" i="82"/>
  <c r="M41" i="82"/>
  <c r="M43" i="82"/>
  <c r="M47" i="82" l="1"/>
  <c r="O9" i="81" l="1"/>
  <c r="D27" i="80"/>
  <c r="E27" i="80"/>
  <c r="D28" i="80"/>
  <c r="E28" i="80"/>
  <c r="C28" i="80"/>
  <c r="C27" i="80"/>
  <c r="D65" i="80"/>
  <c r="F34" i="80" s="1"/>
  <c r="D42" i="43" l="1"/>
  <c r="K28" i="80"/>
  <c r="C30" i="80"/>
  <c r="F28" i="80"/>
  <c r="AY3" i="3" l="1"/>
  <c r="D3" i="4" l="1"/>
  <c r="M15" i="74" l="1"/>
  <c r="M14" i="74"/>
  <c r="J16" i="74"/>
  <c r="M16" i="74" s="1"/>
  <c r="N16" i="74"/>
  <c r="L16" i="74"/>
  <c r="O16" i="74" s="1"/>
  <c r="O15" i="74"/>
  <c r="O14" i="74"/>
  <c r="N6" i="1" l="1"/>
  <c r="Y6" i="1" s="1"/>
  <c r="B59" i="1"/>
  <c r="B21" i="1"/>
  <c r="F35" i="80"/>
  <c r="F36" i="80" s="1"/>
  <c r="A30" i="80"/>
  <c r="G29" i="80"/>
  <c r="F27" i="80"/>
  <c r="B22" i="80"/>
  <c r="E21" i="80"/>
  <c r="E22" i="80" s="1"/>
  <c r="D21" i="80"/>
  <c r="C21" i="80"/>
  <c r="C22" i="80" s="1"/>
  <c r="F20" i="80"/>
  <c r="N35" i="81" s="1"/>
  <c r="F19" i="80"/>
  <c r="F18" i="80"/>
  <c r="F17" i="80"/>
  <c r="F16" i="80"/>
  <c r="F15" i="80"/>
  <c r="F14" i="80"/>
  <c r="F13" i="80"/>
  <c r="F12" i="80"/>
  <c r="F11" i="80"/>
  <c r="M11" i="80" s="1"/>
  <c r="F10" i="80"/>
  <c r="F9" i="80"/>
  <c r="F8" i="80"/>
  <c r="F7" i="80"/>
  <c r="M7" i="80" s="1"/>
  <c r="F6" i="80"/>
  <c r="F5" i="80"/>
  <c r="F4" i="80"/>
  <c r="N34" i="81" s="1"/>
  <c r="F3" i="80"/>
  <c r="F13" i="4"/>
  <c r="N14" i="1" l="1"/>
  <c r="F22" i="80"/>
  <c r="N33" i="81"/>
  <c r="D22" i="80"/>
  <c r="E29" i="80"/>
  <c r="E30" i="80" s="1"/>
  <c r="J27" i="80"/>
  <c r="K27" i="80" s="1"/>
  <c r="H27" i="80"/>
  <c r="H28" i="80"/>
  <c r="D29" i="80"/>
  <c r="D30" i="80" s="1"/>
  <c r="F29" i="80" l="1"/>
  <c r="F30" i="80" s="1"/>
  <c r="K29" i="80" l="1"/>
  <c r="K30" i="80" s="1"/>
  <c r="H29" i="80"/>
  <c r="H30" i="80" s="1"/>
  <c r="G30" i="80" s="1"/>
  <c r="L6" i="1" s="1"/>
  <c r="L14" i="1" s="1"/>
  <c r="E27" i="45"/>
  <c r="L30" i="80" l="1"/>
  <c r="U6" i="1" s="1"/>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100" i="43"/>
  <c r="D97"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46" i="79" l="1"/>
  <c r="AI46" i="79" s="1"/>
  <c r="S48" i="79"/>
  <c r="AG48" i="79" s="1"/>
  <c r="T40" i="79"/>
  <c r="AH40" i="79" s="1"/>
  <c r="AD47" i="79"/>
  <c r="T22" i="79"/>
  <c r="W22" i="79" s="1"/>
  <c r="AK22" i="79" s="1"/>
  <c r="AR40" i="79"/>
  <c r="AR41" i="79" s="1"/>
  <c r="AR42" i="79" s="1"/>
  <c r="AR43" i="79" s="1"/>
  <c r="AR44" i="79" s="1"/>
  <c r="AR45" i="79" s="1"/>
  <c r="AR46" i="79" s="1"/>
  <c r="AR47" i="79" s="1"/>
  <c r="AR48" i="79" s="1"/>
  <c r="AR49" i="79" s="1"/>
  <c r="AR50" i="79" s="1"/>
  <c r="AR51" i="79" s="1"/>
  <c r="AR52" i="79" s="1"/>
  <c r="AD36" i="79"/>
  <c r="AD35" i="79"/>
  <c r="AD34" i="79"/>
  <c r="AD37" i="79"/>
  <c r="AD38" i="79"/>
  <c r="S34" i="79"/>
  <c r="AG34" i="79" s="1"/>
  <c r="S35" i="79"/>
  <c r="AG35" i="79" s="1"/>
  <c r="S33" i="79"/>
  <c r="AG33" i="79" s="1"/>
  <c r="AD51" i="79"/>
  <c r="Z3" i="79"/>
  <c r="S20" i="79"/>
  <c r="AG20" i="79" s="1"/>
  <c r="AR19" i="79"/>
  <c r="AR20" i="79" s="1"/>
  <c r="AR21" i="79" s="1"/>
  <c r="AR22" i="79" s="1"/>
  <c r="AR23" i="79" s="1"/>
  <c r="AR24" i="79" s="1"/>
  <c r="T33" i="79"/>
  <c r="T34" i="79"/>
  <c r="T35" i="79"/>
  <c r="U34" i="79"/>
  <c r="AI34" i="79" s="1"/>
  <c r="U35" i="79"/>
  <c r="AI35" i="79" s="1"/>
  <c r="U33" i="79"/>
  <c r="AI33" i="79" s="1"/>
  <c r="AH22" i="79"/>
  <c r="W40" i="79"/>
  <c r="AK40"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AH34" i="79"/>
  <c r="W34" i="79"/>
  <c r="AK34" i="79" s="1"/>
  <c r="AH33" i="79"/>
  <c r="W33" i="79"/>
  <c r="AK33" i="79" s="1"/>
  <c r="W39" i="79"/>
  <c r="AK39" i="79" s="1"/>
  <c r="F93" i="43"/>
  <c r="H100" i="43" s="1"/>
  <c r="G100" i="43"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K100" i="43" l="1"/>
  <c r="J100" i="43" s="1"/>
  <c r="M100" i="43"/>
  <c r="N100" i="43" s="1"/>
  <c r="H101" i="43"/>
  <c r="G101" i="43" s="1"/>
  <c r="H95" i="43"/>
  <c r="G95" i="43" s="1"/>
  <c r="H94" i="43"/>
  <c r="G94" i="43" s="1"/>
  <c r="H97" i="43"/>
  <c r="G97" i="43" s="1"/>
  <c r="H99" i="43"/>
  <c r="G99" i="43" s="1"/>
  <c r="H93" i="43"/>
  <c r="G93" i="43" s="1"/>
  <c r="H96" i="43"/>
  <c r="G96" i="43" s="1"/>
  <c r="H98" i="43"/>
  <c r="G98" i="43" s="1"/>
  <c r="G21" i="73"/>
  <c r="F21" i="73"/>
  <c r="E21" i="73"/>
  <c r="K95" i="43" l="1"/>
  <c r="M95" i="43"/>
  <c r="N95" i="43" s="1"/>
  <c r="K101" i="43"/>
  <c r="M101" i="43"/>
  <c r="N101" i="43" s="1"/>
  <c r="K93" i="43"/>
  <c r="J93" i="43" s="1"/>
  <c r="M93" i="43"/>
  <c r="N93" i="43" s="1"/>
  <c r="K97" i="43"/>
  <c r="J97" i="43" s="1"/>
  <c r="M97" i="43"/>
  <c r="N97" i="43" s="1"/>
  <c r="K99" i="43"/>
  <c r="J99" i="43" s="1"/>
  <c r="M99" i="43"/>
  <c r="K98" i="43"/>
  <c r="M98" i="43"/>
  <c r="N98" i="43" s="1"/>
  <c r="K96" i="43"/>
  <c r="M96" i="43"/>
  <c r="N96" i="43" s="1"/>
  <c r="K94" i="43"/>
  <c r="J94" i="43" s="1"/>
  <c r="M94" i="43"/>
  <c r="N94" i="43" s="1"/>
  <c r="G22" i="73"/>
  <c r="F22" i="73"/>
  <c r="E22" i="73"/>
  <c r="J96" i="43" l="1"/>
  <c r="D96" i="43"/>
  <c r="J95" i="43"/>
  <c r="D95" i="43"/>
  <c r="J98" i="43"/>
  <c r="D98" i="43"/>
  <c r="J101" i="43"/>
  <c r="D101" i="43"/>
  <c r="N99" i="43"/>
  <c r="D99" i="43"/>
  <c r="G13" i="73"/>
  <c r="F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C83" i="71" s="1"/>
  <c r="D84" i="71"/>
  <c r="B84" i="71"/>
  <c r="B83" i="71"/>
  <c r="B82" i="71" s="1"/>
  <c r="D81" i="71"/>
  <c r="Q80" i="71"/>
  <c r="P80" i="71"/>
  <c r="O80" i="71"/>
  <c r="N80" i="71"/>
  <c r="F80" i="71"/>
  <c r="F79" i="71" s="1"/>
  <c r="F78" i="71" s="1"/>
  <c r="E80" i="71"/>
  <c r="U80" i="71" s="1"/>
  <c r="C80" i="71"/>
  <c r="C79" i="71" s="1"/>
  <c r="D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s="1"/>
  <c r="Q75" i="71"/>
  <c r="P75" i="71"/>
  <c r="O75" i="71"/>
  <c r="N75" i="71"/>
  <c r="F75" i="71"/>
  <c r="F74" i="71" s="1"/>
  <c r="B75" i="71"/>
  <c r="B74" i="71"/>
  <c r="Q74" i="71"/>
  <c r="P74" i="71"/>
  <c r="O74" i="71"/>
  <c r="N74" i="71"/>
  <c r="Q73" i="71"/>
  <c r="P73" i="71"/>
  <c r="O73" i="71"/>
  <c r="N73" i="71"/>
  <c r="D73" i="71"/>
  <c r="Q72" i="71"/>
  <c r="P72" i="71"/>
  <c r="O72" i="71"/>
  <c r="N72" i="71"/>
  <c r="F72" i="71"/>
  <c r="E72" i="71"/>
  <c r="U72" i="71"/>
  <c r="C72" i="71"/>
  <c r="T72" i="71" s="1"/>
  <c r="B72" i="71"/>
  <c r="S72" i="71"/>
  <c r="Q71" i="71"/>
  <c r="P71" i="71"/>
  <c r="O71" i="71"/>
  <c r="N71" i="71"/>
  <c r="B71" i="71"/>
  <c r="B70" i="71"/>
  <c r="Q70" i="71"/>
  <c r="P70" i="71"/>
  <c r="O70" i="71"/>
  <c r="N70" i="71"/>
  <c r="Q69" i="71"/>
  <c r="P69" i="71"/>
  <c r="O69" i="71"/>
  <c r="N69" i="71"/>
  <c r="D69" i="71"/>
  <c r="F68" i="71"/>
  <c r="F67" i="71" s="1"/>
  <c r="V68" i="71"/>
  <c r="E68" i="7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D50" i="71" s="1"/>
  <c r="N49" i="71"/>
  <c r="B50" i="71" s="1"/>
  <c r="D49" i="71"/>
  <c r="T48" i="71"/>
  <c r="Q48" i="71"/>
  <c r="P48" i="71"/>
  <c r="O48" i="71"/>
  <c r="N48" i="71"/>
  <c r="D48" i="71"/>
  <c r="Q47" i="71"/>
  <c r="P47" i="71"/>
  <c r="O47" i="71"/>
  <c r="N47" i="71"/>
  <c r="Q46" i="71"/>
  <c r="P46" i="71"/>
  <c r="O46" i="71"/>
  <c r="N46" i="71"/>
  <c r="F46" i="71"/>
  <c r="F47"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P41" i="71"/>
  <c r="E42" i="71"/>
  <c r="E43" i="71" s="1"/>
  <c r="E44" i="71" s="1"/>
  <c r="U44" i="71" s="1"/>
  <c r="O41" i="71"/>
  <c r="C42" i="71" s="1"/>
  <c r="D42" i="71" s="1"/>
  <c r="N41" i="71"/>
  <c r="B42" i="71"/>
  <c r="B43" i="71"/>
  <c r="D41" i="71"/>
  <c r="Q40" i="71"/>
  <c r="P40" i="71"/>
  <c r="O40" i="71"/>
  <c r="N40" i="71"/>
  <c r="AB39" i="71"/>
  <c r="Q39" i="71"/>
  <c r="P39" i="71"/>
  <c r="AA39" i="71" s="1"/>
  <c r="O39" i="71"/>
  <c r="N39" i="71"/>
  <c r="X39" i="71"/>
  <c r="Q38" i="71"/>
  <c r="P38" i="71"/>
  <c r="AA37" i="71" s="1"/>
  <c r="O38" i="71"/>
  <c r="Y38" i="71" s="1"/>
  <c r="Z38" i="71" s="1"/>
  <c r="N38" i="71"/>
  <c r="Q37" i="71"/>
  <c r="P37" i="71"/>
  <c r="O37" i="71"/>
  <c r="Y37" i="71" s="1"/>
  <c r="Z37" i="71" s="1"/>
  <c r="N37" i="71"/>
  <c r="B38" i="71" s="1"/>
  <c r="D37" i="71"/>
  <c r="Q36" i="71"/>
  <c r="P36" i="71"/>
  <c r="AA35" i="71" s="1"/>
  <c r="O36" i="71"/>
  <c r="N36" i="71"/>
  <c r="X36" i="71" s="1"/>
  <c r="Q35" i="71"/>
  <c r="P35" i="71"/>
  <c r="O35" i="71"/>
  <c r="Y35" i="71" s="1"/>
  <c r="Z35" i="71" s="1"/>
  <c r="N35" i="71"/>
  <c r="X34" i="71" s="1"/>
  <c r="Q34" i="71"/>
  <c r="P34" i="71"/>
  <c r="AA34" i="71" s="1"/>
  <c r="O34" i="71"/>
  <c r="N34" i="71"/>
  <c r="Q33" i="71"/>
  <c r="F34" i="71" s="1"/>
  <c r="P33" i="71"/>
  <c r="O33" i="71"/>
  <c r="N33" i="71"/>
  <c r="D33" i="71"/>
  <c r="Q32" i="71"/>
  <c r="AB32" i="71" s="1"/>
  <c r="P32" i="71"/>
  <c r="O32" i="71"/>
  <c r="N32" i="71"/>
  <c r="Q31" i="71"/>
  <c r="P31" i="71"/>
  <c r="O31" i="71"/>
  <c r="N31" i="71"/>
  <c r="Q30" i="71"/>
  <c r="P30" i="71"/>
  <c r="O30" i="71"/>
  <c r="Y30" i="71" s="1"/>
  <c r="Z30" i="71" s="1"/>
  <c r="N30" i="71"/>
  <c r="Q29" i="71"/>
  <c r="F30" i="71" s="1"/>
  <c r="F31" i="71" s="1"/>
  <c r="F32" i="71" s="1"/>
  <c r="V32" i="71" s="1"/>
  <c r="P29" i="71"/>
  <c r="E30" i="71" s="1"/>
  <c r="E31" i="71" s="1"/>
  <c r="E32" i="71" s="1"/>
  <c r="U32" i="71" s="1"/>
  <c r="O29" i="71"/>
  <c r="N29" i="71"/>
  <c r="D29" i="71"/>
  <c r="O28" i="71"/>
  <c r="N28" i="71"/>
  <c r="B30" i="71"/>
  <c r="B31" i="71" s="1"/>
  <c r="B32" i="71" s="1"/>
  <c r="S32" i="71" s="1"/>
  <c r="B34" i="71"/>
  <c r="B35" i="71" s="1"/>
  <c r="B39" i="71"/>
  <c r="B40" i="71"/>
  <c r="S40" i="71" s="1"/>
  <c r="E38" i="71"/>
  <c r="E39" i="71"/>
  <c r="E40" i="71" s="1"/>
  <c r="U40" i="71" s="1"/>
  <c r="N68" i="71"/>
  <c r="E34" i="71"/>
  <c r="C34" i="71"/>
  <c r="C38" i="71"/>
  <c r="D38" i="71" s="1"/>
  <c r="X38" i="71"/>
  <c r="F51" i="71"/>
  <c r="F52" i="71" s="1"/>
  <c r="V52" i="71" s="1"/>
  <c r="C28" i="71"/>
  <c r="B28" i="71"/>
  <c r="B27" i="71" s="1"/>
  <c r="B26" i="71"/>
  <c r="C39" i="71"/>
  <c r="P28" i="71"/>
  <c r="E28" i="71" s="1"/>
  <c r="E63" i="71"/>
  <c r="E64" i="71" s="1"/>
  <c r="U64" i="71" s="1"/>
  <c r="Q28" i="71"/>
  <c r="AB28" i="71" s="1"/>
  <c r="C59" i="71"/>
  <c r="C60" i="71" s="1"/>
  <c r="N67" i="71"/>
  <c r="B66" i="71"/>
  <c r="T68" i="71"/>
  <c r="O68" i="71"/>
  <c r="D68" i="71"/>
  <c r="C67" i="71"/>
  <c r="D67" i="71" s="1"/>
  <c r="Q68" i="71"/>
  <c r="C71" i="71"/>
  <c r="D71" i="71" s="1"/>
  <c r="E71" i="71"/>
  <c r="E70" i="71"/>
  <c r="D72" i="71"/>
  <c r="C75" i="71"/>
  <c r="D76" i="71"/>
  <c r="E79" i="71"/>
  <c r="E78" i="71" s="1"/>
  <c r="C87" i="71"/>
  <c r="C86" i="71" s="1"/>
  <c r="D86" i="71" s="1"/>
  <c r="S28" i="71"/>
  <c r="F28" i="71"/>
  <c r="F27" i="71"/>
  <c r="F26" i="71" s="1"/>
  <c r="C66" i="71"/>
  <c r="O67" i="71"/>
  <c r="N65" i="71"/>
  <c r="N66"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H21" i="37"/>
  <c r="AB21" i="37" s="1"/>
  <c r="F21" i="37"/>
  <c r="AA21" i="37" s="1"/>
  <c r="F84" i="34"/>
  <c r="H21" i="34"/>
  <c r="AB21" i="34" s="1"/>
  <c r="H21" i="33"/>
  <c r="U21" i="33" s="1"/>
  <c r="F21" i="33"/>
  <c r="AA21" i="33" s="1"/>
  <c r="E83" i="21"/>
  <c r="F83" i="21" s="1"/>
  <c r="H1" i="69"/>
  <c r="AC25" i="40"/>
  <c r="W25" i="40"/>
  <c r="U29" i="39"/>
  <c r="W18" i="36"/>
  <c r="U21" i="37"/>
  <c r="U21" i="34"/>
  <c r="AB21" i="33"/>
  <c r="J21" i="37"/>
  <c r="G84" i="34"/>
  <c r="J21" i="34"/>
  <c r="W21" i="34" s="1"/>
  <c r="J21" i="33"/>
  <c r="W21" i="33" s="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L110" i="3" s="1"/>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L91" i="3" s="1"/>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A275" i="3" s="1"/>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L230" i="3" s="1"/>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L227" i="3" s="1"/>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A331" i="3" s="1"/>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A489" i="3" s="1"/>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A480" i="3" s="1"/>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A476" i="3" s="1"/>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A466" i="3" s="1"/>
  <c r="BF466" i="3"/>
  <c r="BE466" i="3"/>
  <c r="BD466" i="3"/>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A448" i="3" s="1"/>
  <c r="AZ448" i="3" s="1"/>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A444" i="3" s="1"/>
  <c r="AZ444" i="3" s="1"/>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A437" i="3" s="1"/>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A419" i="3" s="1"/>
  <c r="AZ419" i="3" s="1"/>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A407" i="3" s="1"/>
  <c r="AZ407" i="3" s="1"/>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c r="L4" i="9"/>
  <c r="B17" i="72"/>
  <c r="B15" i="72"/>
  <c r="A3" i="51"/>
  <c r="C8" i="11"/>
  <c r="B40" i="48"/>
  <c r="B3" i="72" s="1"/>
  <c r="F35" i="4"/>
  <c r="J55" i="39" s="1"/>
  <c r="H38" i="43"/>
  <c r="H39"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U31" i="40" s="1"/>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s="1"/>
  <c r="J28" i="36"/>
  <c r="AC28" i="36" s="1"/>
  <c r="Q27" i="36"/>
  <c r="Z27" i="36" s="1"/>
  <c r="Q26" i="36"/>
  <c r="Z26" i="36" s="1"/>
  <c r="H26" i="36"/>
  <c r="AB26" i="36"/>
  <c r="Q25" i="36"/>
  <c r="Z25" i="36" s="1"/>
  <c r="Q24" i="36"/>
  <c r="Z24" i="36"/>
  <c r="H24" i="36"/>
  <c r="AB24" i="36" s="1"/>
  <c r="Q23" i="36"/>
  <c r="Z23" i="36"/>
  <c r="J23" i="36"/>
  <c r="AC23" i="36" s="1"/>
  <c r="Q22" i="36"/>
  <c r="Z22" i="36" s="1"/>
  <c r="J22" i="36"/>
  <c r="AC22" i="36" s="1"/>
  <c r="Q20" i="36"/>
  <c r="Z20" i="36"/>
  <c r="Q16" i="36"/>
  <c r="Z16" i="36" s="1"/>
  <c r="Q14" i="36"/>
  <c r="Z14" i="36" s="1"/>
  <c r="Q13" i="36"/>
  <c r="Z13" i="36"/>
  <c r="Q12" i="36"/>
  <c r="Z12" i="36" s="1"/>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c r="J36" i="35"/>
  <c r="AC36" i="35" s="1"/>
  <c r="Q35" i="35"/>
  <c r="Z35" i="35"/>
  <c r="Q34" i="35"/>
  <c r="Z34" i="35" s="1"/>
  <c r="Q33" i="35"/>
  <c r="Z33" i="35"/>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s="1"/>
  <c r="B70" i="21"/>
  <c r="F12" i="21" s="1"/>
  <c r="C19" i="21"/>
  <c r="C17" i="21"/>
  <c r="C23" i="21"/>
  <c r="Q9" i="21"/>
  <c r="Z9" i="21"/>
  <c r="Q10" i="21"/>
  <c r="Z10" i="21" s="1"/>
  <c r="Q11" i="21"/>
  <c r="Z11" i="21"/>
  <c r="Q12" i="21"/>
  <c r="Z12" i="21" s="1"/>
  <c r="Q13" i="21"/>
  <c r="Z13" i="21"/>
  <c r="Q14" i="21"/>
  <c r="Z14" i="21"/>
  <c r="Q15" i="21"/>
  <c r="Z15" i="21"/>
  <c r="Q17" i="21"/>
  <c r="Z17" i="21" s="1"/>
  <c r="Q19" i="21"/>
  <c r="Z19" i="21"/>
  <c r="Q23" i="21"/>
  <c r="Z23" i="21" s="1"/>
  <c r="Q25" i="21"/>
  <c r="Z25" i="21" s="1"/>
  <c r="Q26" i="21"/>
  <c r="Z26" i="21" s="1"/>
  <c r="Q27" i="21"/>
  <c r="Z27" i="21" s="1"/>
  <c r="Q28" i="21"/>
  <c r="Z28" i="21"/>
  <c r="Q29" i="21"/>
  <c r="Z29" i="21" s="1"/>
  <c r="Q30" i="21"/>
  <c r="Z30" i="21" s="1"/>
  <c r="Q31" i="21"/>
  <c r="Z31" i="21"/>
  <c r="Q32" i="21"/>
  <c r="Z32" i="21"/>
  <c r="Q33" i="21"/>
  <c r="Z33" i="21"/>
  <c r="Q34" i="21"/>
  <c r="Z34" i="21"/>
  <c r="J35" i="21"/>
  <c r="W35" i="21" s="1"/>
  <c r="Q35" i="21"/>
  <c r="Z35" i="21" s="1"/>
  <c r="Q36" i="21"/>
  <c r="Z36" i="21"/>
  <c r="Q37" i="21"/>
  <c r="Z37" i="21" s="1"/>
  <c r="J38" i="21"/>
  <c r="W38" i="21" s="1"/>
  <c r="Q38" i="21"/>
  <c r="Z38" i="21" s="1"/>
  <c r="J39" i="21"/>
  <c r="AC39" i="21"/>
  <c r="Q39" i="21"/>
  <c r="Z39" i="21" s="1"/>
  <c r="H40" i="21"/>
  <c r="AB40" i="21"/>
  <c r="Q40" i="21"/>
  <c r="Z40" i="21"/>
  <c r="Q41" i="21"/>
  <c r="Z41" i="21"/>
  <c r="Q42" i="21"/>
  <c r="Z42" i="21"/>
  <c r="J43" i="21"/>
  <c r="AC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c r="F43" i="21"/>
  <c r="S43" i="21" s="1"/>
  <c r="H38" i="21"/>
  <c r="U38" i="21" s="1"/>
  <c r="H43" i="2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F36" i="34"/>
  <c r="J35" i="34"/>
  <c r="U34" i="34"/>
  <c r="H39" i="33"/>
  <c r="AB39" i="33" s="1"/>
  <c r="F26" i="33"/>
  <c r="S26" i="33" s="1"/>
  <c r="AA26" i="33"/>
  <c r="U33" i="33"/>
  <c r="U35" i="33"/>
  <c r="S40" i="33"/>
  <c r="W33" i="33"/>
  <c r="S27" i="35"/>
  <c r="F11" i="40"/>
  <c r="AA11" i="40" s="1"/>
  <c r="H11" i="40"/>
  <c r="AB11" i="40"/>
  <c r="W8"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H27" i="39"/>
  <c r="U27" i="39" s="1"/>
  <c r="J19" i="39"/>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6"/>
  <c r="W32" i="40"/>
  <c r="F37" i="39"/>
  <c r="AA37" i="39" s="1"/>
  <c r="J34" i="36"/>
  <c r="W34" i="36" s="1"/>
  <c r="U30" i="36"/>
  <c r="J30" i="35"/>
  <c r="W30" i="35" s="1"/>
  <c r="H30" i="35"/>
  <c r="AB30" i="35" s="1"/>
  <c r="F22" i="35"/>
  <c r="AA22" i="35" s="1"/>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J32" i="35"/>
  <c r="AC32" i="35" s="1"/>
  <c r="J16" i="35"/>
  <c r="AC16" i="35"/>
  <c r="H16" i="35"/>
  <c r="U16" i="35" s="1"/>
  <c r="F16" i="35"/>
  <c r="S16" i="35" s="1"/>
  <c r="H14" i="35"/>
  <c r="AB14" i="35" s="1"/>
  <c r="J29" i="35"/>
  <c r="H33" i="35"/>
  <c r="J20" i="35"/>
  <c r="W20" i="35"/>
  <c r="F35" i="37"/>
  <c r="S35" i="37" s="1"/>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F19" i="34"/>
  <c r="H17" i="34"/>
  <c r="U17" i="34"/>
  <c r="F15" i="34"/>
  <c r="AA15" i="34" s="1"/>
  <c r="J15" i="34"/>
  <c r="H15" i="34"/>
  <c r="AB15" i="34" s="1"/>
  <c r="W8" i="34"/>
  <c r="J28" i="34"/>
  <c r="W28" i="34" s="1"/>
  <c r="F41" i="33"/>
  <c r="S41" i="33" s="1"/>
  <c r="S38" i="33"/>
  <c r="E113" i="33"/>
  <c r="F113" i="33" s="1"/>
  <c r="G113" i="33" s="1"/>
  <c r="H113" i="33" s="1"/>
  <c r="I113" i="33" s="1"/>
  <c r="J113" i="33" s="1"/>
  <c r="K113" i="33" s="1"/>
  <c r="L113" i="33" s="1"/>
  <c r="M113" i="33" s="1"/>
  <c r="F32" i="33"/>
  <c r="AA32" i="33"/>
  <c r="J19" i="33"/>
  <c r="AC19" i="33"/>
  <c r="J15" i="33"/>
  <c r="AC15" i="33"/>
  <c r="F11" i="33"/>
  <c r="AA11" i="33" s="1"/>
  <c r="U40" i="33"/>
  <c r="W40" i="33"/>
  <c r="F37" i="40"/>
  <c r="AA37" i="40"/>
  <c r="F36" i="40"/>
  <c r="AA36" i="40"/>
  <c r="H28" i="40"/>
  <c r="U28" i="40"/>
  <c r="F23" i="40"/>
  <c r="AA23" i="40" s="1"/>
  <c r="F17" i="40"/>
  <c r="AA17" i="40" s="1"/>
  <c r="J17" i="40"/>
  <c r="W17" i="40"/>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AB17" i="34"/>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s="1"/>
  <c r="J45" i="33"/>
  <c r="W45" i="33" s="1"/>
  <c r="F45" i="33"/>
  <c r="AA45" i="33" s="1"/>
  <c r="J14" i="34"/>
  <c r="W14" i="34" s="1"/>
  <c r="F14" i="34"/>
  <c r="AA14" i="34" s="1"/>
  <c r="H14" i="34"/>
  <c r="H30" i="34"/>
  <c r="F30" i="34"/>
  <c r="S30" i="34" s="1"/>
  <c r="J30" i="34"/>
  <c r="H32" i="34"/>
  <c r="F32" i="34"/>
  <c r="J32" i="34"/>
  <c r="W32" i="34" s="1"/>
  <c r="H46" i="34"/>
  <c r="AB46" i="34" s="1"/>
  <c r="U46" i="34"/>
  <c r="F46" i="34"/>
  <c r="J46" i="34"/>
  <c r="AC46" i="34" s="1"/>
  <c r="H11" i="35"/>
  <c r="AB11" i="35" s="1"/>
  <c r="J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W44" i="33" s="1"/>
  <c r="AC44" i="33"/>
  <c r="F44" i="33"/>
  <c r="J46" i="33"/>
  <c r="AC46" i="33"/>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c r="J35" i="35"/>
  <c r="AC35" i="35" s="1"/>
  <c r="F35" i="35"/>
  <c r="AA35" i="35" s="1"/>
  <c r="H35" i="35"/>
  <c r="H25" i="36"/>
  <c r="AB25" i="36" s="1"/>
  <c r="H13" i="37"/>
  <c r="AB13" i="37" s="1"/>
  <c r="F13" i="37"/>
  <c r="AA13" i="37" s="1"/>
  <c r="J13" i="37"/>
  <c r="W13" i="37" s="1"/>
  <c r="F28" i="37"/>
  <c r="AA28" i="37" s="1"/>
  <c r="J28" i="37"/>
  <c r="AC28" i="37" s="1"/>
  <c r="H28" i="37"/>
  <c r="H38" i="37"/>
  <c r="AB38" i="37"/>
  <c r="J38" i="37"/>
  <c r="AC38" i="37" s="1"/>
  <c r="F38" i="37"/>
  <c r="S38" i="37"/>
  <c r="F43" i="39"/>
  <c r="H43" i="39"/>
  <c r="J14" i="39"/>
  <c r="AC14" i="39" s="1"/>
  <c r="F14" i="39"/>
  <c r="H14" i="39"/>
  <c r="AB14" i="39" s="1"/>
  <c r="F12" i="40"/>
  <c r="H12" i="40"/>
  <c r="AB12" i="40"/>
  <c r="H30" i="40"/>
  <c r="AB30" i="40"/>
  <c r="F33" i="40"/>
  <c r="AA33" i="40"/>
  <c r="H33" i="40"/>
  <c r="AB33" i="40" s="1"/>
  <c r="U33" i="40"/>
  <c r="J35" i="40"/>
  <c r="AC35" i="40" s="1"/>
  <c r="J37" i="40"/>
  <c r="AC37" i="40" s="1"/>
  <c r="H13" i="40"/>
  <c r="U13" i="40"/>
  <c r="J13" i="40"/>
  <c r="W13" i="40"/>
  <c r="F13" i="40"/>
  <c r="AA13" i="40" s="1"/>
  <c r="F14" i="37"/>
  <c r="S14" i="37"/>
  <c r="F27" i="37"/>
  <c r="AA27" i="37" s="1"/>
  <c r="F13" i="39"/>
  <c r="J13" i="39"/>
  <c r="W13" i="39" s="1"/>
  <c r="H13" i="39"/>
  <c r="H14" i="40"/>
  <c r="AB14" i="40"/>
  <c r="J14" i="40"/>
  <c r="W14" i="40" s="1"/>
  <c r="F14" i="40"/>
  <c r="AA14" i="40" s="1"/>
  <c r="J14" i="37"/>
  <c r="J27" i="37"/>
  <c r="AC27" i="37" s="1"/>
  <c r="U46" i="33"/>
  <c r="J36" i="37"/>
  <c r="AC36" i="37"/>
  <c r="J10" i="36"/>
  <c r="AC10" i="36" s="1"/>
  <c r="AB26" i="33"/>
  <c r="AB30" i="21"/>
  <c r="AA14" i="37"/>
  <c r="S11" i="36"/>
  <c r="S45" i="33"/>
  <c r="S44" i="34"/>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54" i="3"/>
  <c r="BL546" i="3"/>
  <c r="BL542" i="3"/>
  <c r="BL538" i="3"/>
  <c r="BL534" i="3"/>
  <c r="BL530" i="3"/>
  <c r="BL526" i="3"/>
  <c r="BL522" i="3"/>
  <c r="BL516" i="3"/>
  <c r="BL512" i="3"/>
  <c r="BL506" i="3"/>
  <c r="BL502" i="3"/>
  <c r="AZ502" i="3" s="1"/>
  <c r="BL498" i="3"/>
  <c r="BL494" i="3"/>
  <c r="BL578" i="3"/>
  <c r="BL574" i="3"/>
  <c r="BL570" i="3"/>
  <c r="BL566" i="3"/>
  <c r="BL562" i="3"/>
  <c r="BL556" i="3"/>
  <c r="AZ556" i="3" s="1"/>
  <c r="BL552" i="3"/>
  <c r="BL544" i="3"/>
  <c r="BL540" i="3"/>
  <c r="AZ540" i="3" s="1"/>
  <c r="BL536" i="3"/>
  <c r="G533" i="3"/>
  <c r="BL532" i="3"/>
  <c r="G529" i="3"/>
  <c r="BL528" i="3"/>
  <c r="G525" i="3"/>
  <c r="BL524" i="3"/>
  <c r="BL518" i="3"/>
  <c r="BL514" i="3"/>
  <c r="BL510" i="3"/>
  <c r="BL504" i="3"/>
  <c r="AZ504" i="3" s="1"/>
  <c r="BL500" i="3"/>
  <c r="AZ500" i="3" s="1"/>
  <c r="BL496" i="3"/>
  <c r="G493" i="3"/>
  <c r="BA584" i="3"/>
  <c r="BA582" i="3"/>
  <c r="AZ582" i="3" s="1"/>
  <c r="BA580" i="3"/>
  <c r="BA578" i="3"/>
  <c r="BA576" i="3"/>
  <c r="AZ576" i="3" s="1"/>
  <c r="BA574" i="3"/>
  <c r="AZ574" i="3" s="1"/>
  <c r="BA572" i="3"/>
  <c r="AZ572" i="3" s="1"/>
  <c r="BA570" i="3"/>
  <c r="AZ570" i="3" s="1"/>
  <c r="BA568" i="3"/>
  <c r="AZ568" i="3" s="1"/>
  <c r="BA566" i="3"/>
  <c r="BA564" i="3"/>
  <c r="AZ564" i="3" s="1"/>
  <c r="BA562" i="3"/>
  <c r="BA560" i="3"/>
  <c r="BA558" i="3"/>
  <c r="BA556" i="3"/>
  <c r="BA554" i="3"/>
  <c r="AZ554" i="3" s="1"/>
  <c r="BA552" i="3"/>
  <c r="AZ552" i="3" s="1"/>
  <c r="BA548" i="3"/>
  <c r="BA546" i="3"/>
  <c r="AZ546" i="3" s="1"/>
  <c r="BA544" i="3"/>
  <c r="AZ544" i="3" s="1"/>
  <c r="BA542" i="3"/>
  <c r="AZ542" i="3" s="1"/>
  <c r="BA540" i="3"/>
  <c r="BA538" i="3"/>
  <c r="AZ538" i="3"/>
  <c r="BA536" i="3"/>
  <c r="AZ536" i="3"/>
  <c r="BA534" i="3"/>
  <c r="AZ534" i="3" s="1"/>
  <c r="BA532" i="3"/>
  <c r="AZ532" i="3" s="1"/>
  <c r="BA530" i="3"/>
  <c r="BA528" i="3"/>
  <c r="AZ528" i="3" s="1"/>
  <c r="BA526" i="3"/>
  <c r="BA524" i="3"/>
  <c r="BA522" i="3"/>
  <c r="AZ522" i="3" s="1"/>
  <c r="BA520" i="3"/>
  <c r="BA518" i="3"/>
  <c r="BA516" i="3"/>
  <c r="AZ516" i="3" s="1"/>
  <c r="BA514" i="3"/>
  <c r="AZ514" i="3" s="1"/>
  <c r="BA512" i="3"/>
  <c r="AZ512" i="3" s="1"/>
  <c r="BA510" i="3"/>
  <c r="AZ510" i="3" s="1"/>
  <c r="BA508" i="3"/>
  <c r="AZ508" i="3" s="1"/>
  <c r="BA506" i="3"/>
  <c r="BA504" i="3"/>
  <c r="BA502" i="3"/>
  <c r="BA500" i="3"/>
  <c r="BA498" i="3"/>
  <c r="AZ498" i="3" s="1"/>
  <c r="BA496" i="3"/>
  <c r="AZ496" i="3" s="1"/>
  <c r="BA494" i="3"/>
  <c r="BA583" i="3"/>
  <c r="BA581" i="3"/>
  <c r="BA579" i="3"/>
  <c r="BA577" i="3"/>
  <c r="BA575" i="3"/>
  <c r="BA573" i="3"/>
  <c r="BA571" i="3"/>
  <c r="AZ571" i="3" s="1"/>
  <c r="BA569" i="3"/>
  <c r="BA567" i="3"/>
  <c r="BA565" i="3"/>
  <c r="AZ565" i="3" s="1"/>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c r="BQ569" i="3"/>
  <c r="BL569" i="3" s="1"/>
  <c r="BQ567" i="3"/>
  <c r="BL567" i="3"/>
  <c r="BQ565" i="3"/>
  <c r="BL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s="1"/>
  <c r="BQ543" i="3"/>
  <c r="BL543" i="3" s="1"/>
  <c r="AZ543" i="3"/>
  <c r="BQ541" i="3"/>
  <c r="BL541" i="3" s="1"/>
  <c r="AZ541" i="3" s="1"/>
  <c r="BQ539" i="3"/>
  <c r="BL539" i="3" s="1"/>
  <c r="AZ539" i="3" s="1"/>
  <c r="BQ537" i="3"/>
  <c r="BL537" i="3" s="1"/>
  <c r="BQ535" i="3"/>
  <c r="BL535" i="3" s="1"/>
  <c r="AZ535" i="3" s="1"/>
  <c r="BQ533" i="3"/>
  <c r="BL533" i="3"/>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BQ517" i="3"/>
  <c r="BL517" i="3" s="1"/>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s="1"/>
  <c r="BQ499" i="3"/>
  <c r="BL499" i="3"/>
  <c r="BQ497" i="3"/>
  <c r="BL497" i="3"/>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F32" i="40"/>
  <c r="S32" i="40" s="1"/>
  <c r="H32" i="40"/>
  <c r="AB32" i="40"/>
  <c r="J36" i="40"/>
  <c r="W36" i="40" s="1"/>
  <c r="H19" i="37"/>
  <c r="AB19" i="37" s="1"/>
  <c r="H42" i="33"/>
  <c r="J43" i="33"/>
  <c r="AC43" i="33" s="1"/>
  <c r="S28" i="31"/>
  <c r="S27" i="31"/>
  <c r="S26" i="31"/>
  <c r="U14" i="40"/>
  <c r="U26" i="37"/>
  <c r="W47" i="34"/>
  <c r="AA13" i="33"/>
  <c r="AC31" i="33"/>
  <c r="U11" i="33"/>
  <c r="U19" i="21"/>
  <c r="W44" i="21"/>
  <c r="AB38"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A25" i="2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30"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AZ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AZ307" i="3" s="1"/>
  <c r="G308" i="3"/>
  <c r="BA310" i="3"/>
  <c r="AZ310" i="3" s="1"/>
  <c r="BL311" i="3"/>
  <c r="AZ311" i="3" s="1"/>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s="1"/>
  <c r="BL370" i="3"/>
  <c r="G371" i="3"/>
  <c r="BA373" i="3"/>
  <c r="AZ373" i="3" s="1"/>
  <c r="BL374" i="3"/>
  <c r="G375" i="3"/>
  <c r="BA377" i="3"/>
  <c r="AZ377" i="3" s="1"/>
  <c r="AZ237" i="3"/>
  <c r="BA379" i="3"/>
  <c r="BL380" i="3"/>
  <c r="G381" i="3"/>
  <c r="BA383" i="3"/>
  <c r="AZ383" i="3" s="1"/>
  <c r="BL384" i="3"/>
  <c r="AZ384" i="3" s="1"/>
  <c r="G385" i="3"/>
  <c r="BA387" i="3"/>
  <c r="BL388" i="3"/>
  <c r="G389" i="3"/>
  <c r="BA391" i="3"/>
  <c r="BL392" i="3"/>
  <c r="G393" i="3"/>
  <c r="BO5" i="3"/>
  <c r="BM5" i="3"/>
  <c r="BJ5" i="3"/>
  <c r="BH5" i="3"/>
  <c r="BF5" i="3"/>
  <c r="BD5" i="3"/>
  <c r="AC5" i="3"/>
  <c r="AZ506" i="3"/>
  <c r="G548" i="3"/>
  <c r="G538" i="3"/>
  <c r="G520" i="3"/>
  <c r="G502" i="3"/>
  <c r="BS5" i="3"/>
  <c r="BP5" i="3"/>
  <c r="BN5" i="3"/>
  <c r="BK5" i="3"/>
  <c r="BI5" i="3"/>
  <c r="BG5" i="3"/>
  <c r="BE5" i="3"/>
  <c r="BC5" i="3"/>
  <c r="G17" i="3"/>
  <c r="BA17" i="3"/>
  <c r="BT5" i="3"/>
  <c r="BA15" i="3"/>
  <c r="BB5" i="3"/>
  <c r="BR5" i="3"/>
  <c r="AZ509" i="3"/>
  <c r="G509" i="3"/>
  <c r="AZ493" i="3"/>
  <c r="U36" i="40"/>
  <c r="F83" i="43"/>
  <c r="H85" i="43" s="1"/>
  <c r="F50" i="43"/>
  <c r="H54" i="43" s="1"/>
  <c r="F72" i="43"/>
  <c r="H75" i="43" s="1"/>
  <c r="U17" i="39"/>
  <c r="S14" i="35"/>
  <c r="U35" i="21"/>
  <c r="AC35" i="21"/>
  <c r="AC11" i="39"/>
  <c r="AZ563" i="3"/>
  <c r="AZ501" i="3"/>
  <c r="W37" i="37"/>
  <c r="W44" i="34"/>
  <c r="AC44" i="34"/>
  <c r="S15"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27" i="40"/>
  <c r="U27" i="40" s="1"/>
  <c r="J27" i="40"/>
  <c r="AC27" i="40" s="1"/>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33" i="3"/>
  <c r="AZ77" i="3"/>
  <c r="F23" i="39"/>
  <c r="AA23" i="39" s="1"/>
  <c r="H27" i="36"/>
  <c r="U27" i="36" s="1"/>
  <c r="F27" i="36"/>
  <c r="AA27" i="36" s="1"/>
  <c r="H33" i="34"/>
  <c r="AB33" i="34" s="1"/>
  <c r="F32" i="37"/>
  <c r="S32" i="37" s="1"/>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W12" i="33"/>
  <c r="AC12" i="33"/>
  <c r="AA32" i="36"/>
  <c r="S32" i="36"/>
  <c r="AZ437" i="3"/>
  <c r="AZ441" i="3"/>
  <c r="BL14" i="3"/>
  <c r="U30" i="33"/>
  <c r="AC13" i="34"/>
  <c r="AA47" i="34"/>
  <c r="W28" i="37"/>
  <c r="S19" i="39"/>
  <c r="F12" i="33"/>
  <c r="S12" i="33" s="1"/>
  <c r="H12" i="39"/>
  <c r="AB12" i="39" s="1"/>
  <c r="F39" i="40"/>
  <c r="AA39" i="40" s="1"/>
  <c r="BA14" i="3"/>
  <c r="AZ22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28" i="40"/>
  <c r="U21" i="40"/>
  <c r="AB19" i="40"/>
  <c r="S37" i="39"/>
  <c r="F32" i="39"/>
  <c r="AA32" i="39" s="1"/>
  <c r="F106" i="39"/>
  <c r="G106" i="39" s="1"/>
  <c r="H106" i="39" s="1"/>
  <c r="I106" i="39" s="1"/>
  <c r="J106" i="39" s="1"/>
  <c r="K106" i="39" s="1"/>
  <c r="L106" i="39" s="1"/>
  <c r="M106" i="39" s="1"/>
  <c r="U25" i="39"/>
  <c r="AB27" i="39"/>
  <c r="U31" i="39"/>
  <c r="J21" i="39"/>
  <c r="W21" i="39" s="1"/>
  <c r="F21" i="39"/>
  <c r="AA21" i="39" s="1"/>
  <c r="G94" i="39"/>
  <c r="H21" i="39"/>
  <c r="AB21" i="39" s="1"/>
  <c r="U19" i="39"/>
  <c r="S17" i="39"/>
  <c r="S15" i="39"/>
  <c r="AA12" i="39"/>
  <c r="S9" i="39"/>
  <c r="U14" i="39"/>
  <c r="AC13" i="39"/>
  <c r="U12" i="39"/>
  <c r="U13" i="36"/>
  <c r="U26" i="36"/>
  <c r="S33" i="36"/>
  <c r="AA26" i="36"/>
  <c r="AA34" i="36"/>
  <c r="AC26" i="36"/>
  <c r="AA22" i="36"/>
  <c r="W14" i="36"/>
  <c r="AB14" i="36"/>
  <c r="U22" i="36"/>
  <c r="S16" i="36"/>
  <c r="S24" i="36"/>
  <c r="U24" i="36"/>
  <c r="AB20" i="36"/>
  <c r="U16" i="36"/>
  <c r="S14" i="36"/>
  <c r="AA25" i="35"/>
  <c r="W24" i="35"/>
  <c r="AB13" i="35"/>
  <c r="U29" i="35"/>
  <c r="U28" i="35"/>
  <c r="AB27" i="35"/>
  <c r="U36" i="35"/>
  <c r="U32" i="35"/>
  <c r="AA33" i="35"/>
  <c r="S32" i="35"/>
  <c r="S28" i="35"/>
  <c r="AB16" i="35"/>
  <c r="U22" i="35"/>
  <c r="AC20" i="35"/>
  <c r="S22" i="35"/>
  <c r="U14" i="35"/>
  <c r="AA11" i="35"/>
  <c r="AC9" i="35"/>
  <c r="W9" i="35"/>
  <c r="W13" i="35"/>
  <c r="F9" i="35"/>
  <c r="S9" i="35" s="1"/>
  <c r="H9" i="35"/>
  <c r="U9" i="35" s="1"/>
  <c r="AB40" i="37"/>
  <c r="S25" i="37"/>
  <c r="W27" i="37"/>
  <c r="AC29" i="37"/>
  <c r="U29" i="37"/>
  <c r="AB31" i="37"/>
  <c r="W30" i="37"/>
  <c r="S36" i="37"/>
  <c r="AA38" i="37"/>
  <c r="W38" i="37"/>
  <c r="S30" i="37"/>
  <c r="S37" i="37"/>
  <c r="AC15" i="37"/>
  <c r="J17" i="37"/>
  <c r="W17" i="37"/>
  <c r="G73" i="37"/>
  <c r="F17" i="37"/>
  <c r="AA17" i="37" s="1"/>
  <c r="AB17" i="37"/>
  <c r="F19" i="37"/>
  <c r="S19" i="37" s="1"/>
  <c r="F79" i="37"/>
  <c r="F23" i="37"/>
  <c r="S23" i="37" s="1"/>
  <c r="U15" i="37"/>
  <c r="AC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U32"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12" i="33"/>
  <c r="D68" i="9"/>
  <c r="F54" i="9"/>
  <c r="J32" i="39"/>
  <c r="H32" i="39"/>
  <c r="AB32" i="39" s="1"/>
  <c r="AC17" i="37"/>
  <c r="S17" i="37"/>
  <c r="J19" i="37"/>
  <c r="W19" i="37" s="1"/>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AC27" i="33" s="1"/>
  <c r="U25" i="33"/>
  <c r="S25" i="33"/>
  <c r="AA25" i="33"/>
  <c r="G87" i="33"/>
  <c r="H87" i="33" s="1"/>
  <c r="I87" i="33" s="1"/>
  <c r="J87" i="33" s="1"/>
  <c r="K87" i="33" s="1"/>
  <c r="L87" i="33" s="1"/>
  <c r="M87" i="33" s="1"/>
  <c r="J25" i="33"/>
  <c r="W25" i="33" s="1"/>
  <c r="F23" i="33"/>
  <c r="G85" i="33"/>
  <c r="AA19" i="33"/>
  <c r="H19" i="33"/>
  <c r="U19" i="33" s="1"/>
  <c r="G81" i="33"/>
  <c r="H17" i="33"/>
  <c r="U17" i="33" s="1"/>
  <c r="F17" i="33"/>
  <c r="S17" i="33" s="1"/>
  <c r="S37" i="21"/>
  <c r="AA23" i="21"/>
  <c r="AB15" i="21"/>
  <c r="J23" i="21"/>
  <c r="W23" i="21" s="1"/>
  <c r="F85" i="21"/>
  <c r="G85" i="21" s="1"/>
  <c r="H23" i="21"/>
  <c r="U23" i="21" s="1"/>
  <c r="AP7" i="1"/>
  <c r="AB45" i="21"/>
  <c r="AA32" i="21"/>
  <c r="S32" i="21"/>
  <c r="AC9" i="21"/>
  <c r="AC32" i="39"/>
  <c r="W32" i="39"/>
  <c r="J63" i="37"/>
  <c r="K63" i="37" s="1"/>
  <c r="L63" i="37" s="1"/>
  <c r="M63" i="37" s="1"/>
  <c r="J11" i="37"/>
  <c r="AC11" i="37" s="1"/>
  <c r="J11" i="34"/>
  <c r="W11" i="34" s="1"/>
  <c r="AB36" i="33"/>
  <c r="W27" i="33"/>
  <c r="AC25" i="33"/>
  <c r="AB19" i="33"/>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E13" i="76"/>
  <c r="F42" i="15"/>
  <c r="M9" i="15"/>
  <c r="C76" i="15"/>
  <c r="E11" i="76"/>
  <c r="F20" i="31"/>
  <c r="M24" i="67"/>
  <c r="F38" i="15"/>
  <c r="B7" i="76"/>
  <c r="M9" i="67"/>
  <c r="J15" i="15"/>
  <c r="F7" i="73"/>
  <c r="B9" i="76"/>
  <c r="M8" i="67"/>
  <c r="B10" i="76"/>
  <c r="B12" i="76"/>
  <c r="M23" i="15"/>
  <c r="F36" i="15"/>
  <c r="F40" i="15"/>
  <c r="E12" i="76"/>
  <c r="F9" i="67"/>
  <c r="E10" i="76"/>
  <c r="F43" i="67"/>
  <c r="F40" i="67"/>
  <c r="M22" i="15"/>
  <c r="F16" i="67"/>
  <c r="E7" i="76"/>
  <c r="F8" i="15"/>
  <c r="F16" i="15"/>
  <c r="M8" i="15"/>
  <c r="L48" i="15"/>
  <c r="F37" i="15"/>
  <c r="B11" i="76"/>
  <c r="F26" i="15"/>
  <c r="L47" i="15"/>
  <c r="F9" i="15"/>
  <c r="F7" i="67"/>
  <c r="M6" i="15"/>
  <c r="F26" i="67"/>
  <c r="F13" i="67"/>
  <c r="F8" i="67"/>
  <c r="F37" i="67"/>
  <c r="M26" i="15"/>
  <c r="M26" i="67"/>
  <c r="E2" i="69"/>
  <c r="C76" i="67"/>
  <c r="B13" i="76"/>
  <c r="M23" i="67"/>
  <c r="F6" i="73"/>
  <c r="AO13" i="1"/>
  <c r="E2" i="68"/>
  <c r="M28" i="67"/>
  <c r="M29" i="67"/>
  <c r="F42" i="67"/>
  <c r="F36" i="67"/>
  <c r="B8" i="76"/>
  <c r="F6" i="15"/>
  <c r="F4" i="73"/>
  <c r="M24" i="15"/>
  <c r="F13" i="15"/>
  <c r="L48" i="67"/>
  <c r="F5" i="73"/>
  <c r="J15" i="67"/>
  <c r="M6" i="67"/>
  <c r="E8" i="76"/>
  <c r="L47" i="67"/>
  <c r="E9" i="76"/>
  <c r="F38" i="67"/>
  <c r="M22" i="67"/>
  <c r="M28" i="15"/>
  <c r="F3" i="73"/>
  <c r="AC23" i="21" l="1"/>
  <c r="U23" i="33"/>
  <c r="AA19" i="37"/>
  <c r="U32" i="37"/>
  <c r="AA36" i="35"/>
  <c r="U33" i="34"/>
  <c r="AZ376" i="3"/>
  <c r="AZ309" i="3"/>
  <c r="AZ537" i="3"/>
  <c r="W31" i="34"/>
  <c r="W17" i="34"/>
  <c r="AC17" i="34"/>
  <c r="J35" i="39"/>
  <c r="AC35" i="39" s="1"/>
  <c r="F35" i="39"/>
  <c r="H35" i="39"/>
  <c r="AZ379" i="3"/>
  <c r="AZ322" i="3"/>
  <c r="AZ513" i="3"/>
  <c r="AZ518" i="3"/>
  <c r="AA12" i="40"/>
  <c r="S12" i="40"/>
  <c r="S14" i="33"/>
  <c r="AA14" i="33"/>
  <c r="G585" i="3"/>
  <c r="H5" i="3"/>
  <c r="AZ587" i="3"/>
  <c r="AB23" i="21"/>
  <c r="AC30" i="35"/>
  <c r="U37" i="39"/>
  <c r="AB42" i="33"/>
  <c r="U42" i="33"/>
  <c r="AZ558" i="3"/>
  <c r="U12" i="35"/>
  <c r="AB12" i="35"/>
  <c r="J23" i="35"/>
  <c r="H23" i="35"/>
  <c r="F23" i="35"/>
  <c r="AA17" i="33"/>
  <c r="U9" i="21"/>
  <c r="AC17" i="33"/>
  <c r="W42" i="33"/>
  <c r="W28" i="21"/>
  <c r="AC28" i="21"/>
  <c r="AB34" i="35"/>
  <c r="U34" i="35"/>
  <c r="J25" i="36"/>
  <c r="F25" i="36"/>
  <c r="J39" i="40"/>
  <c r="H39" i="40"/>
  <c r="W27" i="40"/>
  <c r="AC23" i="37"/>
  <c r="AB34" i="33"/>
  <c r="AB35" i="37"/>
  <c r="W19" i="40"/>
  <c r="AA30" i="40"/>
  <c r="AZ391" i="3"/>
  <c r="AZ324" i="3"/>
  <c r="AC36" i="34"/>
  <c r="S13" i="37"/>
  <c r="AB43" i="21"/>
  <c r="U43" i="21"/>
  <c r="AA27" i="40"/>
  <c r="S11" i="39"/>
  <c r="AA11" i="39"/>
  <c r="AZ575" i="3"/>
  <c r="S44" i="33"/>
  <c r="AA44" i="33"/>
  <c r="AA29" i="35"/>
  <c r="AC19" i="39"/>
  <c r="W19" i="39"/>
  <c r="AA42" i="21"/>
  <c r="S42" i="21"/>
  <c r="W46" i="34"/>
  <c r="AC45" i="34"/>
  <c r="W29" i="36"/>
  <c r="AZ336" i="3"/>
  <c r="AZ305" i="3"/>
  <c r="AZ566" i="3"/>
  <c r="AA43" i="39"/>
  <c r="S43" i="39"/>
  <c r="W11" i="40"/>
  <c r="AC11" i="40"/>
  <c r="S21" i="39"/>
  <c r="S39" i="40"/>
  <c r="AC15" i="21"/>
  <c r="S31" i="40"/>
  <c r="AA19" i="40"/>
  <c r="AZ387" i="3"/>
  <c r="AZ304" i="3"/>
  <c r="AZ499" i="3"/>
  <c r="AC31" i="40"/>
  <c r="W31" i="40"/>
  <c r="F9" i="34"/>
  <c r="AA9" i="34" s="1"/>
  <c r="J9" i="34"/>
  <c r="H9" i="34"/>
  <c r="D6" i="52"/>
  <c r="S36" i="33"/>
  <c r="U21" i="39"/>
  <c r="U32" i="39"/>
  <c r="S13" i="21"/>
  <c r="U23" i="37"/>
  <c r="S20" i="35"/>
  <c r="AZ390" i="3"/>
  <c r="AC12" i="37"/>
  <c r="U32" i="21"/>
  <c r="AZ17" i="3"/>
  <c r="W11" i="35"/>
  <c r="AC11" i="35"/>
  <c r="S32" i="39"/>
  <c r="S27" i="21"/>
  <c r="AB14" i="21"/>
  <c r="AC35" i="37"/>
  <c r="AA32" i="37"/>
  <c r="AZ139" i="3"/>
  <c r="S14" i="40"/>
  <c r="S14" i="34"/>
  <c r="W27" i="35"/>
  <c r="AC27" i="35"/>
  <c r="J39" i="37"/>
  <c r="F39" i="37"/>
  <c r="S39" i="37" s="1"/>
  <c r="H39" i="37"/>
  <c r="BL585" i="3"/>
  <c r="AZ585" i="3" s="1"/>
  <c r="D40" i="43"/>
  <c r="H40" i="43" s="1"/>
  <c r="G19" i="6"/>
  <c r="G27" i="6" s="1"/>
  <c r="S9" i="40"/>
  <c r="G552" i="3"/>
  <c r="BL586" i="3"/>
  <c r="AZ586" i="3" s="1"/>
  <c r="BA550" i="3"/>
  <c r="AZ550" i="3" s="1"/>
  <c r="B75" i="43"/>
  <c r="J9" i="33"/>
  <c r="BL550" i="3"/>
  <c r="AZ413" i="3"/>
  <c r="AZ443" i="3"/>
  <c r="AZ242" i="3"/>
  <c r="AZ515" i="3"/>
  <c r="AZ547" i="3"/>
  <c r="AZ579" i="3"/>
  <c r="AZ524" i="3"/>
  <c r="U38" i="40"/>
  <c r="AZ318" i="3"/>
  <c r="AZ329" i="3"/>
  <c r="AZ529" i="3"/>
  <c r="AZ526" i="3"/>
  <c r="AZ580" i="3"/>
  <c r="AB45" i="33"/>
  <c r="AA41" i="33"/>
  <c r="F12" i="35"/>
  <c r="J12" i="35"/>
  <c r="BA551" i="3"/>
  <c r="AZ551" i="3" s="1"/>
  <c r="BL548" i="3"/>
  <c r="AZ548" i="3" s="1"/>
  <c r="G587" i="3"/>
  <c r="H23" i="36"/>
  <c r="F23" i="36"/>
  <c r="AZ519" i="3"/>
  <c r="AZ583" i="3"/>
  <c r="S31" i="35"/>
  <c r="AZ469" i="3"/>
  <c r="AZ351" i="3"/>
  <c r="AZ140" i="3"/>
  <c r="AZ360" i="3"/>
  <c r="AC45" i="33"/>
  <c r="AZ523" i="3"/>
  <c r="AZ569" i="3"/>
  <c r="W22" i="35"/>
  <c r="F44" i="39"/>
  <c r="AZ406" i="3"/>
  <c r="G14" i="3"/>
  <c r="BL400" i="3"/>
  <c r="AZ400" i="3" s="1"/>
  <c r="G415" i="3"/>
  <c r="G416" i="3"/>
  <c r="G422" i="3"/>
  <c r="G423" i="3"/>
  <c r="G426" i="3"/>
  <c r="G427" i="3"/>
  <c r="G458" i="3"/>
  <c r="G461" i="3"/>
  <c r="G462" i="3"/>
  <c r="G484" i="3"/>
  <c r="BL324" i="3"/>
  <c r="BA339" i="3"/>
  <c r="AZ339" i="3" s="1"/>
  <c r="G347" i="3"/>
  <c r="BA354" i="3"/>
  <c r="BL385" i="3"/>
  <c r="BA388" i="3"/>
  <c r="AZ388" i="3" s="1"/>
  <c r="G397" i="3"/>
  <c r="BL216" i="3"/>
  <c r="BL219" i="3"/>
  <c r="BL221" i="3"/>
  <c r="BA226" i="3"/>
  <c r="BA239" i="3"/>
  <c r="AZ239" i="3" s="1"/>
  <c r="BL239" i="3"/>
  <c r="BA241" i="3"/>
  <c r="BL241" i="3"/>
  <c r="BA244" i="3"/>
  <c r="BL244" i="3"/>
  <c r="BA246" i="3"/>
  <c r="G259" i="3"/>
  <c r="G265" i="3"/>
  <c r="G274" i="3"/>
  <c r="BL283" i="3"/>
  <c r="AZ283" i="3" s="1"/>
  <c r="BL284" i="3"/>
  <c r="AZ284" i="3" s="1"/>
  <c r="G130" i="3"/>
  <c r="BL138" i="3"/>
  <c r="BA140" i="3"/>
  <c r="BL169" i="3"/>
  <c r="BL170" i="3"/>
  <c r="BL194" i="3"/>
  <c r="AZ194" i="3" s="1"/>
  <c r="BA198" i="3"/>
  <c r="BA33" i="3"/>
  <c r="BL48" i="3"/>
  <c r="BA62" i="3"/>
  <c r="AZ62" i="3" s="1"/>
  <c r="D34" i="71"/>
  <c r="C35" i="71"/>
  <c r="X32" i="71"/>
  <c r="X25" i="71"/>
  <c r="X26" i="71"/>
  <c r="X31" i="71"/>
  <c r="BL398" i="3"/>
  <c r="BL403" i="3"/>
  <c r="G465" i="3"/>
  <c r="G486" i="3"/>
  <c r="G488" i="3"/>
  <c r="G318" i="3"/>
  <c r="BA353" i="3"/>
  <c r="BL353" i="3"/>
  <c r="G362" i="3"/>
  <c r="BL365" i="3"/>
  <c r="AZ365" i="3" s="1"/>
  <c r="BA368" i="3"/>
  <c r="BL368" i="3"/>
  <c r="BL220" i="3"/>
  <c r="BA223" i="3"/>
  <c r="BA227" i="3"/>
  <c r="AZ227" i="3" s="1"/>
  <c r="G257" i="3"/>
  <c r="G262" i="3"/>
  <c r="G264" i="3"/>
  <c r="BL134" i="3"/>
  <c r="BA137" i="3"/>
  <c r="BA149" i="3"/>
  <c r="BL181" i="3"/>
  <c r="BL193" i="3"/>
  <c r="BA88" i="3"/>
  <c r="C78" i="71"/>
  <c r="D78" i="71" s="1"/>
  <c r="D75" i="71"/>
  <c r="C74" i="71"/>
  <c r="D74" i="71" s="1"/>
  <c r="T60" i="71"/>
  <c r="D60" i="71"/>
  <c r="C30" i="71"/>
  <c r="Y29" i="71"/>
  <c r="Z29" i="71" s="1"/>
  <c r="D83" i="71"/>
  <c r="C82" i="71"/>
  <c r="D82" i="71" s="1"/>
  <c r="AZ398" i="3"/>
  <c r="AZ399" i="3"/>
  <c r="AZ451" i="3"/>
  <c r="D46" i="71"/>
  <c r="C47" i="71"/>
  <c r="D47" i="71" s="1"/>
  <c r="BA401" i="3"/>
  <c r="AZ401" i="3" s="1"/>
  <c r="AZ403" i="3"/>
  <c r="AZ404" i="3"/>
  <c r="BA405" i="3"/>
  <c r="AZ405" i="3" s="1"/>
  <c r="BL438" i="3"/>
  <c r="BL439" i="3"/>
  <c r="BL445" i="3"/>
  <c r="BL446" i="3"/>
  <c r="BL449" i="3"/>
  <c r="BL450" i="3"/>
  <c r="BA367" i="3"/>
  <c r="AZ367" i="3" s="1"/>
  <c r="BA386" i="3"/>
  <c r="AZ386" i="3" s="1"/>
  <c r="BA222" i="3"/>
  <c r="AZ222" i="3" s="1"/>
  <c r="AZ282" i="3"/>
  <c r="BL282" i="3"/>
  <c r="BA134" i="3"/>
  <c r="BL146" i="3"/>
  <c r="G160" i="3"/>
  <c r="BA168" i="3"/>
  <c r="AZ168" i="3" s="1"/>
  <c r="BL179" i="3"/>
  <c r="AZ179" i="3" s="1"/>
  <c r="BA181" i="3"/>
  <c r="BL191" i="3"/>
  <c r="AZ191" i="3" s="1"/>
  <c r="BA193" i="3"/>
  <c r="BL205" i="3"/>
  <c r="BL96" i="3"/>
  <c r="D1" i="43"/>
  <c r="BL408" i="3"/>
  <c r="BL411" i="3"/>
  <c r="BL413" i="3"/>
  <c r="BL417" i="3"/>
  <c r="BL418" i="3"/>
  <c r="BL420" i="3"/>
  <c r="BL424" i="3"/>
  <c r="BL428" i="3"/>
  <c r="BL429" i="3"/>
  <c r="BL432" i="3"/>
  <c r="BL435" i="3"/>
  <c r="BL436" i="3"/>
  <c r="BA439" i="3"/>
  <c r="BA440" i="3"/>
  <c r="AZ440" i="3" s="1"/>
  <c r="BA442" i="3"/>
  <c r="BA445" i="3"/>
  <c r="BA447" i="3"/>
  <c r="AZ447" i="3" s="1"/>
  <c r="BA449" i="3"/>
  <c r="BL453" i="3"/>
  <c r="BL454" i="3"/>
  <c r="BL459" i="3"/>
  <c r="BA335" i="3"/>
  <c r="AZ335" i="3" s="1"/>
  <c r="BA348" i="3"/>
  <c r="BA350" i="3"/>
  <c r="AZ350" i="3" s="1"/>
  <c r="BA366" i="3"/>
  <c r="AZ366" i="3" s="1"/>
  <c r="BL375" i="3"/>
  <c r="AZ375" i="3" s="1"/>
  <c r="BA212" i="3"/>
  <c r="BL213" i="3"/>
  <c r="BA216" i="3"/>
  <c r="BA219" i="3"/>
  <c r="BL257" i="3"/>
  <c r="BL258" i="3"/>
  <c r="BA277" i="3"/>
  <c r="BL277" i="3"/>
  <c r="BL298" i="3"/>
  <c r="BL299" i="3"/>
  <c r="BL113" i="3"/>
  <c r="BL167" i="3"/>
  <c r="AZ167" i="3" s="1"/>
  <c r="W21" i="37"/>
  <c r="AC21" i="37"/>
  <c r="V72" i="71"/>
  <c r="F71" i="71"/>
  <c r="F70" i="71" s="1"/>
  <c r="E24" i="71"/>
  <c r="AA3" i="71"/>
  <c r="BA408" i="3"/>
  <c r="BA409" i="3"/>
  <c r="AZ409" i="3" s="1"/>
  <c r="BA411" i="3"/>
  <c r="BL414" i="3"/>
  <c r="BL415" i="3"/>
  <c r="BA417" i="3"/>
  <c r="AZ417" i="3" s="1"/>
  <c r="BL421" i="3"/>
  <c r="BL422" i="3"/>
  <c r="BL425" i="3"/>
  <c r="BL426" i="3"/>
  <c r="BA428" i="3"/>
  <c r="BA429" i="3"/>
  <c r="AZ429" i="3" s="1"/>
  <c r="BA430" i="3"/>
  <c r="AZ430" i="3" s="1"/>
  <c r="BA432" i="3"/>
  <c r="AZ432" i="3" s="1"/>
  <c r="BA434" i="3"/>
  <c r="BA436" i="3"/>
  <c r="BA438" i="3"/>
  <c r="BA446" i="3"/>
  <c r="BA450" i="3"/>
  <c r="BA453" i="3"/>
  <c r="AZ453" i="3" s="1"/>
  <c r="BA455" i="3"/>
  <c r="AZ455" i="3" s="1"/>
  <c r="BL457" i="3"/>
  <c r="BL460" i="3"/>
  <c r="BL461" i="3"/>
  <c r="BL463" i="3"/>
  <c r="BL317" i="3"/>
  <c r="BA349" i="3"/>
  <c r="AZ349" i="3" s="1"/>
  <c r="BA211" i="3"/>
  <c r="AZ211" i="3" s="1"/>
  <c r="BL255" i="3"/>
  <c r="BA265" i="3"/>
  <c r="AZ265" i="3" s="1"/>
  <c r="BL266" i="3"/>
  <c r="BA268" i="3"/>
  <c r="BA278" i="3"/>
  <c r="AZ278" i="3" s="1"/>
  <c r="BA280" i="3"/>
  <c r="AZ280" i="3" s="1"/>
  <c r="BL300" i="3"/>
  <c r="BA302" i="3"/>
  <c r="BL127" i="3"/>
  <c r="AZ127" i="3" s="1"/>
  <c r="BA130" i="3"/>
  <c r="BL130" i="3"/>
  <c r="BA145" i="3"/>
  <c r="BL161" i="3"/>
  <c r="D39" i="71"/>
  <c r="C40" i="71"/>
  <c r="AB38" i="71"/>
  <c r="AB34" i="71"/>
  <c r="AB33" i="71"/>
  <c r="P68" i="71"/>
  <c r="U68" i="71"/>
  <c r="E67" i="7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A454" i="3"/>
  <c r="AZ454" i="3" s="1"/>
  <c r="BA457" i="3"/>
  <c r="AZ457" i="3" s="1"/>
  <c r="BA459" i="3"/>
  <c r="AZ459" i="3" s="1"/>
  <c r="BA460" i="3"/>
  <c r="AZ460" i="3" s="1"/>
  <c r="BA461" i="3"/>
  <c r="BL464" i="3"/>
  <c r="BL466" i="3"/>
  <c r="AZ466" i="3" s="1"/>
  <c r="BL476" i="3"/>
  <c r="AZ476" i="3" s="1"/>
  <c r="BL477" i="3"/>
  <c r="BL478" i="3"/>
  <c r="BL480" i="3"/>
  <c r="AZ480" i="3" s="1"/>
  <c r="BA483" i="3"/>
  <c r="BL483" i="3"/>
  <c r="AZ483" i="3" s="1"/>
  <c r="BA486" i="3"/>
  <c r="BL489" i="3"/>
  <c r="BL491" i="3"/>
  <c r="BL492" i="3"/>
  <c r="BA333" i="3"/>
  <c r="BL346" i="3"/>
  <c r="AZ346" i="3" s="1"/>
  <c r="BA208" i="3"/>
  <c r="AZ208" i="3" s="1"/>
  <c r="G228" i="3"/>
  <c r="G229" i="3"/>
  <c r="G247" i="3"/>
  <c r="BA257" i="3"/>
  <c r="AZ257" i="3" s="1"/>
  <c r="BA258" i="3"/>
  <c r="BL264" i="3"/>
  <c r="BA273" i="3"/>
  <c r="AZ273" i="3" s="1"/>
  <c r="BA297" i="3"/>
  <c r="AZ297" i="3" s="1"/>
  <c r="BL297" i="3"/>
  <c r="BL122" i="3"/>
  <c r="BA162" i="3"/>
  <c r="AZ162" i="3" s="1"/>
  <c r="BA55" i="3"/>
  <c r="AZ55" i="3" s="1"/>
  <c r="BA70" i="3"/>
  <c r="O65" i="71"/>
  <c r="O66" i="71"/>
  <c r="D66" i="71"/>
  <c r="C52" i="71"/>
  <c r="D51" i="71"/>
  <c r="BA422" i="3"/>
  <c r="AZ422" i="3" s="1"/>
  <c r="BA464" i="3"/>
  <c r="AZ464" i="3" s="1"/>
  <c r="BL467" i="3"/>
  <c r="BL470" i="3"/>
  <c r="BL473" i="3"/>
  <c r="AZ473" i="3" s="1"/>
  <c r="BL474" i="3"/>
  <c r="BA482" i="3"/>
  <c r="BA484" i="3"/>
  <c r="AZ484" i="3" s="1"/>
  <c r="BA303" i="3"/>
  <c r="AZ303" i="3" s="1"/>
  <c r="BL314" i="3"/>
  <c r="AZ314" i="3" s="1"/>
  <c r="BA332" i="3"/>
  <c r="AZ332" i="3" s="1"/>
  <c r="BA395" i="3"/>
  <c r="AZ395" i="3" s="1"/>
  <c r="BA255" i="3"/>
  <c r="BA256" i="3"/>
  <c r="AZ256" i="3" s="1"/>
  <c r="BA128" i="3"/>
  <c r="AZ128" i="3" s="1"/>
  <c r="C55" i="71"/>
  <c r="D54" i="71"/>
  <c r="F66" i="71"/>
  <c r="Q67" i="71"/>
  <c r="G398" i="3"/>
  <c r="BA465" i="3"/>
  <c r="AZ465" i="3" s="1"/>
  <c r="BA467" i="3"/>
  <c r="BA468" i="3"/>
  <c r="BL471" i="3"/>
  <c r="BL475" i="3"/>
  <c r="BA477" i="3"/>
  <c r="BA478" i="3"/>
  <c r="BA481" i="3"/>
  <c r="BA488" i="3"/>
  <c r="AZ488" i="3" s="1"/>
  <c r="BA491" i="3"/>
  <c r="BL328" i="3"/>
  <c r="AZ328" i="3" s="1"/>
  <c r="BA392" i="3"/>
  <c r="AZ392" i="3" s="1"/>
  <c r="BL250" i="3"/>
  <c r="AZ250" i="3" s="1"/>
  <c r="BA262" i="3"/>
  <c r="AZ262" i="3" s="1"/>
  <c r="BL293" i="3"/>
  <c r="BL295" i="3"/>
  <c r="BA298" i="3"/>
  <c r="AZ298" i="3" s="1"/>
  <c r="BA142" i="3"/>
  <c r="BL158" i="3"/>
  <c r="BA189" i="3"/>
  <c r="AC18" i="35"/>
  <c r="W18" i="35"/>
  <c r="P27" i="6"/>
  <c r="T28" i="71"/>
  <c r="D28" i="71"/>
  <c r="U28" i="71" s="1"/>
  <c r="C27" i="71"/>
  <c r="BA471" i="3"/>
  <c r="AZ471" i="3" s="1"/>
  <c r="BA358" i="3"/>
  <c r="AZ358" i="3" s="1"/>
  <c r="BA374" i="3"/>
  <c r="AZ374" i="3" s="1"/>
  <c r="BL248" i="3"/>
  <c r="AZ248" i="3" s="1"/>
  <c r="BA254" i="3"/>
  <c r="AZ254" i="3" s="1"/>
  <c r="BL290" i="3"/>
  <c r="BL291" i="3"/>
  <c r="AZ291" i="3" s="1"/>
  <c r="AZ294" i="3"/>
  <c r="BA120" i="3"/>
  <c r="AZ120" i="3" s="1"/>
  <c r="BL139" i="3"/>
  <c r="BL141" i="3"/>
  <c r="C63" i="71"/>
  <c r="D62" i="71"/>
  <c r="G439" i="3"/>
  <c r="G440" i="3"/>
  <c r="G446" i="3"/>
  <c r="G447" i="3"/>
  <c r="G450" i="3"/>
  <c r="G451" i="3"/>
  <c r="G307" i="3"/>
  <c r="BA315" i="3"/>
  <c r="AZ315" i="3" s="1"/>
  <c r="G349" i="3"/>
  <c r="G214" i="3"/>
  <c r="BL226" i="3"/>
  <c r="BL228" i="3"/>
  <c r="AZ228" i="3" s="1"/>
  <c r="BL240" i="3"/>
  <c r="AZ240" i="3" s="1"/>
  <c r="BL245" i="3"/>
  <c r="AZ245" i="3" s="1"/>
  <c r="BA249" i="3"/>
  <c r="BA252" i="3"/>
  <c r="AZ252" i="3" s="1"/>
  <c r="G280" i="3"/>
  <c r="G282" i="3"/>
  <c r="BL292" i="3"/>
  <c r="BL173" i="3"/>
  <c r="BA174" i="3"/>
  <c r="BA201" i="3"/>
  <c r="BL34" i="3"/>
  <c r="BA65" i="3"/>
  <c r="BA78" i="3"/>
  <c r="Y28" i="71"/>
  <c r="Z28" i="71" s="1"/>
  <c r="A15" i="62"/>
  <c r="B61" i="72" s="1"/>
  <c r="BA370" i="3"/>
  <c r="AZ370" i="3" s="1"/>
  <c r="BL223" i="3"/>
  <c r="BL225" i="3"/>
  <c r="BA229" i="3"/>
  <c r="BL229" i="3"/>
  <c r="BL231" i="3"/>
  <c r="BL233" i="3"/>
  <c r="AZ233" i="3" s="1"/>
  <c r="BL235" i="3"/>
  <c r="AZ235" i="3" s="1"/>
  <c r="BL236" i="3"/>
  <c r="BL238" i="3"/>
  <c r="BL243" i="3"/>
  <c r="BA247" i="3"/>
  <c r="AZ247" i="3" s="1"/>
  <c r="BL247" i="3"/>
  <c r="BL286" i="3"/>
  <c r="AZ286" i="3" s="1"/>
  <c r="BL137" i="3"/>
  <c r="BA173" i="3"/>
  <c r="BL198" i="3"/>
  <c r="BA50" i="3"/>
  <c r="BL103" i="3"/>
  <c r="BL85" i="3"/>
  <c r="BA86" i="3"/>
  <c r="AZ86" i="3" s="1"/>
  <c r="BA87" i="3"/>
  <c r="BA91" i="3"/>
  <c r="AZ91" i="3" s="1"/>
  <c r="BL97" i="3"/>
  <c r="AZ97" i="3" s="1"/>
  <c r="BL101" i="3"/>
  <c r="AZ101" i="3" s="1"/>
  <c r="BL102" i="3"/>
  <c r="BL106" i="3"/>
  <c r="BA108" i="3"/>
  <c r="BA110" i="3"/>
  <c r="AZ110" i="3" s="1"/>
  <c r="F3" i="35"/>
  <c r="C70" i="71"/>
  <c r="D70" i="71" s="1"/>
  <c r="Y26" i="71"/>
  <c r="Z26" i="71" s="1"/>
  <c r="AB31" i="71"/>
  <c r="B47" i="71"/>
  <c r="B48" i="71" s="1"/>
  <c r="S48" i="71" s="1"/>
  <c r="BA230" i="3"/>
  <c r="AZ230" i="3" s="1"/>
  <c r="BL232" i="3"/>
  <c r="BL234" i="3"/>
  <c r="BA236" i="3"/>
  <c r="BA238" i="3"/>
  <c r="AZ238" i="3" s="1"/>
  <c r="BA243" i="3"/>
  <c r="BA259" i="3"/>
  <c r="AZ259" i="3" s="1"/>
  <c r="BL261" i="3"/>
  <c r="BA263" i="3"/>
  <c r="BA267" i="3"/>
  <c r="AZ267" i="3" s="1"/>
  <c r="BA269" i="3"/>
  <c r="AZ269" i="3" s="1"/>
  <c r="BA271" i="3"/>
  <c r="BL271" i="3"/>
  <c r="BA274" i="3"/>
  <c r="AZ274" i="3" s="1"/>
  <c r="BL274" i="3"/>
  <c r="BA276" i="3"/>
  <c r="BA279" i="3"/>
  <c r="BA281" i="3"/>
  <c r="BA121" i="3"/>
  <c r="BL121" i="3"/>
  <c r="BA124" i="3"/>
  <c r="AZ124" i="3" s="1"/>
  <c r="BA126" i="3"/>
  <c r="BA129" i="3"/>
  <c r="G146" i="3"/>
  <c r="G147" i="3"/>
  <c r="BL157" i="3"/>
  <c r="AZ157" i="3" s="1"/>
  <c r="BL159" i="3"/>
  <c r="AZ159" i="3" s="1"/>
  <c r="BA197" i="3"/>
  <c r="G20" i="3"/>
  <c r="G35" i="3"/>
  <c r="G36" i="3"/>
  <c r="G37" i="3"/>
  <c r="BL40" i="3"/>
  <c r="BL41" i="3"/>
  <c r="BL45" i="3"/>
  <c r="AZ45" i="3" s="1"/>
  <c r="BA48" i="3"/>
  <c r="BA49" i="3"/>
  <c r="AZ49" i="3" s="1"/>
  <c r="BA51" i="3"/>
  <c r="BL84" i="3"/>
  <c r="AZ84" i="3" s="1"/>
  <c r="BA89" i="3"/>
  <c r="BA103" i="3"/>
  <c r="AZ103" i="3" s="1"/>
  <c r="BA104" i="3"/>
  <c r="BA106" i="3"/>
  <c r="W29" i="39"/>
  <c r="S25" i="40"/>
  <c r="C43" i="71"/>
  <c r="Y25" i="71"/>
  <c r="Z25" i="71" s="1"/>
  <c r="X33" i="71"/>
  <c r="G222" i="3"/>
  <c r="G224" i="3"/>
  <c r="BA272" i="3"/>
  <c r="AZ272" i="3" s="1"/>
  <c r="BL115" i="3"/>
  <c r="AZ115" i="3" s="1"/>
  <c r="BA118" i="3"/>
  <c r="AZ118" i="3" s="1"/>
  <c r="BL118" i="3"/>
  <c r="BA122" i="3"/>
  <c r="AZ122" i="3" s="1"/>
  <c r="BA153" i="3"/>
  <c r="AZ153" i="3" s="1"/>
  <c r="BL155" i="3"/>
  <c r="AZ155" i="3" s="1"/>
  <c r="BA164" i="3"/>
  <c r="AZ164" i="3" s="1"/>
  <c r="BA166" i="3"/>
  <c r="AZ166" i="3" s="1"/>
  <c r="BA169" i="3"/>
  <c r="AZ169" i="3" s="1"/>
  <c r="BL187" i="3"/>
  <c r="AZ187" i="3" s="1"/>
  <c r="BL189" i="3"/>
  <c r="BL190" i="3"/>
  <c r="BA192" i="3"/>
  <c r="AZ192" i="3" s="1"/>
  <c r="BL23" i="3"/>
  <c r="BL38" i="3"/>
  <c r="BA39" i="3"/>
  <c r="AZ39" i="3" s="1"/>
  <c r="G59" i="3"/>
  <c r="BL62" i="3"/>
  <c r="BL63" i="3"/>
  <c r="BL65" i="3"/>
  <c r="BL66" i="3"/>
  <c r="BL67" i="3"/>
  <c r="AZ67" i="3" s="1"/>
  <c r="BL70" i="3"/>
  <c r="BL71" i="3"/>
  <c r="BL72" i="3"/>
  <c r="AZ72" i="3" s="1"/>
  <c r="BL75" i="3"/>
  <c r="BL81" i="3"/>
  <c r="BA82" i="3"/>
  <c r="AZ82" i="3" s="1"/>
  <c r="BL83" i="3"/>
  <c r="BA100" i="3"/>
  <c r="AZ100" i="3" s="1"/>
  <c r="BA102" i="3"/>
  <c r="AZ102" i="3" s="1"/>
  <c r="U25" i="40"/>
  <c r="B44" i="71"/>
  <c r="S44" i="71" s="1"/>
  <c r="BA397" i="3"/>
  <c r="AZ397" i="3" s="1"/>
  <c r="BL397" i="3"/>
  <c r="BA210" i="3"/>
  <c r="BL210" i="3"/>
  <c r="BL212" i="3"/>
  <c r="BL214" i="3"/>
  <c r="AZ214" i="3" s="1"/>
  <c r="G227" i="3"/>
  <c r="BA117" i="3"/>
  <c r="BL149" i="3"/>
  <c r="BL150" i="3"/>
  <c r="BA152" i="3"/>
  <c r="AZ152" i="3" s="1"/>
  <c r="BA154" i="3"/>
  <c r="AZ154" i="3" s="1"/>
  <c r="BA160" i="3"/>
  <c r="AZ160" i="3" s="1"/>
  <c r="BL185" i="3"/>
  <c r="G205" i="3"/>
  <c r="G18" i="3"/>
  <c r="BA38" i="3"/>
  <c r="BA41" i="3"/>
  <c r="BA42" i="3"/>
  <c r="G58" i="3"/>
  <c r="BL61" i="3"/>
  <c r="BA64" i="3"/>
  <c r="AZ64" i="3" s="1"/>
  <c r="BL68" i="3"/>
  <c r="BA69" i="3"/>
  <c r="AZ69" i="3" s="1"/>
  <c r="BL73" i="3"/>
  <c r="BA74" i="3"/>
  <c r="AZ74" i="3" s="1"/>
  <c r="BA75" i="3"/>
  <c r="B57" i="43"/>
  <c r="AA38" i="71"/>
  <c r="AA30" i="71"/>
  <c r="B36" i="71"/>
  <c r="S36" i="71" s="1"/>
  <c r="AB36" i="71"/>
  <c r="BA396" i="3"/>
  <c r="BA209" i="3"/>
  <c r="BL217" i="3"/>
  <c r="AZ217" i="3" s="1"/>
  <c r="G250" i="3"/>
  <c r="G252" i="3"/>
  <c r="G254" i="3"/>
  <c r="G286" i="3"/>
  <c r="G289" i="3"/>
  <c r="G290" i="3"/>
  <c r="G291" i="3"/>
  <c r="BA116" i="3"/>
  <c r="AZ116" i="3" s="1"/>
  <c r="G140" i="3"/>
  <c r="BL143" i="3"/>
  <c r="AZ143" i="3" s="1"/>
  <c r="G179" i="3"/>
  <c r="BL183" i="3"/>
  <c r="AZ183" i="3" s="1"/>
  <c r="BA186" i="3"/>
  <c r="AZ186" i="3" s="1"/>
  <c r="BA190" i="3"/>
  <c r="AZ190" i="3" s="1"/>
  <c r="BA21" i="3"/>
  <c r="G28" i="3"/>
  <c r="G54" i="3"/>
  <c r="G55" i="3"/>
  <c r="BL59" i="3"/>
  <c r="BL60" i="3"/>
  <c r="BA61" i="3"/>
  <c r="AZ61" i="3" s="1"/>
  <c r="BA68" i="3"/>
  <c r="BA73" i="3"/>
  <c r="BA80" i="3"/>
  <c r="G110" i="3"/>
  <c r="S21" i="33"/>
  <c r="B77" i="43"/>
  <c r="AA18" i="35"/>
  <c r="AA28" i="71"/>
  <c r="V80" i="71"/>
  <c r="BL301" i="3"/>
  <c r="AZ301" i="3" s="1"/>
  <c r="BL302" i="3"/>
  <c r="BA114" i="3"/>
  <c r="BA146" i="3"/>
  <c r="AZ146" i="3" s="1"/>
  <c r="BA150" i="3"/>
  <c r="AZ150" i="3" s="1"/>
  <c r="G175" i="3"/>
  <c r="G176" i="3"/>
  <c r="BL182" i="3"/>
  <c r="AZ182" i="3" s="1"/>
  <c r="BA185" i="3"/>
  <c r="BA37" i="3"/>
  <c r="BL58" i="3"/>
  <c r="BA60" i="3"/>
  <c r="BA63" i="3"/>
  <c r="BA66" i="3"/>
  <c r="BA71" i="3"/>
  <c r="AZ71" i="3" s="1"/>
  <c r="BA79" i="3"/>
  <c r="AZ79" i="3" s="1"/>
  <c r="AA27" i="71"/>
  <c r="F48" i="71"/>
  <c r="V48" i="71" s="1"/>
  <c r="BA144" i="3"/>
  <c r="AZ144" i="3" s="1"/>
  <c r="G174" i="3"/>
  <c r="BA184" i="3"/>
  <c r="AZ184" i="3" s="1"/>
  <c r="G198" i="3"/>
  <c r="BL207" i="3"/>
  <c r="G26" i="3"/>
  <c r="BA36" i="3"/>
  <c r="G49" i="3"/>
  <c r="G52" i="3"/>
  <c r="BL57" i="3"/>
  <c r="G86" i="3"/>
  <c r="G87" i="3"/>
  <c r="G88" i="3"/>
  <c r="G107" i="3"/>
  <c r="B88" i="43"/>
  <c r="AA21" i="34"/>
  <c r="D80" i="71"/>
  <c r="BL206" i="3"/>
  <c r="BA30" i="3"/>
  <c r="BA32" i="3"/>
  <c r="BL54" i="3"/>
  <c r="BL55" i="3"/>
  <c r="BA59" i="3"/>
  <c r="AZ59" i="3" s="1"/>
  <c r="E35" i="71"/>
  <c r="E36" i="71" s="1"/>
  <c r="U36" i="71" s="1"/>
  <c r="AA36" i="71"/>
  <c r="B55" i="71"/>
  <c r="B56" i="71" s="1"/>
  <c r="S56" i="71" s="1"/>
  <c r="BL177" i="3"/>
  <c r="AZ177" i="3" s="1"/>
  <c r="G196" i="3"/>
  <c r="BL201" i="3"/>
  <c r="BL203" i="3"/>
  <c r="AZ203" i="3" s="1"/>
  <c r="BA204" i="3"/>
  <c r="AZ204" i="3" s="1"/>
  <c r="G24" i="3"/>
  <c r="G40" i="3"/>
  <c r="G45" i="3"/>
  <c r="BL56" i="3"/>
  <c r="BA58" i="3"/>
  <c r="AZ58" i="3" s="1"/>
  <c r="G84" i="3"/>
  <c r="G99" i="3"/>
  <c r="G103" i="3"/>
  <c r="BL108" i="3"/>
  <c r="BL111" i="3"/>
  <c r="S21" i="37"/>
  <c r="D59" i="71"/>
  <c r="AB27" i="71"/>
  <c r="AB25" i="71"/>
  <c r="AB37" i="71"/>
  <c r="F44" i="71"/>
  <c r="V44" i="71" s="1"/>
  <c r="BL178" i="3"/>
  <c r="BA180" i="3"/>
  <c r="AZ180" i="3" s="1"/>
  <c r="BA205" i="3"/>
  <c r="AZ205" i="3" s="1"/>
  <c r="BL49" i="3"/>
  <c r="BL50" i="3"/>
  <c r="BL51" i="3"/>
  <c r="BL53" i="3"/>
  <c r="BA56" i="3"/>
  <c r="BA57" i="3"/>
  <c r="AZ57" i="3" s="1"/>
  <c r="BL88" i="3"/>
  <c r="BL90" i="3"/>
  <c r="BL92" i="3"/>
  <c r="BL112" i="3"/>
  <c r="AB26" i="71"/>
  <c r="X35" i="71"/>
  <c r="X28" i="71"/>
  <c r="F38" i="71"/>
  <c r="F39" i="71" s="1"/>
  <c r="F40" i="71" s="1"/>
  <c r="V40" i="71" s="1"/>
  <c r="F59" i="71"/>
  <c r="F60" i="71" s="1"/>
  <c r="V60" i="71" s="1"/>
  <c r="BL249" i="3"/>
  <c r="BA251" i="3"/>
  <c r="BL251" i="3"/>
  <c r="BA253" i="3"/>
  <c r="BL260" i="3"/>
  <c r="BL263" i="3"/>
  <c r="BL270" i="3"/>
  <c r="AZ270" i="3" s="1"/>
  <c r="BL275" i="3"/>
  <c r="AZ275" i="3" s="1"/>
  <c r="BL285" i="3"/>
  <c r="BL287" i="3"/>
  <c r="BA290" i="3"/>
  <c r="BL125" i="3"/>
  <c r="AZ125" i="3" s="1"/>
  <c r="BL126" i="3"/>
  <c r="G152" i="3"/>
  <c r="BL171" i="3"/>
  <c r="AZ171" i="3" s="1"/>
  <c r="BA176" i="3"/>
  <c r="AZ176" i="3" s="1"/>
  <c r="BA178" i="3"/>
  <c r="G188" i="3"/>
  <c r="G191" i="3"/>
  <c r="BL197" i="3"/>
  <c r="BL199" i="3"/>
  <c r="AZ199" i="3" s="1"/>
  <c r="BA200" i="3"/>
  <c r="AZ200" i="3" s="1"/>
  <c r="BA202" i="3"/>
  <c r="G22" i="3"/>
  <c r="BL47" i="3"/>
  <c r="AZ47" i="3" s="1"/>
  <c r="BA52" i="3"/>
  <c r="AZ52" i="3" s="1"/>
  <c r="BA53" i="3"/>
  <c r="BA54" i="3"/>
  <c r="G62" i="3"/>
  <c r="G65" i="3"/>
  <c r="G69" i="3"/>
  <c r="G70" i="3"/>
  <c r="G74" i="3"/>
  <c r="G75" i="3"/>
  <c r="G79" i="3"/>
  <c r="BA90" i="3"/>
  <c r="BL94" i="3"/>
  <c r="AZ94" i="3" s="1"/>
  <c r="BL105" i="3"/>
  <c r="AZ105" i="3" s="1"/>
  <c r="BL107" i="3"/>
  <c r="BA111" i="3"/>
  <c r="AZ111" i="3" s="1"/>
  <c r="F35" i="71"/>
  <c r="F36" i="71" s="1"/>
  <c r="V36" i="71" s="1"/>
  <c r="AB35" i="71"/>
  <c r="B51" i="71"/>
  <c r="B52" i="71" s="1"/>
  <c r="S52" i="71" s="1"/>
  <c r="C18" i="9"/>
  <c r="D18" i="9" s="1"/>
  <c r="F11" i="1"/>
  <c r="G11" i="1" s="1"/>
  <c r="G44" i="43"/>
  <c r="J1" i="73"/>
  <c r="J51" i="15"/>
  <c r="C21" i="68"/>
  <c r="C40" i="68"/>
  <c r="C40" i="69"/>
  <c r="G21" i="3"/>
  <c r="G25" i="3"/>
  <c r="G29" i="3"/>
  <c r="BL20" i="3"/>
  <c r="BL28" i="3"/>
  <c r="G19" i="3"/>
  <c r="BL24" i="3"/>
  <c r="G31" i="3"/>
  <c r="BA25" i="3"/>
  <c r="BA26" i="3"/>
  <c r="BA29" i="3"/>
  <c r="G23" i="3"/>
  <c r="BA22" i="3"/>
  <c r="BL15" i="3"/>
  <c r="AZ15" i="3"/>
  <c r="F29" i="6"/>
  <c r="BL18" i="3"/>
  <c r="BL19" i="3"/>
  <c r="BA20" i="3"/>
  <c r="BL25" i="3"/>
  <c r="BL27" i="3"/>
  <c r="BA28" i="3"/>
  <c r="BA31" i="3"/>
  <c r="BA19" i="3"/>
  <c r="BA27" i="3"/>
  <c r="BL30" i="3"/>
  <c r="BL31" i="3"/>
  <c r="AZ14" i="3"/>
  <c r="BA18" i="3"/>
  <c r="BL21" i="3"/>
  <c r="AZ21" i="3" s="1"/>
  <c r="BL29" i="3"/>
  <c r="AZ29" i="3"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4" i="73"/>
  <c r="D3" i="73"/>
  <c r="C16" i="67"/>
  <c r="D5" i="73"/>
  <c r="D6" i="73"/>
  <c r="D7" i="73"/>
  <c r="AZ197" i="3" l="1"/>
  <c r="AZ189" i="3"/>
  <c r="AZ216" i="3"/>
  <c r="AZ368" i="3"/>
  <c r="AZ241" i="3"/>
  <c r="AC39" i="40"/>
  <c r="W39" i="40"/>
  <c r="AZ25" i="3"/>
  <c r="AZ75" i="3"/>
  <c r="AZ210" i="3"/>
  <c r="C56" i="71"/>
  <c r="D55" i="71"/>
  <c r="AC39" i="37"/>
  <c r="W39" i="37"/>
  <c r="S25" i="36"/>
  <c r="AA25" i="36"/>
  <c r="AA23" i="35"/>
  <c r="S23" i="35"/>
  <c r="G5" i="3"/>
  <c r="B3" i="3" s="1"/>
  <c r="AT6" i="3" s="1"/>
  <c r="AZ20" i="3"/>
  <c r="AZ51" i="3"/>
  <c r="AZ249" i="3"/>
  <c r="AZ461" i="3"/>
  <c r="T40" i="71"/>
  <c r="D40" i="71"/>
  <c r="AZ149" i="3"/>
  <c r="W12" i="35"/>
  <c r="AC12" i="35"/>
  <c r="W25" i="36"/>
  <c r="AC25" i="36"/>
  <c r="U23" i="35"/>
  <c r="AB23" i="35"/>
  <c r="AZ137" i="3"/>
  <c r="C36" i="71"/>
  <c r="D35" i="71"/>
  <c r="AC23" i="35"/>
  <c r="W23" i="35"/>
  <c r="AB35" i="39"/>
  <c r="U35" i="39"/>
  <c r="AZ271" i="3"/>
  <c r="AZ353" i="3"/>
  <c r="AB9" i="34"/>
  <c r="U9" i="34"/>
  <c r="AA35" i="39"/>
  <c r="S35" i="39"/>
  <c r="AZ65" i="3"/>
  <c r="C31" i="71"/>
  <c r="D30" i="71"/>
  <c r="AA44" i="39"/>
  <c r="S44" i="39"/>
  <c r="AC9" i="34"/>
  <c r="W9" i="34"/>
  <c r="D43" i="71"/>
  <c r="C44" i="71"/>
  <c r="AZ126" i="3"/>
  <c r="C64" i="71"/>
  <c r="D63" i="71"/>
  <c r="C26" i="71"/>
  <c r="D26" i="71" s="1"/>
  <c r="D27" i="71"/>
  <c r="T52" i="71"/>
  <c r="D52" i="71"/>
  <c r="AZ411" i="3"/>
  <c r="AZ129" i="3"/>
  <c r="AZ178" i="3"/>
  <c r="AZ263" i="3"/>
  <c r="AZ201" i="3"/>
  <c r="AZ435" i="3"/>
  <c r="E19" i="6"/>
  <c r="K6" i="1" s="1"/>
  <c r="AZ130" i="3"/>
  <c r="AZ50" i="3"/>
  <c r="P67" i="71"/>
  <c r="E66" i="71"/>
  <c r="AZ408" i="3"/>
  <c r="AZ277" i="3"/>
  <c r="AZ198" i="3"/>
  <c r="AZ19" i="3"/>
  <c r="AZ53" i="3"/>
  <c r="AZ66" i="3"/>
  <c r="AZ121" i="3"/>
  <c r="AZ302" i="3"/>
  <c r="AZ223" i="3"/>
  <c r="AA23" i="36"/>
  <c r="S23" i="36"/>
  <c r="AZ253" i="3"/>
  <c r="AZ5" i="3" s="1"/>
  <c r="AY6" i="3" s="1"/>
  <c r="AZ251" i="3"/>
  <c r="AZ63" i="3"/>
  <c r="AZ41" i="3"/>
  <c r="AZ38" i="3"/>
  <c r="AZ243" i="3"/>
  <c r="AZ108" i="3"/>
  <c r="AZ173" i="3"/>
  <c r="AZ229" i="3"/>
  <c r="AZ70" i="3"/>
  <c r="AZ428" i="3"/>
  <c r="V24" i="71"/>
  <c r="E23" i="71"/>
  <c r="E22" i="71" s="1"/>
  <c r="E21" i="71" s="1"/>
  <c r="E20" i="71" s="1"/>
  <c r="AZ181" i="3"/>
  <c r="AZ244" i="3"/>
  <c r="U23" i="36"/>
  <c r="AB23" i="36"/>
  <c r="AZ28" i="3"/>
  <c r="AZ491" i="3"/>
  <c r="AZ219" i="3"/>
  <c r="AZ88" i="3"/>
  <c r="AC9" i="33"/>
  <c r="W9" i="33"/>
  <c r="AB39" i="37"/>
  <c r="U39" i="37"/>
  <c r="U39" i="40"/>
  <c r="AB39" i="40"/>
  <c r="J7" i="36"/>
  <c r="E28" i="6"/>
  <c r="K14" i="1" s="1"/>
  <c r="G26" i="43"/>
  <c r="AZ24" i="3"/>
  <c r="N94" i="46"/>
  <c r="J26" i="43"/>
  <c r="N370" i="46"/>
  <c r="F26" i="43"/>
  <c r="E26" i="43"/>
  <c r="K16" i="1"/>
  <c r="P6" i="1"/>
  <c r="C13" i="12" s="1"/>
  <c r="AZ31" i="3"/>
  <c r="AZ27" i="3"/>
  <c r="D20" i="53"/>
  <c r="B40" i="72" s="1"/>
  <c r="J7" i="37"/>
  <c r="K1" i="73"/>
  <c r="E510" i="3"/>
  <c r="E539" i="3"/>
  <c r="E536" i="3"/>
  <c r="E212" i="3"/>
  <c r="E199" i="3"/>
  <c r="E286" i="3"/>
  <c r="E499" i="3"/>
  <c r="R6" i="3"/>
  <c r="E442" i="3"/>
  <c r="E466" i="3"/>
  <c r="E541" i="3"/>
  <c r="E430" i="3"/>
  <c r="E449" i="3"/>
  <c r="E255" i="3"/>
  <c r="I3" i="6"/>
  <c r="AP6" i="3"/>
  <c r="E517" i="3"/>
  <c r="E435" i="3"/>
  <c r="E417" i="3"/>
  <c r="E479" i="3"/>
  <c r="E56" i="3"/>
  <c r="E37" i="3"/>
  <c r="E95" i="3"/>
  <c r="E152" i="3"/>
  <c r="E192" i="3"/>
  <c r="E258" i="3"/>
  <c r="E292" i="3"/>
  <c r="E363" i="3"/>
  <c r="E389" i="3"/>
  <c r="E544" i="3"/>
  <c r="E76" i="3"/>
  <c r="E59" i="3"/>
  <c r="E409" i="3"/>
  <c r="E484" i="3"/>
  <c r="E425" i="3"/>
  <c r="E467" i="3"/>
  <c r="E46" i="3"/>
  <c r="E103" i="3"/>
  <c r="E160" i="3"/>
  <c r="E267" i="3"/>
  <c r="E249" i="3"/>
  <c r="E300" i="3"/>
  <c r="E371" i="3"/>
  <c r="E310" i="3"/>
  <c r="E492" i="3"/>
  <c r="E23" i="3"/>
  <c r="E84" i="3"/>
  <c r="E33" i="3"/>
  <c r="E144" i="3"/>
  <c r="E184" i="3"/>
  <c r="E233" i="3"/>
  <c r="E355" i="3"/>
  <c r="E381" i="3"/>
  <c r="E68" i="3"/>
  <c r="E63" i="3"/>
  <c r="E81" i="3"/>
  <c r="E264" i="3"/>
  <c r="E283" i="3"/>
  <c r="E513" i="3"/>
  <c r="E21" i="3"/>
  <c r="E494" i="3"/>
  <c r="E198" i="3"/>
  <c r="E281" i="3"/>
  <c r="E332" i="3"/>
  <c r="E391" i="3"/>
  <c r="AL6" i="3"/>
  <c r="E42" i="3"/>
  <c r="E75" i="3"/>
  <c r="E482" i="3"/>
  <c r="E96" i="3"/>
  <c r="E129" i="3"/>
  <c r="E174" i="3"/>
  <c r="E235" i="3"/>
  <c r="E383" i="3"/>
  <c r="E522" i="3"/>
  <c r="E86" i="3"/>
  <c r="E34" i="3"/>
  <c r="E206" i="3"/>
  <c r="E251" i="3"/>
  <c r="AF6" i="3"/>
  <c r="E113" i="3"/>
  <c r="E287" i="3"/>
  <c r="E308" i="3"/>
  <c r="E22" i="3"/>
  <c r="E205" i="3"/>
  <c r="E140" i="3"/>
  <c r="E197" i="3"/>
  <c r="E173" i="3"/>
  <c r="E525" i="3"/>
  <c r="E534" i="3"/>
  <c r="T6" i="3"/>
  <c r="E456" i="3"/>
  <c r="E469" i="3"/>
  <c r="E512" i="3"/>
  <c r="E408" i="3"/>
  <c r="E451" i="3"/>
  <c r="E360" i="3"/>
  <c r="E556" i="3"/>
  <c r="E497" i="3"/>
  <c r="E13" i="3"/>
  <c r="E452" i="3"/>
  <c r="E470" i="3"/>
  <c r="E26" i="3"/>
  <c r="E104" i="3"/>
  <c r="E41" i="3"/>
  <c r="E115" i="3"/>
  <c r="E225" i="3"/>
  <c r="E243" i="3"/>
  <c r="E356" i="3"/>
  <c r="E428" i="3"/>
  <c r="E412" i="3"/>
  <c r="E78" i="3"/>
  <c r="E190" i="3"/>
  <c r="E324" i="3"/>
  <c r="E342" i="3"/>
  <c r="E35" i="3"/>
  <c r="E49" i="3"/>
  <c r="E232" i="3"/>
  <c r="E370" i="3"/>
  <c r="E80" i="3"/>
  <c r="E158" i="3"/>
  <c r="E326" i="3"/>
  <c r="E83" i="3"/>
  <c r="E329"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G1" i="73"/>
  <c r="AE6" i="1"/>
  <c r="F43" i="15"/>
  <c r="F7" i="15"/>
  <c r="M29" i="15"/>
  <c r="F41" i="67"/>
  <c r="M7" i="15" l="1"/>
  <c r="J6" i="15" s="1"/>
  <c r="J18" i="15" s="1"/>
  <c r="C6" i="15"/>
  <c r="C32" i="15" s="1"/>
  <c r="F50" i="15"/>
  <c r="C49" i="15" s="1"/>
  <c r="F71" i="15"/>
  <c r="E19" i="71"/>
  <c r="E18" i="71" s="1"/>
  <c r="E17" i="71" s="1"/>
  <c r="E16" i="71" s="1"/>
  <c r="V20" i="71"/>
  <c r="P65" i="71"/>
  <c r="P66" i="71"/>
  <c r="C32" i="71"/>
  <c r="D31" i="71"/>
  <c r="D56" i="71"/>
  <c r="T56" i="71"/>
  <c r="D36" i="71"/>
  <c r="T36" i="71"/>
  <c r="AP6" i="1"/>
  <c r="C36" i="69" s="1"/>
  <c r="Q16" i="1"/>
  <c r="M6" i="1"/>
  <c r="H16" i="1"/>
  <c r="D64" i="71"/>
  <c r="T64" i="71"/>
  <c r="AC6" i="3"/>
  <c r="T44" i="71"/>
  <c r="D44" i="71"/>
  <c r="F67" i="39"/>
  <c r="G67" i="39" s="1"/>
  <c r="E349" i="3"/>
  <c r="E491" i="3"/>
  <c r="E502" i="3"/>
  <c r="G16" i="1"/>
  <c r="F10" i="39" s="1"/>
  <c r="AA10" i="39" s="1"/>
  <c r="E16" i="3"/>
  <c r="E220" i="3"/>
  <c r="E420" i="3"/>
  <c r="E405" i="3"/>
  <c r="E102" i="3"/>
  <c r="E18" i="3"/>
  <c r="E309" i="3"/>
  <c r="E67" i="3"/>
  <c r="E64" i="3"/>
  <c r="E241" i="3"/>
  <c r="E554" i="3"/>
  <c r="E575" i="3"/>
  <c r="J5" i="15"/>
  <c r="J24" i="15" s="1"/>
  <c r="S7" i="36"/>
  <c r="H6" i="3"/>
  <c r="E6" i="3" s="1"/>
  <c r="U7" i="36"/>
  <c r="D26" i="43"/>
  <c r="C25" i="43" s="1"/>
  <c r="C33" i="43" s="1"/>
  <c r="H10" i="39"/>
  <c r="U10" i="39" s="1"/>
  <c r="S10" i="39"/>
  <c r="F10" i="40"/>
  <c r="S10" i="40" s="1"/>
  <c r="E3" i="6"/>
  <c r="H10" i="40"/>
  <c r="AB10" i="40" s="1"/>
  <c r="J10" i="40"/>
  <c r="AC10" i="40" s="1"/>
  <c r="J10" i="39"/>
  <c r="W10" i="39" s="1"/>
  <c r="B40" i="1"/>
  <c r="L36" i="43" s="1"/>
  <c r="L37" i="43" s="1"/>
  <c r="V42" i="37"/>
  <c r="I42" i="37" s="1"/>
  <c r="B11" i="71"/>
  <c r="B10" i="71" s="1"/>
  <c r="B9" i="71" s="1"/>
  <c r="B8" i="71" s="1"/>
  <c r="B7" i="71" s="1"/>
  <c r="B6" i="71" s="1"/>
  <c r="B5" i="71" s="1"/>
  <c r="S12" i="71"/>
  <c r="E65" i="39"/>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W10" i="40"/>
  <c r="U7" i="37"/>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C16" i="15"/>
  <c r="M27" i="67"/>
  <c r="N46" i="82" l="1"/>
  <c r="N34" i="82"/>
  <c r="N29" i="82"/>
  <c r="N35" i="82"/>
  <c r="N36" i="82"/>
  <c r="N37" i="82"/>
  <c r="N38" i="82"/>
  <c r="N39" i="82"/>
  <c r="N40" i="82"/>
  <c r="N41" i="82"/>
  <c r="N30" i="82"/>
  <c r="N42" i="82"/>
  <c r="N31" i="82"/>
  <c r="N43" i="82"/>
  <c r="N32" i="82"/>
  <c r="N44" i="82"/>
  <c r="N33" i="82"/>
  <c r="N45" i="82"/>
  <c r="T32" i="71"/>
  <c r="D32" i="71"/>
  <c r="O6" i="1"/>
  <c r="O16" i="1" s="1"/>
  <c r="V16" i="71"/>
  <c r="E15" i="71"/>
  <c r="E14" i="71" s="1"/>
  <c r="E13" i="71" s="1"/>
  <c r="E12" i="71" s="1"/>
  <c r="F27" i="69"/>
  <c r="F28" i="12"/>
  <c r="C29" i="12" s="1"/>
  <c r="D28" i="12" s="1"/>
  <c r="F27" i="11"/>
  <c r="F27" i="68"/>
  <c r="F69" i="39"/>
  <c r="U10" i="40"/>
  <c r="B14" i="74"/>
  <c r="B1" i="74" s="1"/>
  <c r="AA10" i="40"/>
  <c r="AB10" i="39"/>
  <c r="D116" i="43"/>
  <c r="F25" i="12"/>
  <c r="C26" i="12" s="1"/>
  <c r="D25" i="12" s="1"/>
  <c r="AC10" i="39"/>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E11" i="71" l="1"/>
  <c r="E10" i="71" s="1"/>
  <c r="E9" i="71" s="1"/>
  <c r="E8" i="71" s="1"/>
  <c r="E7" i="71" s="1"/>
  <c r="E6" i="71" s="1"/>
  <c r="E5" i="71" s="1"/>
  <c r="V12" i="71"/>
  <c r="O40" i="82"/>
  <c r="O33" i="82"/>
  <c r="O36" i="82"/>
  <c r="H24" i="6"/>
  <c r="F45" i="68"/>
  <c r="C47" i="68"/>
  <c r="D45" i="68" s="1"/>
  <c r="C29" i="68"/>
  <c r="D27" i="68" s="1"/>
  <c r="O35" i="82"/>
  <c r="C29" i="11"/>
  <c r="D27" i="11" s="1"/>
  <c r="C47" i="11"/>
  <c r="D45" i="11" s="1"/>
  <c r="N47" i="82"/>
  <c r="O29" i="82" s="1"/>
  <c r="O43" i="82"/>
  <c r="O34" i="82"/>
  <c r="C29" i="69"/>
  <c r="D27" i="69" s="1"/>
  <c r="F45" i="69"/>
  <c r="C47" i="69"/>
  <c r="D45" i="69" s="1"/>
  <c r="O31" i="82"/>
  <c r="C14" i="74"/>
  <c r="B2" i="74" s="1"/>
  <c r="E54" i="34"/>
  <c r="F54" i="34" s="1"/>
  <c r="I54" i="34"/>
  <c r="J54" i="34" s="1"/>
  <c r="D30" i="6"/>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O32" i="82" l="1"/>
  <c r="O45" i="82"/>
  <c r="O37" i="82"/>
  <c r="E2" i="70"/>
  <c r="O38" i="82"/>
  <c r="O39" i="82"/>
  <c r="O46" i="82"/>
  <c r="O44" i="82"/>
  <c r="O41" i="82"/>
  <c r="O42" i="82"/>
  <c r="O30" i="82"/>
  <c r="O47" i="82" s="1"/>
  <c r="D7" i="74"/>
  <c r="D8" i="74"/>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C25" i="68" l="1"/>
  <c r="C22" i="68" s="1"/>
  <c r="C31" i="68" s="1"/>
  <c r="C32" i="12"/>
  <c r="B2" i="12" s="1"/>
  <c r="B3" i="12" s="1"/>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9" i="9"/>
  <c r="C57" i="68" l="1"/>
  <c r="C21" i="9"/>
  <c r="C102"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5" i="9"/>
  <c r="C56" i="68"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34" i="9"/>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9"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P29" i="82" s="1"/>
  <c r="D118" i="9"/>
  <c r="H118" i="9"/>
  <c r="P33" i="82" l="1"/>
  <c r="P37" i="82"/>
  <c r="P41" i="82"/>
  <c r="P45" i="82"/>
  <c r="P30" i="82"/>
  <c r="P34" i="82"/>
  <c r="P38" i="82"/>
  <c r="P42" i="82"/>
  <c r="P46" i="82"/>
  <c r="P31" i="82"/>
  <c r="P35" i="82"/>
  <c r="P39" i="82"/>
  <c r="P43" i="82"/>
  <c r="P32" i="82"/>
  <c r="P36" i="82"/>
  <c r="P40" i="82"/>
  <c r="P44" i="82"/>
  <c r="Q30" i="82"/>
  <c r="Q34" i="82"/>
  <c r="Q38" i="82"/>
  <c r="Q42" i="82"/>
  <c r="Q46" i="82"/>
  <c r="Q31" i="82"/>
  <c r="Q35" i="82"/>
  <c r="Q39" i="82"/>
  <c r="Q43" i="82"/>
  <c r="Q32" i="82"/>
  <c r="Q36" i="82"/>
  <c r="Q40" i="82"/>
  <c r="Q44" i="82"/>
  <c r="Q33" i="82"/>
  <c r="Q37" i="82"/>
  <c r="Q41" i="82"/>
  <c r="Q45" i="82"/>
  <c r="D119" i="9"/>
  <c r="D5" i="52" s="1"/>
  <c r="B49" i="72" s="1"/>
  <c r="Q29" i="82"/>
  <c r="R29" i="82" s="1"/>
  <c r="F4" i="52"/>
  <c r="B51" i="72" s="1"/>
  <c r="C104" i="9"/>
  <c r="D14" i="74"/>
  <c r="H101" i="9"/>
  <c r="H107" i="9" s="1"/>
  <c r="D13" i="53" s="1"/>
  <c r="G118" i="9"/>
  <c r="G4" i="52" s="1"/>
  <c r="B52" i="72" s="1"/>
  <c r="D4" i="52"/>
  <c r="B47" i="72" s="1"/>
  <c r="H119" i="9"/>
  <c r="H5" i="52" s="1"/>
  <c r="I118" i="9"/>
  <c r="H4" i="52"/>
  <c r="F119" i="9"/>
  <c r="F5" i="52" s="1"/>
  <c r="B53" i="72" s="1"/>
  <c r="R32" i="82" l="1"/>
  <c r="E56" i="82" s="1"/>
  <c r="R31" i="82"/>
  <c r="E55" i="82" s="1"/>
  <c r="R34" i="82"/>
  <c r="S34" i="82" s="1"/>
  <c r="F58" i="82" s="1"/>
  <c r="R40" i="82"/>
  <c r="S40" i="82" s="1"/>
  <c r="F64" i="82" s="1"/>
  <c r="R39" i="82"/>
  <c r="E63" i="82" s="1"/>
  <c r="R42" i="82"/>
  <c r="S42" i="82" s="1"/>
  <c r="F66" i="82" s="1"/>
  <c r="R45" i="82"/>
  <c r="E69" i="82" s="1"/>
  <c r="R36" i="82"/>
  <c r="S36" i="82" s="1"/>
  <c r="F60" i="82" s="1"/>
  <c r="R35" i="82"/>
  <c r="E59" i="82" s="1"/>
  <c r="R38" i="82"/>
  <c r="S38" i="82" s="1"/>
  <c r="F62" i="82" s="1"/>
  <c r="R41" i="82"/>
  <c r="S41" i="82" s="1"/>
  <c r="F65" i="82" s="1"/>
  <c r="R37" i="82"/>
  <c r="E61" i="82" s="1"/>
  <c r="R44" i="82"/>
  <c r="E68" i="82" s="1"/>
  <c r="R43" i="82"/>
  <c r="S43" i="82" s="1"/>
  <c r="F67" i="82" s="1"/>
  <c r="R30" i="82"/>
  <c r="S30" i="82" s="1"/>
  <c r="F54" i="82" s="1"/>
  <c r="R33" i="82"/>
  <c r="E57" i="82" s="1"/>
  <c r="K14" i="74"/>
  <c r="D5" i="53"/>
  <c r="B20" i="72" s="1"/>
  <c r="E14" i="74"/>
  <c r="F14" i="74"/>
  <c r="D45" i="9"/>
  <c r="C93" i="9" s="1"/>
  <c r="C86" i="9" s="1"/>
  <c r="M49" i="9"/>
  <c r="L66" i="9" s="1"/>
  <c r="M66" i="9" s="1"/>
  <c r="M48" i="9"/>
  <c r="D122" i="9"/>
  <c r="B30" i="72"/>
  <c r="D14" i="53"/>
  <c r="B32" i="72" s="1"/>
  <c r="C105" i="9"/>
  <c r="I4" i="52"/>
  <c r="H102" i="9"/>
  <c r="E118" i="9"/>
  <c r="E4" i="52" s="1"/>
  <c r="B48" i="72" s="1"/>
  <c r="E62" i="82" l="1"/>
  <c r="S35" i="82"/>
  <c r="F59" i="82" s="1"/>
  <c r="S39" i="82"/>
  <c r="F63" i="82" s="1"/>
  <c r="E66" i="82"/>
  <c r="E67" i="82"/>
  <c r="S33" i="82"/>
  <c r="F57" i="82" s="1"/>
  <c r="S31" i="82"/>
  <c r="F55" i="82" s="1"/>
  <c r="E54" i="82"/>
  <c r="E64" i="82"/>
  <c r="E65" i="82"/>
  <c r="E58" i="82"/>
  <c r="S37" i="82"/>
  <c r="F61" i="82" s="1"/>
  <c r="S44" i="82"/>
  <c r="F68" i="82" s="1"/>
  <c r="S32" i="82"/>
  <c r="F56" i="82" s="1"/>
  <c r="E60" i="82"/>
  <c r="S45" i="82"/>
  <c r="F69" i="82" s="1"/>
  <c r="C85" i="9"/>
  <c r="C95" i="9" s="1"/>
  <c r="D6" i="53"/>
  <c r="B22" i="72" s="1"/>
  <c r="D8" i="52"/>
  <c r="G14" i="74"/>
  <c r="D52" i="9"/>
  <c r="L67" i="9"/>
  <c r="M67" i="9" s="1"/>
  <c r="D53" i="9"/>
  <c r="C78" i="9"/>
  <c r="C73" i="9" s="1"/>
  <c r="C72" i="9"/>
  <c r="D55" i="9"/>
  <c r="M53" i="9" s="1"/>
  <c r="L65" i="9"/>
  <c r="M65" i="9" s="1"/>
  <c r="L64" i="9"/>
  <c r="M64" i="9" s="1"/>
  <c r="C64" i="9"/>
  <c r="C63" i="9" s="1"/>
  <c r="C67" i="9" s="1"/>
  <c r="C68" i="9" s="1"/>
  <c r="D54" i="9" s="1"/>
  <c r="L68" i="9"/>
  <c r="M68" i="9" s="1"/>
  <c r="L63" i="9"/>
  <c r="M63" i="9" s="1"/>
  <c r="D123" i="9"/>
  <c r="D9" i="52" s="1"/>
  <c r="D7" i="53"/>
  <c r="B21" i="72" s="1"/>
  <c r="H108" i="9"/>
  <c r="M69" i="9" l="1"/>
  <c r="N69" i="9" s="1"/>
  <c r="C79" i="9"/>
  <c r="C80" i="9" s="1"/>
  <c r="E80" i="9" s="1"/>
  <c r="E81" i="9" s="1"/>
  <c r="D59" i="9"/>
  <c r="M55" i="9" s="1"/>
  <c r="C96" i="9"/>
  <c r="E96" i="9" s="1"/>
  <c r="E97" i="9" s="1"/>
  <c r="D15" i="53"/>
  <c r="B31" i="72" s="1"/>
  <c r="C81" i="9" l="1"/>
  <c r="C97" i="9"/>
  <c r="D58" i="9" s="1"/>
  <c r="D56" i="9" s="1"/>
  <c r="M54" i="9" s="1"/>
  <c r="N57" i="9" s="1"/>
  <c r="P57" i="9" s="1"/>
  <c r="N58" i="9" l="1"/>
  <c r="N59" i="9"/>
  <c r="N60" i="9" s="1"/>
  <c r="N61" i="9" l="1"/>
  <c r="K15" i="74" l="1"/>
  <c r="E15" i="74" l="1"/>
  <c r="F15" i="74"/>
  <c r="B5" i="74"/>
  <c r="K16" i="74" s="1"/>
  <c r="D5" i="74" l="1"/>
  <c r="C5" i="74"/>
  <c r="B6" i="74"/>
  <c r="D6" i="74" l="1"/>
  <c r="C6" i="74"/>
  <c r="P47" i="82" l="1"/>
  <c r="Q47" i="82"/>
  <c r="R47" i="82" l="1"/>
  <c r="R46" i="82" s="1"/>
  <c r="E53" i="82"/>
  <c r="S29" i="82"/>
  <c r="F53" i="82" s="1"/>
  <c r="N60" i="82" l="1"/>
  <c r="O60" i="82" s="1"/>
  <c r="E70" i="82"/>
  <c r="E71" i="82" s="1"/>
  <c r="F71" i="82" s="1"/>
  <c r="S47" i="82"/>
  <c r="S46" i="82"/>
  <c r="F70" i="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<sst xmlns="http://schemas.openxmlformats.org/spreadsheetml/2006/main" count="8218" uniqueCount="3615">
  <si>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</si>
  <si>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</si>
  <si>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</si>
  <si>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</si>
  <si>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</si>
  <si>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</si>
  <si>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</si>
  <si>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</si>
  <si>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</si>
  <si>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</si>
  <si>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</si>
  <si>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</si>
  <si>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</si>
  <si>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</si>
  <si>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</si>
  <si>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</si>
  <si>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</si>
  <si>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</si>
  <si>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</si>
  <si>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</si>
  <si>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</si>
  <si>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</si>
  <si>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</si>
  <si>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</si>
  <si>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</si>
  <si>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</si>
  <si>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</si>
  <si>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</si>
  <si>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</si>
  <si>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</si>
  <si>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</si>
  <si>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</si>
  <si>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</si>
  <si>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</si>
  <si>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</si>
  <si>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</si>
  <si>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</si>
  <si>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</si>
  <si>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</si>
  <si>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</si>
  <si>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</si>
  <si>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</si>
  <si>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</si>
  <si>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</si>
  <si>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</si>
  <si>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</si>
  <si>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</si>
  <si>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</si>
  <si>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</si>
  <si>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</si>
  <si>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</si>
  <si>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</si>
  <si>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</si>
  <si>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</si>
  <si>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</si>
  <si>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</si>
  <si>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</si>
  <si>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</si>
  <si>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</si>
  <si>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</si>
  <si>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</si>
  <si>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</si>
  <si>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</si>
  <si>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</si>
  <si>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</si>
  <si>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</si>
  <si>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</si>
  <si>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</si>
  <si>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</si>
  <si>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</si>
  <si>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</si>
  <si>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</si>
  <si>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</si>
  <si>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</si>
  <si>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</si>
  <si>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</si>
  <si>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</si>
  <si>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</si>
  <si>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</si>
  <si>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</si>
  <si>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</si>
  <si>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</si>
  <si>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</si>
  <si>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</si>
  <si>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</si>
  <si>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</si>
  <si>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</si>
  <si>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</si>
  <si>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</si>
  <si>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</si>
  <si>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</si>
  <si>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</si>
  <si>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</si>
  <si>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</si>
  <si>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</si>
  <si>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</si>
  <si>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</si>
  <si>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</si>
  <si>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</si>
  <si>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</si>
  <si>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</si>
  <si>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</si>
  <si>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</si>
  <si>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</si>
  <si>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</si>
  <si>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</si>
  <si>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</si>
  <si>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</si>
  <si>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</si>
  <si>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</si>
  <si>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</si>
  <si>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</si>
  <si>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</si>
  <si>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</si>
  <si>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</si>
  <si>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</si>
  <si>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</si>
  <si>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</si>
  <si>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</si>
  <si>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</si>
  <si>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</si>
  <si>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</si>
  <si>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</si>
  <si>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</si>
  <si>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</si>
  <si>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</si>
  <si>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</si>
  <si>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</si>
  <si>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</si>
  <si>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</si>
  <si>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</si>
  <si>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</si>
  <si>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</si>
  <si>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</si>
  <si>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</si>
  <si>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</si>
  <si>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</si>
  <si>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</si>
  <si>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</si>
  <si>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</si>
  <si>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</si>
  <si>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</si>
  <si>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</si>
  <si>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</si>
  <si>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</si>
  <si>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</si>
  <si>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</si>
  <si>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</si>
  <si>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</si>
  <si>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</si>
  <si>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</si>
  <si>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</si>
  <si>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</si>
  <si>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</si>
  <si>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</si>
  <si>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</si>
  <si>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</si>
  <si>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</si>
  <si>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</si>
  <si>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</si>
  <si>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</si>
  <si>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</si>
  <si>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</si>
  <si>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</si>
  <si>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</si>
  <si>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</si>
  <si>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</si>
  <si>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</si>
  <si>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</si>
  <si>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</si>
  <si>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</si>
  <si>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</si>
  <si>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</si>
  <si>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</si>
  <si>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</si>
  <si>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</si>
  <si>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</si>
  <si>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</si>
  <si>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</si>
  <si>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</si>
  <si>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</si>
  <si>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</si>
  <si>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</si>
  <si>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</si>
  <si>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</si>
  <si>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</si>
  <si>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</si>
  <si>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</si>
  <si>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</si>
  <si>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</si>
  <si>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</si>
  <si>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</si>
  <si>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</si>
  <si>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</si>
  <si>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</si>
  <si>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</si>
  <si>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</si>
  <si>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</si>
  <si>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</si>
  <si>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</si>
  <si>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</si>
  <si>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</si>
  <si>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</si>
  <si>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</si>
  <si>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</si>
  <si>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</si>
  <si>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</si>
  <si>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</si>
  <si>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</si>
  <si>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</si>
  <si>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</si>
  <si>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</si>
  <si>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</si>
  <si>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</si>
  <si>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</si>
  <si>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</si>
  <si>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</si>
  <si>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</si>
  <si>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</si>
  <si>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</si>
  <si>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</si>
  <si>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</si>
  <si>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</si>
  <si>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</si>
  <si>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</si>
  <si>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</si>
  <si>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</si>
  <si>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</si>
  <si>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</si>
  <si>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</si>
  <si>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</si>
  <si>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</si>
  <si>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</si>
  <si>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</si>
  <si>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</si>
  <si>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</si>
  <si>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</si>
  <si>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</si>
  <si>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</si>
  <si>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</si>
  <si>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</si>
  <si>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</si>
  <si>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</si>
  <si>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</si>
  <si>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</si>
  <si>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</si>
  <si>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</si>
  <si>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</si>
  <si>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</si>
  <si>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</si>
  <si>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</si>
  <si>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</si>
  <si>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</si>
  <si>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</si>
  <si>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</si>
  <si>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</si>
  <si>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</si>
  <si>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</si>
  <si>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</si>
  <si>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</si>
  <si>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</si>
  <si>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</si>
  <si>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</si>
  <si>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</si>
  <si>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</si>
  <si>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</si>
  <si>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</si>
  <si>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</si>
  <si>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</si>
  <si>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</si>
  <si>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</si>
  <si>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</si>
  <si>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</si>
  <si>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</si>
  <si>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</si>
  <si>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</si>
  <si>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</si>
  <si>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</si>
  <si>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</si>
  <si>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</si>
  <si>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</si>
  <si>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</si>
  <si>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</si>
  <si>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</si>
  <si>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</si>
  <si>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</si>
  <si>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</si>
  <si>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</si>
  <si>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</si>
  <si>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</si>
  <si>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</si>
  <si>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</si>
  <si>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</si>
  <si>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</si>
  <si>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</si>
  <si>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</si>
  <si>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</si>
  <si>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</si>
  <si>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</si>
  <si>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</si>
  <si>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</si>
  <si>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</si>
  <si>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</si>
  <si>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</si>
  <si>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</si>
  <si>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</si>
  <si>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</si>
  <si>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</si>
  <si>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</si>
  <si>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</si>
  <si>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</si>
  <si>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</si>
  <si>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</si>
  <si>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</si>
  <si>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</si>
  <si>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</si>
  <si>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</si>
  <si>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</si>
  <si>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</si>
  <si>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</si>
  <si>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</si>
  <si>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</si>
  <si>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</si>
  <si>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</si>
  <si>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</si>
  <si>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</si>
  <si>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</si>
  <si>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</si>
  <si>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</si>
  <si>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</si>
  <si>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</si>
  <si>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</si>
  <si>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</si>
  <si>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</si>
  <si>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</si>
  <si>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</si>
  <si>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</si>
  <si>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</si>
  <si>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</si>
  <si>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</si>
  <si>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</si>
  <si>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</si>
  <si>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</si>
  <si>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</si>
  <si>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</si>
  <si>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</si>
  <si>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</si>
  <si>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</si>
  <si>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</si>
  <si>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</si>
  <si>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</si>
  <si>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</si>
  <si>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</si>
  <si>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</si>
  <si>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</si>
  <si>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</si>
  <si>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</si>
  <si>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</si>
  <si>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</si>
  <si>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</si>
  <si>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</si>
  <si>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</si>
  <si>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</si>
  <si>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</si>
  <si>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</si>
  <si>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</si>
  <si>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</si>
  <si>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</si>
  <si>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</si>
  <si>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</si>
  <si>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</si>
  <si>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</si>
  <si>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</si>
  <si>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</si>
  <si>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</si>
  <si>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</si>
  <si>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</si>
  <si>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</si>
  <si>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</si>
  <si>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</si>
  <si>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</si>
  <si>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</si>
  <si>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</si>
  <si>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</si>
  <si>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</si>
  <si>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</si>
  <si>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</si>
  <si>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</si>
  <si>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</si>
  <si>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</si>
  <si>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</si>
  <si>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</si>
  <si>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</si>
  <si>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</si>
  <si>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</si>
  <si>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</si>
  <si>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</si>
  <si>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</si>
  <si>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</si>
  <si>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</si>
  <si>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</si>
  <si>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</si>
  <si>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</si>
  <si>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</si>
  <si>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</si>
  <si>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</si>
  <si>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</si>
  <si>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</si>
  <si>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</si>
  <si>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</si>
  <si>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</si>
  <si>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</si>
  <si>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</si>
  <si>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</si>
  <si>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</si>
  <si>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</si>
  <si>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</si>
  <si>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</si>
  <si>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</si>
  <si>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</si>
  <si>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</si>
  <si>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</si>
  <si>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</si>
  <si>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</si>
  <si>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</si>
  <si>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</si>
  <si>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</si>
  <si>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</si>
  <si>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</si>
  <si>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</si>
  <si>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</si>
  <si>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</si>
  <si>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</si>
  <si>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</si>
  <si>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</si>
  <si>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</si>
  <si>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</si>
  <si>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</si>
  <si>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</si>
  <si>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</si>
  <si>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</si>
  <si>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</si>
  <si>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</si>
  <si>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</si>
  <si>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</si>
  <si>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</si>
  <si>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</si>
  <si>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</si>
  <si>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</si>
  <si>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</si>
  <si>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</si>
  <si>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</si>
  <si>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</si>
  <si>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</si>
  <si>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</si>
  <si>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</si>
  <si>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</si>
  <si>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</si>
  <si>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</si>
  <si>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</si>
  <si>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</si>
  <si>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</si>
  <si>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</si>
  <si>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</si>
  <si>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</si>
  <si>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</si>
  <si>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</si>
  <si>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</si>
  <si>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</si>
  <si>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</si>
  <si>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</si>
  <si>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</si>
  <si>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</si>
  <si>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</si>
  <si>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</si>
  <si>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</si>
  <si>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</si>
  <si>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</si>
  <si>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</si>
  <si>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</si>
  <si>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</si>
  <si>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</si>
  <si>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</si>
  <si>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</si>
  <si>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</si>
  <si>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</si>
  <si>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</si>
  <si>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</si>
  <si>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</si>
  <si>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</si>
  <si>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</si>
  <si>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</si>
  <si>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</si>
  <si>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</si>
  <si>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</si>
  <si>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</si>
  <si>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</si>
  <si>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</si>
  <si>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</si>
  <si>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</si>
  <si>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</si>
  <si>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</si>
  <si>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</si>
  <si>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</si>
  <si>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</si>
  <si>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</si>
  <si>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</si>
  <si>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</si>
  <si>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</si>
  <si>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</si>
  <si>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</si>
  <si>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</si>
  <si>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</si>
  <si>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</si>
  <si>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</si>
  <si>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</si>
  <si>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</si>
  <si>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</si>
  <si>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</si>
  <si>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</si>
  <si>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</si>
  <si>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</si>
  <si>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</si>
  <si>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</si>
  <si>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</si>
  <si>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</si>
  <si>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</si>
  <si>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</si>
  <si>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</si>
  <si>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</si>
  <si>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</si>
  <si>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</si>
  <si>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</si>
  <si>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</si>
  <si>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</si>
  <si>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</si>
  <si>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</si>
  <si>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</si>
  <si>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</si>
  <si>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</si>
  <si>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</si>
  <si>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</si>
  <si>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</si>
  <si>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</si>
  <si>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</si>
  <si>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</si>
  <si>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</si>
  <si>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</si>
  <si>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</si>
  <si>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</si>
  <si>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</si>
  <si>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</si>
  <si>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</si>
  <si>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</si>
  <si>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</si>
  <si>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</si>
  <si>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</si>
  <si>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</si>
  <si>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</si>
  <si>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</si>
  <si>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</si>
  <si>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</si>
  <si>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</si>
  <si>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</si>
  <si>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</si>
  <si>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</si>
  <si>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</si>
  <si>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</si>
  <si>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</si>
  <si>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</si>
  <si>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</si>
  <si>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</si>
  <si>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</si>
  <si>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</si>
  <si>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</si>
  <si>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</si>
  <si>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</si>
  <si>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</si>
  <si>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</si>
  <si>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</si>
  <si>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</si>
  <si>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</si>
  <si>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</si>
  <si>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</si>
  <si>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</si>
  <si>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</si>
  <si>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</si>
  <si>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</si>
  <si>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</si>
  <si>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</si>
  <si>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</si>
  <si>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</si>
  <si>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</si>
  <si>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</si>
  <si>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</si>
  <si>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</si>
  <si>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</si>
  <si>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</si>
  <si>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</si>
  <si>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</si>
  <si>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</si>
  <si>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</si>
  <si>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</si>
  <si>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</si>
  <si>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</si>
  <si>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</si>
  <si>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</si>
  <si>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</si>
  <si>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</si>
  <si>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</si>
  <si>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</si>
  <si>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</si>
  <si>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</si>
  <si>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</si>
  <si>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</si>
  <si>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</si>
  <si>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</si>
  <si>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</si>
  <si>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</si>
  <si>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</si>
  <si>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</si>
  <si>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</si>
  <si>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</si>
  <si>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</si>
  <si>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</si>
  <si>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</si>
  <si>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</si>
  <si>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</si>
  <si>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</si>
  <si>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</si>
  <si>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</si>
  <si>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</si>
  <si>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</si>
  <si>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</si>
  <si>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</si>
  <si>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</si>
  <si>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</si>
  <si>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</si>
  <si>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</si>
  <si>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</si>
  <si>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</si>
  <si>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</si>
  <si>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</si>
  <si>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</si>
  <si>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</si>
  <si>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</si>
  <si>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</si>
  <si>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</si>
  <si>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</si>
  <si>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</si>
  <si>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</si>
  <si>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</si>
  <si>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</si>
  <si>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</si>
  <si>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</si>
  <si>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</si>
  <si>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</si>
  <si>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</si>
  <si>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</si>
  <si>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</si>
  <si>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</si>
  <si>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</si>
  <si>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</si>
  <si>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</si>
  <si>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</si>
  <si>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</si>
  <si>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</si>
  <si>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</si>
  <si>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</si>
  <si>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</si>
  <si>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</si>
  <si>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</si>
  <si>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</si>
  <si>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</si>
  <si>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</si>
  <si>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</si>
  <si>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</si>
  <si>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</si>
  <si>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</si>
  <si>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</si>
  <si>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</si>
  <si>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</si>
  <si>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</si>
  <si>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</si>
  <si>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</si>
  <si>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</si>
  <si>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</si>
  <si>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</si>
  <si>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</si>
  <si>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</si>
  <si>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</si>
  <si>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</si>
  <si>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</si>
  <si>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</si>
  <si>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</si>
  <si>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</si>
  <si>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</si>
  <si>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</si>
  <si>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</si>
  <si>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</si>
  <si>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</si>
  <si>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</si>
  <si>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</si>
  <si>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</si>
  <si>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</si>
  <si>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</si>
  <si>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</si>
  <si>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</si>
  <si>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</si>
  <si>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</si>
  <si>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</si>
  <si>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</si>
  <si>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</si>
  <si>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</si>
  <si>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</si>
  <si>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</si>
  <si>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</si>
  <si>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</si>
  <si>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</si>
  <si>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</si>
  <si>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</si>
  <si>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</si>
  <si>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</si>
  <si>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</si>
  <si>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</si>
  <si>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</si>
  <si>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</si>
  <si>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</si>
  <si>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</si>
  <si>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</si>
  <si>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</si>
  <si>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</si>
  <si>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</si>
  <si>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</si>
  <si>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</si>
  <si>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</si>
  <si>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</si>
  <si>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</si>
  <si>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</si>
  <si>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</si>
  <si>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</si>
  <si>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</si>
  <si>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</si>
  <si>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</si>
  <si>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</si>
  <si>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</si>
  <si>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</si>
  <si>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</si>
  <si>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</si>
  <si>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</si>
  <si>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</si>
  <si>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</si>
  <si>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</si>
  <si>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</si>
  <si>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</si>
  <si>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</si>
  <si>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</si>
  <si>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</si>
  <si>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</si>
  <si>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</si>
  <si>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</si>
  <si>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</si>
  <si>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</si>
  <si>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</si>
  <si>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</si>
  <si>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</si>
  <si>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</si>
  <si>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</si>
  <si>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</si>
  <si>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</si>
  <si>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</si>
  <si>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</si>
  <si>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</si>
  <si>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</si>
  <si>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</si>
  <si>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</si>
  <si>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</si>
  <si>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</si>
  <si>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</si>
  <si>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</si>
  <si>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</si>
  <si>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</si>
  <si>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</si>
  <si>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</si>
  <si>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</si>
  <si>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</si>
  <si>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</si>
  <si>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</si>
  <si>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</si>
  <si>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</si>
  <si>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</si>
  <si>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</si>
  <si>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</si>
  <si>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</si>
  <si>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</si>
  <si>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</si>
  <si>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</si>
  <si>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</si>
  <si>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</si>
  <si>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</si>
  <si>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</si>
  <si>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</si>
  <si>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</si>
  <si>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</si>
  <si>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</si>
  <si>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</si>
  <si>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</si>
  <si>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</si>
  <si>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</si>
  <si>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</si>
  <si>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</si>
  <si>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</si>
  <si>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</si>
  <si>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</si>
  <si>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</si>
  <si>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</si>
  <si>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</si>
  <si>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</si>
  <si>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</si>
  <si>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</si>
  <si>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</si>
  <si>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</si>
  <si>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</si>
  <si>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</si>
  <si>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</si>
  <si>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</si>
  <si>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</si>
  <si>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</si>
  <si>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</si>
  <si>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</si>
  <si>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</si>
  <si>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</si>
  <si>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</si>
  <si>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</si>
  <si>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</si>
  <si>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</si>
  <si>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</si>
  <si>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</si>
  <si>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</si>
  <si>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</si>
  <si>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</si>
  <si>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</si>
  <si>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</si>
  <si>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</si>
  <si>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</si>
  <si>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</si>
  <si>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</si>
  <si>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</si>
  <si>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</si>
  <si>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</si>
  <si>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</si>
  <si>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</si>
  <si>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</si>
  <si>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</si>
  <si>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</si>
  <si>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</si>
  <si>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</si>
  <si>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</si>
  <si>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</si>
  <si>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</si>
  <si>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</si>
  <si>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</si>
  <si>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</si>
  <si>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</si>
  <si>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</si>
  <si>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</si>
  <si>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</si>
  <si>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</si>
  <si>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</si>
  <si>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</si>
  <si>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</si>
  <si>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</si>
  <si>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</si>
  <si>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</si>
  <si>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</si>
  <si>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</si>
  <si>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</si>
  <si>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</si>
  <si>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</si>
  <si>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</si>
  <si>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</si>
  <si>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</si>
  <si>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</si>
  <si>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</si>
  <si>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</si>
  <si>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</si>
  <si>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</si>
  <si>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</si>
  <si>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</si>
  <si>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</si>
  <si>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</si>
  <si>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</si>
  <si>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</si>
  <si>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</si>
  <si>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</si>
  <si>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</si>
  <si>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</si>
  <si>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</si>
  <si>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</si>
  <si>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</si>
  <si>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</si>
  <si>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</si>
  <si>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</si>
  <si>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</si>
  <si>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</si>
  <si>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</si>
  <si>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</si>
  <si>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</si>
  <si>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</si>
  <si>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</si>
  <si>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</si>
  <si>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</si>
  <si>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</si>
  <si>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</si>
  <si>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</si>
  <si>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</si>
  <si>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</si>
  <si>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</si>
  <si>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</si>
  <si>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</si>
  <si>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</si>
  <si>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</si>
  <si>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</si>
  <si>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</si>
  <si>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</si>
  <si>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</si>
  <si>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</si>
  <si>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</si>
  <si>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</si>
  <si>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</si>
  <si>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</si>
  <si>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</si>
  <si>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</si>
  <si>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</si>
  <si>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</si>
  <si>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</si>
  <si>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</si>
  <si>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</si>
  <si>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</si>
  <si>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</si>
  <si>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</si>
  <si>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</si>
  <si>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</si>
  <si>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</si>
  <si>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</si>
  <si>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</si>
  <si>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</si>
  <si>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</si>
  <si>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</si>
  <si>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</si>
  <si>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</si>
  <si>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</si>
  <si>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</si>
  <si>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</si>
  <si>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</si>
  <si>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</si>
  <si>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</si>
  <si>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</si>
  <si>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</si>
  <si>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</si>
  <si>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</si>
  <si>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</si>
  <si>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</si>
  <si>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</si>
  <si>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</si>
  <si>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</si>
  <si>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</si>
  <si>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</si>
  <si>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</si>
  <si>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</si>
  <si>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</si>
  <si>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</si>
  <si>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</si>
  <si>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</si>
  <si>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</si>
  <si>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</si>
  <si>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</si>
  <si>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</si>
  <si>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</si>
  <si>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</si>
  <si>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</si>
  <si>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</si>
  <si>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</si>
  <si>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</si>
  <si>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</si>
  <si>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</si>
  <si>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</si>
  <si>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</si>
  <si>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</si>
  <si>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</si>
  <si>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</si>
  <si>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</si>
  <si>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</si>
  <si>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</si>
  <si>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</si>
  <si>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</si>
  <si>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</si>
  <si>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</si>
  <si>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</si>
  <si>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</si>
  <si>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</si>
  <si>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</si>
  <si>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</si>
  <si>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</si>
  <si>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</si>
  <si>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</si>
  <si>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</si>
  <si>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</si>
  <si>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</si>
  <si>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</si>
  <si>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</si>
  <si>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</si>
  <si>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</si>
  <si>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</si>
  <si>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</si>
  <si>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</si>
  <si>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</si>
  <si>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</si>
  <si>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</si>
  <si>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</si>
  <si>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</si>
  <si>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</si>
  <si>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</si>
  <si>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</si>
  <si>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</si>
  <si>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</si>
  <si>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</si>
  <si>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</si>
  <si>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</si>
  <si>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</si>
  <si>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</si>
  <si>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</si>
  <si>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</si>
  <si>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</si>
  <si>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</si>
  <si>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</si>
  <si>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</si>
  <si>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</si>
  <si>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</si>
  <si>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</si>
  <si>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</si>
  <si>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</si>
  <si>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</si>
  <si>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</si>
  <si>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</si>
  <si>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</si>
  <si>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</si>
  <si>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</si>
  <si>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</si>
  <si>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</si>
  <si>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</si>
  <si>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</si>
  <si>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</si>
  <si>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</si>
  <si>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</si>
  <si>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</si>
  <si>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</si>
  <si>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</si>
  <si>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</si>
  <si>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</si>
  <si>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</si>
  <si>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</si>
  <si>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</si>
  <si>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</si>
  <si>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</si>
  <si>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</si>
  <si>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</si>
  <si>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</si>
  <si>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</si>
  <si>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</si>
  <si>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</si>
  <si>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</si>
  <si>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</si>
  <si>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</si>
  <si>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</si>
  <si>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</si>
  <si>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</si>
  <si>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</si>
  <si>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</si>
  <si>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</si>
  <si>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</si>
  <si>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</si>
  <si>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</si>
  <si>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</si>
  <si>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</si>
  <si>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</si>
  <si>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</si>
  <si>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</si>
  <si>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</si>
  <si>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</si>
  <si>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</si>
  <si>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</si>
  <si>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</si>
  <si>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</si>
  <si>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</si>
  <si>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</si>
  <si>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</si>
  <si>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</si>
  <si>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</si>
  <si>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</si>
  <si>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</si>
  <si>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</si>
  <si>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</si>
  <si>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</si>
  <si>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</si>
  <si>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</si>
  <si>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</si>
  <si>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</si>
  <si>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</si>
  <si>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</si>
  <si>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</si>
  <si>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</si>
  <si>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</si>
  <si>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</si>
  <si>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</si>
  <si>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</si>
  <si>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</si>
  <si>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</si>
  <si>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</si>
  <si>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</si>
  <si>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</si>
  <si>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</si>
  <si>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</si>
  <si>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</si>
  <si>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</si>
  <si>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</si>
  <si>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</si>
  <si>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</si>
  <si>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</si>
  <si>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</si>
  <si>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</si>
  <si>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</si>
  <si>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</si>
  <si>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</si>
  <si>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</si>
  <si>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</si>
  <si>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</si>
  <si>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</si>
  <si>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</si>
  <si>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</si>
  <si>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</si>
  <si>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</si>
  <si>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</si>
  <si>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</si>
  <si>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</si>
  <si>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</si>
  <si>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</si>
  <si>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</si>
  <si>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</si>
  <si>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</si>
  <si>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</si>
  <si>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</si>
  <si>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</si>
  <si>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</si>
  <si>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</si>
  <si>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</si>
  <si>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</si>
  <si>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</si>
  <si>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</si>
  <si>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</si>
  <si>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</si>
  <si>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</si>
  <si>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</si>
  <si>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</si>
  <si>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</si>
  <si>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</si>
  <si>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</si>
  <si>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</si>
  <si>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</si>
  <si>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</si>
  <si>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</si>
  <si>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</si>
  <si>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</si>
  <si>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</si>
  <si>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</si>
  <si>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</si>
  <si>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</si>
  <si>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</si>
  <si>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</si>
  <si>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</si>
  <si>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</si>
  <si>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</si>
  <si>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</si>
  <si>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</si>
  <si>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</si>
  <si>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</si>
  <si>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</si>
  <si>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</si>
  <si>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</si>
  <si>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</si>
  <si>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</si>
  <si>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</si>
  <si>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</si>
  <si>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</si>
  <si>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</si>
  <si>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</si>
  <si>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</si>
  <si>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</si>
  <si>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</si>
  <si>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</si>
  <si>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</si>
  <si>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</si>
  <si>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</si>
  <si>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</si>
  <si>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</si>
  <si>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</si>
  <si>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</si>
  <si>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</si>
  <si>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</si>
  <si>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</si>
  <si>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</si>
  <si>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</si>
  <si>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</si>
  <si>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</si>
  <si>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</si>
  <si>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</si>
  <si>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</si>
  <si>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</si>
  <si>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</si>
  <si>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</si>
  <si>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</si>
  <si>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</si>
  <si>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</si>
  <si>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</si>
  <si>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</si>
  <si>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</si>
  <si>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</si>
  <si>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</si>
  <si>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</si>
  <si>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</si>
  <si>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</si>
  <si>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</si>
  <si>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</si>
  <si>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</si>
  <si>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</si>
  <si>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</si>
  <si>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</si>
  <si>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</si>
  <si>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</si>
  <si>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</si>
  <si>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</si>
  <si>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</si>
  <si>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</si>
  <si>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</si>
  <si>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</si>
  <si>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</si>
  <si>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</si>
  <si>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</si>
  <si>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</si>
  <si>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</si>
  <si>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</si>
  <si>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</si>
  <si>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</si>
  <si>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</si>
  <si>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</si>
  <si>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</si>
  <si>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</si>
  <si>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</si>
  <si>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</si>
  <si>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</si>
  <si>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</si>
  <si>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</si>
  <si>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</si>
  <si>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</si>
  <si>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</si>
  <si>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</si>
  <si>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</si>
  <si>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</si>
  <si>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</si>
  <si>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</si>
  <si>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</si>
  <si>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</si>
  <si>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</si>
  <si>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</si>
  <si>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</si>
  <si>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</si>
  <si>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</si>
  <si>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</si>
  <si>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</si>
  <si>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</si>
  <si>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</si>
  <si>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</si>
  <si>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</si>
  <si>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</si>
  <si>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</si>
  <si>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</si>
  <si>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</si>
  <si>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</si>
  <si>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</si>
  <si>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</si>
  <si>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</si>
  <si>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</si>
  <si>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</si>
  <si>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</si>
  <si>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</si>
  <si>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</si>
  <si>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</si>
  <si>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</si>
  <si>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</si>
  <si>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</si>
  <si>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</si>
  <si>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</si>
  <si>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</si>
  <si>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</si>
  <si>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</si>
  <si>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</si>
  <si>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</si>
  <si>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</si>
  <si>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</si>
  <si>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</si>
  <si>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</si>
  <si>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</si>
  <si>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</si>
  <si>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</si>
  <si>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</si>
  <si>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</si>
  <si>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</si>
  <si>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</si>
  <si>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</si>
  <si>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</si>
  <si>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</si>
  <si>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</si>
  <si>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</si>
  <si>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</si>
  <si>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</si>
  <si>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</si>
  <si>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</si>
  <si>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</si>
  <si>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</si>
  <si>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</si>
  <si>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</si>
  <si>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</si>
  <si>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</si>
  <si>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</si>
  <si>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</si>
  <si>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</si>
  <si>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</si>
  <si>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</si>
  <si>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</si>
  <si>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</si>
  <si>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</si>
  <si>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</si>
  <si>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</si>
  <si>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</si>
  <si>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</si>
  <si>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</si>
  <si>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</si>
  <si>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</si>
  <si>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</si>
  <si>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</si>
  <si>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</si>
  <si>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</si>
  <si>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</si>
  <si>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</si>
  <si>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</si>
  <si>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</si>
  <si>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</si>
  <si>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</si>
  <si>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</si>
  <si>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</si>
  <si>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</si>
  <si>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</si>
  <si>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</si>
  <si>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</si>
  <si>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</si>
  <si>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</si>
  <si>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</si>
  <si>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</si>
  <si>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</si>
  <si>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</si>
  <si>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</si>
  <si>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</si>
  <si>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</si>
  <si>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</si>
  <si>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</si>
  <si>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</si>
  <si>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</si>
  <si>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</si>
  <si>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</si>
  <si>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</si>
  <si>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</si>
  <si>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</si>
  <si>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</si>
  <si>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</si>
  <si>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</si>
  <si>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</si>
  <si>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</si>
  <si>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</si>
  <si>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</si>
  <si>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</si>
  <si>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</si>
  <si>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</si>
  <si>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</si>
  <si>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</si>
  <si>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</si>
  <si>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</si>
  <si>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</si>
  <si>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</si>
  <si>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</si>
  <si>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</si>
  <si>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</si>
  <si>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</si>
  <si>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</si>
  <si>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</si>
  <si>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</si>
  <si>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</si>
  <si>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</si>
  <si>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</si>
  <si>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</si>
  <si>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</si>
  <si>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</si>
  <si>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</si>
  <si>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</si>
  <si>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</si>
  <si>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</si>
  <si>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</si>
  <si>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</si>
  <si>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</si>
  <si>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</si>
  <si>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</si>
  <si>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</si>
  <si>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</si>
  <si>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</si>
  <si>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</si>
  <si>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</si>
  <si>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</si>
  <si>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</si>
  <si>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</si>
  <si>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</si>
  <si>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</si>
  <si>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</si>
  <si>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</si>
  <si>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</si>
  <si>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</si>
  <si>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</si>
  <si>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</si>
  <si>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</si>
  <si>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</si>
  <si>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</si>
  <si>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</si>
  <si>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</si>
  <si>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</si>
  <si>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</si>
  <si>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</si>
  <si>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</si>
  <si>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</si>
  <si>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</si>
  <si>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</si>
  <si>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</si>
  <si>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</si>
  <si>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</si>
  <si>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</si>
  <si>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</si>
  <si>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</si>
  <si>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</si>
  <si>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</si>
  <si>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</si>
  <si>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</si>
  <si>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</si>
  <si>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</si>
  <si>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</si>
  <si>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</si>
  <si>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</si>
  <si>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</si>
  <si>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</si>
  <si>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</si>
  <si>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</si>
  <si>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</si>
  <si>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</si>
  <si>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</si>
  <si>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</si>
  <si>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</si>
  <si>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</si>
  <si>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</si>
  <si>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</si>
  <si>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</si>
  <si>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</si>
  <si>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</si>
  <si>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</si>
  <si>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</si>
  <si>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</si>
  <si>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</si>
  <si>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</si>
  <si>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</si>
  <si>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</si>
  <si>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</si>
  <si>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</si>
  <si>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</si>
  <si>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</si>
  <si>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</si>
  <si>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</si>
  <si>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</si>
  <si>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</si>
  <si>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</si>
  <si>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</si>
  <si>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</si>
  <si>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</si>
  <si>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</si>
  <si>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</si>
  <si>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</si>
  <si>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</si>
  <si>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</si>
  <si>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</si>
  <si>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</si>
  <si>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</si>
  <si>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</si>
  <si>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</si>
  <si>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</si>
  <si>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</si>
  <si>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</si>
  <si>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</si>
  <si>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</si>
  <si>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</si>
  <si>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</si>
  <si>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</si>
  <si>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</si>
  <si>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</si>
  <si>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</si>
  <si>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</si>
  <si>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</si>
  <si>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</si>
  <si>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</si>
  <si>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</si>
  <si>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</si>
  <si>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</si>
  <si>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</si>
  <si>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</si>
  <si>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</si>
  <si>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</si>
  <si>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</si>
  <si>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</si>
  <si>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</si>
  <si>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</si>
  <si>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</si>
  <si>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</si>
  <si>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</si>
  <si>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</si>
  <si>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</si>
  <si>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</si>
  <si>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</si>
  <si>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</si>
  <si>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</si>
  <si>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</si>
  <si>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</si>
  <si>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</si>
  <si>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</si>
  <si>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</si>
  <si>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</si>
  <si>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</si>
  <si>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</si>
  <si>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</si>
  <si>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</si>
  <si>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</si>
  <si>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</si>
  <si>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</si>
  <si>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</si>
  <si>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</si>
  <si>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</si>
  <si>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</si>
  <si>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</si>
  <si>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</si>
  <si>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</si>
  <si>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</si>
  <si>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</si>
  <si>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</si>
  <si>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</si>
  <si>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</si>
  <si>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</si>
  <si>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</si>
  <si>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</si>
  <si>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</si>
  <si>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</si>
  <si>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</si>
  <si>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</si>
  <si>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</si>
  <si>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</si>
  <si>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</si>
  <si>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</si>
  <si>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</si>
  <si>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</si>
  <si>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</si>
  <si>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</si>
  <si>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</si>
  <si>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</si>
  <si>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</si>
  <si>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</si>
  <si>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</si>
  <si>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</si>
  <si>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</si>
  <si>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</si>
  <si>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</si>
  <si>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</si>
  <si>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</si>
  <si>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</si>
  <si>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</si>
  <si>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</si>
  <si>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</si>
  <si>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</si>
  <si>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</si>
  <si>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</si>
  <si>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</si>
  <si>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</si>
  <si>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</si>
  <si>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</si>
  <si>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</si>
  <si>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</si>
  <si>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</si>
  <si>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</si>
  <si>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</si>
  <si>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</si>
  <si>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</si>
  <si>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</si>
  <si>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</si>
  <si>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</si>
  <si>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</si>
  <si>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</si>
  <si>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</si>
  <si>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</si>
  <si>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</si>
  <si>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</si>
  <si>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</si>
  <si>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</si>
  <si>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</si>
  <si>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</si>
  <si>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</si>
  <si>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</si>
  <si>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</si>
  <si>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</si>
  <si>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</si>
  <si>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</si>
  <si>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</si>
  <si>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</si>
  <si>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</si>
  <si>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</si>
  <si>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</si>
  <si>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</si>
  <si>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</si>
  <si>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</si>
  <si>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</si>
  <si>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</si>
  <si>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</si>
  <si>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</si>
  <si>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</si>
  <si>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</si>
  <si>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</si>
  <si>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</si>
  <si>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</si>
  <si>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</si>
  <si>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</si>
  <si>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</si>
  <si>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</si>
  <si>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</si>
  <si>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</si>
  <si>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</si>
  <si>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</si>
  <si>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</si>
  <si>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</si>
  <si>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</si>
  <si>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</si>
  <si>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</si>
  <si>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</si>
  <si>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</si>
  <si>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</si>
  <si>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</si>
  <si>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</si>
  <si>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</si>
  <si>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</si>
  <si>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</si>
  <si>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</si>
  <si>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</si>
  <si>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</si>
  <si>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</si>
  <si>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</si>
  <si>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</si>
  <si>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</si>
  <si>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</si>
  <si>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</si>
  <si>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</si>
  <si>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</si>
  <si>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</si>
  <si>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</si>
  <si>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</si>
  <si>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</si>
  <si>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</si>
  <si>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</si>
  <si>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</si>
  <si>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</si>
  <si>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</si>
  <si>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</si>
  <si>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</si>
  <si>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</si>
  <si>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</si>
  <si>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</si>
  <si>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</si>
  <si>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</si>
  <si>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</si>
  <si>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</si>
  <si>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</si>
  <si>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</si>
  <si>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</si>
  <si>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</si>
  <si>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</si>
  <si>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</si>
  <si>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</si>
  <si>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</si>
  <si>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</si>
  <si>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</si>
  <si>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</si>
  <si>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</si>
  <si>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</si>
  <si>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</si>
  <si>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</si>
  <si>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</si>
  <si>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</si>
  <si>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</si>
  <si>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</si>
  <si>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</si>
  <si>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</si>
  <si>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</si>
  <si>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</si>
  <si>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</si>
  <si>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</si>
  <si>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</si>
  <si>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</si>
  <si>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</si>
  <si>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</si>
  <si>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</si>
  <si>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</si>
  <si>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</si>
  <si>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</si>
  <si>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</si>
  <si>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</si>
  <si>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</si>
  <si>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</si>
  <si>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</si>
  <si>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</si>
  <si>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</si>
  <si>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</si>
  <si>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</si>
  <si>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</si>
  <si>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</si>
  <si>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</si>
  <si>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</si>
  <si>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</si>
  <si>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</si>
  <si>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</si>
  <si>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</si>
  <si>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</si>
  <si>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</si>
  <si>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</si>
  <si>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</si>
  <si>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</si>
  <si>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</si>
  <si>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</si>
  <si>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</si>
  <si>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</si>
  <si>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</si>
  <si>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</si>
  <si>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</si>
  <si>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</si>
  <si>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</si>
  <si>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</si>
  <si>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</si>
  <si>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</si>
  <si>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</si>
  <si>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</si>
  <si>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</si>
  <si>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</si>
  <si>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</si>
  <si>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</si>
  <si>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</si>
  <si>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</si>
  <si>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</si>
  <si>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</si>
  <si>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</si>
  <si>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</si>
  <si>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</si>
  <si>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</si>
  <si>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</si>
  <si>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</si>
  <si>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</si>
  <si>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</si>
  <si>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</si>
  <si>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</si>
  <si>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</si>
  <si>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</si>
  <si>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</si>
  <si>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</si>
  <si>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</si>
  <si>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</si>
  <si>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</si>
  <si>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</si>
  <si>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</si>
  <si>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</si>
  <si>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</si>
  <si>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</si>
  <si>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</si>
  <si>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</si>
  <si>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</si>
  <si>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</si>
  <si>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</si>
  <si>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</si>
  <si>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</si>
  <si>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</si>
  <si>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</si>
  <si>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</si>
  <si>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</si>
  <si>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</si>
  <si>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</si>
  <si>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</si>
  <si>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</si>
  <si>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</si>
  <si>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</si>
  <si>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</si>
  <si>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</si>
  <si>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</si>
  <si>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</si>
  <si>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</si>
  <si>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</si>
  <si>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</si>
  <si>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</si>
  <si>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</si>
  <si>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</si>
  <si>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</si>
  <si>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</si>
  <si>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</si>
  <si>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</si>
  <si>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</si>
  <si>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</si>
  <si>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</si>
  <si>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</si>
  <si>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</si>
  <si>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</si>
  <si>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</si>
  <si>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</si>
  <si>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</si>
  <si>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</si>
  <si>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</si>
  <si>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</si>
  <si>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</si>
  <si>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</si>
  <si>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</si>
  <si>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</si>
  <si>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</si>
  <si>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</si>
  <si>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</si>
  <si>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</si>
  <si>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</si>
  <si>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</si>
  <si>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</si>
  <si>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</si>
  <si>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</si>
  <si>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</si>
  <si>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</si>
  <si>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</si>
  <si>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</si>
  <si>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</si>
  <si>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</si>
  <si>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</si>
  <si>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</si>
  <si>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</si>
  <si>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</si>
  <si>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</si>
  <si>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</si>
  <si>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</si>
  <si>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</si>
  <si>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</si>
  <si>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</si>
  <si>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</si>
  <si>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</si>
  <si>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</si>
  <si>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</si>
  <si>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</si>
  <si>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</si>
  <si>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</si>
  <si>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</si>
  <si>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</si>
  <si>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</si>
  <si>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</si>
  <si>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</si>
  <si>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</si>
  <si>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</si>
  <si>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</si>
  <si>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</si>
  <si>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</si>
  <si>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</si>
  <si>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</si>
  <si>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</si>
  <si>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</si>
  <si>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</si>
  <si>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</si>
  <si>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</si>
  <si>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</si>
  <si>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</si>
  <si>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</si>
  <si>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</si>
  <si>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</si>
  <si>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</si>
  <si>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</si>
  <si>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</si>
  <si>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</si>
  <si>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</si>
  <si>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</si>
  <si>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</si>
  <si>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</si>
  <si>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</si>
  <si>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</si>
  <si>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</si>
  <si>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</si>
  <si>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</si>
  <si>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</si>
  <si>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</si>
  <si>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</si>
  <si>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</si>
  <si>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</si>
  <si>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</si>
  <si>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</si>
  <si>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</si>
  <si>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</si>
  <si>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</si>
  <si>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</si>
  <si>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</si>
  <si>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</si>
  <si>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</si>
  <si>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</si>
  <si>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</si>
  <si>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</si>
  <si>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</si>
  <si>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</si>
  <si>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</si>
  <si>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</si>
  <si>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</si>
  <si>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</si>
  <si>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</si>
  <si>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</si>
  <si>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</si>
  <si>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</si>
  <si>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</si>
  <si>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</si>
  <si>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</si>
  <si>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</si>
  <si>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</si>
  <si>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</si>
  <si>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</si>
  <si>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</si>
  <si>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</si>
  <si>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</si>
  <si>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</si>
  <si>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</si>
  <si>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</si>
  <si>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</si>
  <si>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</si>
  <si>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</si>
  <si>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</si>
  <si>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</si>
  <si>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</si>
  <si>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</si>
  <si>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</si>
  <si>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</si>
  <si>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</si>
  <si>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</si>
  <si>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</si>
  <si>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</si>
  <si>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</si>
  <si>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</si>
  <si>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</si>
  <si>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</si>
  <si>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</si>
  <si>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</si>
  <si>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</si>
  <si>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</si>
  <si>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</si>
  <si>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</si>
  <si>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</si>
  <si>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</si>
  <si>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</si>
  <si>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</si>
  <si>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</si>
  <si>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</si>
  <si>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</si>
  <si>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</si>
  <si>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</si>
  <si>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</si>
  <si>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</si>
  <si>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</si>
  <si>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</si>
  <si>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</si>
  <si>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</si>
  <si>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</si>
  <si>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</si>
  <si>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</si>
  <si>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</si>
  <si>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</si>
  <si>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</si>
  <si>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</si>
  <si>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</si>
  <si>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</si>
  <si>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</si>
  <si>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</si>
  <si>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</si>
  <si>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</si>
  <si>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</si>
  <si>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</si>
  <si>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</si>
  <si>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</si>
  <si>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</si>
  <si>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</si>
  <si>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</si>
  <si>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</si>
  <si>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</si>
  <si>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</si>
  <si>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</si>
  <si>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</si>
  <si>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</si>
  <si>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</si>
  <si>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</si>
  <si>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</si>
  <si>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</si>
  <si>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</si>
  <si>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</si>
  <si>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</si>
  <si>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</si>
  <si>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</si>
  <si>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</si>
  <si>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</si>
  <si>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</si>
  <si>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</si>
  <si>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</si>
  <si>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</si>
  <si>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</si>
  <si>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</si>
  <si>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</si>
  <si>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</si>
  <si>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</si>
  <si>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</si>
  <si>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</si>
  <si>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</si>
  <si>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</si>
  <si>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</si>
  <si>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</si>
  <si>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</si>
  <si>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</si>
  <si>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</si>
  <si>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</si>
  <si>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</si>
  <si>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</si>
  <si>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</si>
  <si>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</si>
  <si>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</si>
  <si>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</si>
  <si>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</si>
  <si>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</si>
  <si>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</si>
  <si>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</si>
  <si>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</si>
  <si>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</si>
  <si>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</si>
  <si>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</si>
  <si>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</si>
  <si>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</si>
  <si>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</si>
  <si>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</si>
  <si>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</si>
  <si>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</si>
  <si>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</si>
  <si>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</si>
  <si>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</si>
  <si>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</si>
  <si>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</si>
  <si>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</si>
  <si>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</si>
  <si>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</si>
  <si>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</si>
  <si>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</si>
  <si>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</si>
  <si>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</si>
  <si>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</si>
  <si>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</si>
  <si>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</si>
  <si>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</si>
  <si>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</si>
  <si>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</si>
  <si>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</si>
  <si>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</si>
  <si>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</si>
  <si>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</si>
  <si>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</si>
  <si>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</si>
  <si>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</si>
  <si>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</si>
  <si>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</si>
  <si>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</si>
  <si>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</si>
  <si>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</si>
  <si>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</si>
  <si>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</si>
  <si>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</si>
  <si>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</si>
  <si>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</si>
  <si>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</si>
  <si>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</si>
  <si>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</si>
  <si>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</si>
  <si>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</si>
  <si>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</si>
  <si>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</si>
  <si>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</si>
  <si>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</si>
  <si>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</si>
  <si>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</si>
  <si>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</si>
  <si>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</si>
  <si>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</si>
  <si>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</si>
  <si>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</si>
  <si>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</si>
  <si>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</si>
  <si>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</si>
  <si>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</si>
  <si>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</si>
  <si>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</si>
  <si>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</si>
  <si>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</si>
  <si>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</si>
  <si>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</si>
  <si>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</si>
  <si>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</si>
  <si>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</si>
  <si>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</si>
  <si>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</si>
  <si>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</si>
  <si>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</si>
  <si>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</si>
  <si>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</si>
  <si>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</si>
  <si>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</si>
  <si>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</si>
  <si>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</si>
  <si>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</si>
  <si>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</si>
  <si>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</si>
  <si>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</si>
  <si>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</si>
  <si>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</si>
  <si>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</si>
  <si>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</si>
  <si>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</si>
  <si>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</si>
  <si>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</si>
  <si>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</si>
  <si>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</si>
  <si>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</si>
  <si>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</si>
  <si>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</si>
  <si>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</si>
  <si>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</si>
  <si>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</si>
  <si>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</si>
  <si>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</si>
  <si>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</si>
  <si>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</si>
  <si>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</si>
  <si>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</si>
  <si>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</si>
  <si>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</si>
  <si>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</si>
  <si>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</si>
  <si>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</si>
  <si>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</si>
  <si>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</si>
  <si>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</si>
  <si>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</si>
  <si>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</si>
  <si>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</si>
  <si>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</si>
  <si>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</si>
  <si>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</si>
  <si>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</si>
  <si>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</si>
  <si>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</si>
  <si>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</si>
  <si>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</si>
  <si>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</si>
  <si>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</si>
  <si>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</si>
  <si>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</si>
  <si>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</si>
  <si>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</si>
  <si>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</si>
  <si>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</si>
  <si>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</si>
  <si>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</si>
  <si>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</si>
  <si>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</si>
  <si>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</si>
  <si>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</si>
  <si>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</si>
  <si>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</si>
  <si>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</si>
  <si>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</si>
  <si>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</si>
  <si>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</si>
  <si>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</si>
  <si>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</si>
  <si>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</si>
  <si>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</si>
  <si>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</si>
  <si>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</si>
  <si>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</si>
  <si>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</si>
  <si>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</si>
  <si>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</si>
  <si>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</si>
  <si>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</si>
  <si>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</si>
  <si>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</si>
  <si>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</si>
  <si>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</si>
  <si>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</si>
  <si>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</si>
  <si>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</si>
  <si>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</si>
  <si>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</si>
  <si>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</si>
  <si>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</si>
  <si>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</si>
  <si>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</si>
  <si>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</si>
  <si>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</si>
  <si>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</si>
  <si>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</si>
  <si>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</si>
  <si>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</si>
  <si>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</si>
  <si>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</si>
  <si>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</si>
  <si>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</si>
  <si>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</si>
  <si>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</si>
  <si>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</si>
  <si>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</si>
  <si>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</si>
  <si>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</si>
  <si>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</si>
  <si>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</si>
  <si>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</si>
  <si>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</si>
  <si>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</si>
  <si>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</si>
  <si>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</si>
  <si>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</si>
  <si>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</si>
  <si>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</si>
  <si>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</si>
  <si>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</si>
  <si>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</si>
  <si>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</si>
  <si>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</si>
  <si>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</si>
  <si>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</si>
  <si>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</si>
  <si>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</si>
  <si>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</si>
  <si>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</si>
  <si>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</si>
  <si>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</si>
  <si>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</si>
  <si>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</si>
  <si>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</si>
  <si>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</si>
  <si>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</si>
  <si>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</si>
  <si>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</si>
  <si>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</si>
  <si>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</si>
  <si>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</si>
  <si>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</si>
  <si>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</si>
  <si>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</si>
  <si>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</si>
  <si>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</si>
  <si>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</si>
  <si>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</si>
  <si>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</si>
  <si>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</si>
  <si>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</si>
  <si>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</si>
  <si>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</si>
  <si>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</si>
  <si>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</si>
  <si>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</si>
  <si>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</si>
  <si>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</si>
  <si>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</si>
  <si>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</si>
  <si>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</si>
  <si>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</si>
  <si>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</si>
  <si>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</si>
  <si>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</si>
  <si>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</si>
  <si>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</si>
  <si>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</si>
  <si>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</si>
  <si>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</si>
  <si>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</si>
  <si>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</si>
  <si>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</si>
  <si>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</si>
  <si>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</si>
  <si>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</si>
  <si>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</si>
  <si>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</si>
  <si>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</si>
  <si>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</si>
  <si>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</si>
  <si>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</si>
  <si>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</si>
  <si>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</si>
  <si>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</si>
  <si>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</si>
  <si>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</si>
  <si>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</si>
  <si>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</si>
  <si>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</si>
  <si>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</si>
  <si>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</si>
  <si>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</si>
  <si>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</si>
  <si>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</si>
  <si>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</si>
  <si>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</si>
  <si>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</si>
  <si>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</si>
  <si>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</si>
  <si>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</si>
  <si>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</si>
  <si>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</si>
  <si>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</si>
  <si>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</si>
  <si>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</si>
  <si>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</si>
  <si>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</si>
  <si>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</si>
  <si>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</si>
  <si>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</si>
  <si>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</si>
  <si>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</si>
  <si>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</si>
  <si>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</si>
  <si>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</si>
  <si>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</si>
  <si>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</si>
  <si>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</si>
  <si>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</si>
  <si>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</si>
  <si>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</si>
  <si>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</si>
  <si>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</si>
  <si>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</si>
  <si>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</si>
  <si>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</si>
  <si>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</si>
  <si>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</si>
  <si>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</si>
  <si>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</si>
  <si>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</si>
  <si>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</si>
  <si>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</si>
  <si>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</si>
  <si>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</si>
  <si>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</si>
  <si>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</si>
  <si>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</si>
  <si>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</si>
  <si>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</si>
  <si>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</si>
  <si>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</si>
  <si>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</si>
  <si>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</si>
  <si>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</si>
  <si>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</si>
  <si>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</si>
  <si>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</si>
  <si>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</si>
  <si>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</si>
  <si>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</si>
  <si>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</si>
  <si>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</si>
  <si>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</si>
  <si>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</si>
  <si>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</si>
  <si>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</si>
  <si>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</si>
  <si>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</si>
  <si>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</si>
  <si>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</si>
  <si>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</si>
  <si>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</si>
  <si>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</si>
  <si>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</si>
  <si>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</si>
  <si>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</si>
  <si>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</si>
  <si>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</si>
  <si>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</si>
  <si>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</si>
  <si>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</si>
  <si>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</si>
  <si>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</si>
  <si>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</si>
  <si>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</si>
  <si>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</si>
  <si>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</si>
  <si>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</si>
  <si>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</si>
  <si>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</si>
  <si>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</si>
  <si>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</si>
  <si>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</si>
  <si>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</si>
  <si>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</si>
  <si>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</si>
  <si>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</si>
  <si>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</si>
  <si>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</si>
  <si>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</si>
  <si>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</si>
  <si>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</si>
  <si>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</si>
  <si>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</si>
  <si>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</si>
  <si>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</si>
  <si>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</si>
  <si>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</si>
  <si>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</si>
  <si>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</si>
  <si>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</si>
  <si>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</si>
  <si>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</si>
  <si>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</si>
  <si>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</si>
  <si>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</si>
  <si>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</si>
  <si>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</si>
  <si>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</si>
  <si>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</si>
  <si>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</si>
  <si>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</si>
  <si>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</si>
  <si>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</si>
  <si>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</si>
  <si>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</si>
  <si>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</si>
  <si>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</si>
  <si>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</si>
  <si>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</si>
  <si>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</si>
  <si>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</si>
  <si>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</si>
  <si>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</si>
  <si>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</si>
  <si>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</si>
  <si>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</si>
  <si>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</si>
  <si>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</si>
  <si>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</si>
  <si>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</si>
  <si>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</si>
  <si>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</si>
  <si>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</si>
  <si>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</si>
  <si>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</si>
  <si>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</si>
  <si>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</si>
  <si>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</si>
  <si>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</si>
  <si>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</si>
  <si>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</si>
  <si>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</si>
  <si>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</si>
  <si>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</si>
  <si>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</si>
  <si>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</si>
  <si>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</si>
  <si>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</si>
  <si>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</si>
  <si>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</si>
  <si>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</si>
  <si>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</si>
  <si>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</si>
  <si>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</si>
  <si>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</si>
  <si>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</si>
  <si>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</si>
  <si>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</si>
  <si>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</si>
  <si>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</si>
  <si>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</si>
  <si>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</si>
  <si>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</si>
  <si>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</si>
  <si>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</si>
  <si>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</si>
  <si>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</si>
  <si>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</si>
  <si>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</si>
  <si>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</si>
  <si>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</si>
  <si>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</si>
  <si>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</si>
  <si>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</si>
  <si>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</si>
  <si>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</si>
  <si>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</si>
  <si>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</si>
  <si>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</si>
  <si>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</si>
  <si>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</si>
  <si>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</si>
  <si>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</si>
  <si>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</si>
  <si>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</si>
  <si>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</si>
  <si>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</si>
  <si>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</si>
  <si>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</si>
  <si>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</si>
  <si>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</si>
  <si>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</si>
  <si>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</si>
  <si>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</si>
  <si>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</si>
  <si>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</si>
  <si>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</si>
  <si>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</si>
  <si>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</si>
  <si>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</si>
  <si>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</si>
  <si>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</si>
  <si>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</si>
  <si>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</si>
  <si>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</si>
  <si>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</si>
  <si>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</si>
  <si>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</si>
  <si>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</si>
  <si>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</si>
  <si>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</si>
  <si>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</si>
  <si>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</si>
  <si>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</si>
  <si>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</si>
  <si>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</si>
  <si>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</si>
  <si>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</si>
  <si>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</si>
  <si>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</si>
  <si>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</si>
  <si>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</si>
  <si>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</si>
  <si>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</si>
  <si>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</si>
  <si>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</si>
  <si>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</si>
  <si>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</si>
  <si>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</si>
  <si>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</si>
  <si>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</si>
  <si>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</si>
  <si>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</si>
  <si>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</si>
  <si>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</si>
  <si>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</si>
  <si>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</si>
  <si>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</si>
  <si>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</si>
  <si>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</si>
  <si>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</si>
  <si>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</si>
  <si>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</si>
  <si>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</si>
  <si>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</si>
  <si>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</si>
  <si>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</si>
  <si>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</si>
  <si>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</si>
  <si>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</si>
  <si>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</si>
  <si>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</si>
  <si>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</si>
  <si>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</si>
  <si>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</si>
  <si>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</si>
  <si>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</si>
  <si>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</si>
  <si>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</si>
  <si>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</si>
  <si>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</si>
  <si>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</si>
  <si>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</si>
  <si>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</si>
  <si>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</si>
  <si>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</si>
  <si>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</si>
  <si>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</si>
  <si>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</si>
  <si>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</si>
  <si>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</si>
  <si>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</si>
  <si>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</si>
  <si>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</si>
  <si>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</si>
  <si>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</si>
  <si>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</si>
  <si>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</si>
  <si>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</si>
  <si>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</si>
  <si>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</si>
  <si>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</si>
  <si>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</si>
  <si>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</si>
  <si>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</si>
  <si>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</si>
  <si>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</si>
  <si>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</si>
  <si>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</si>
  <si>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</si>
  <si>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</si>
  <si>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</si>
  <si>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</si>
  <si>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</si>
  <si>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</si>
  <si>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</si>
  <si>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</si>
  <si>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</si>
  <si>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</si>
  <si>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</si>
  <si>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</si>
  <si>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</si>
  <si>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</si>
  <si>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</si>
  <si>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</si>
  <si>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</si>
  <si>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</si>
  <si>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</si>
  <si>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</si>
  <si>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</si>
  <si>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</si>
  <si>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</si>
  <si>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</si>
  <si>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</si>
  <si>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</si>
  <si>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</si>
  <si>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</si>
  <si>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</si>
  <si>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</si>
  <si>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</si>
  <si>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</si>
  <si>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</si>
  <si>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</si>
  <si>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</si>
  <si>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</si>
  <si>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</si>
  <si>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</si>
  <si>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</si>
  <si>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</si>
  <si>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</si>
  <si>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</si>
  <si>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</si>
  <si>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</si>
  <si>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</si>
  <si>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</si>
  <si>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</si>
  <si>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</si>
  <si>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</si>
  <si>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</si>
  <si>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</si>
  <si>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</si>
  <si>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</si>
  <si>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</si>
  <si>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</si>
  <si>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</si>
  <si>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</si>
  <si>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</si>
  <si>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</si>
  <si>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</si>
  <si>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</si>
  <si>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</si>
  <si>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</si>
  <si>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</si>
  <si>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</si>
  <si>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</si>
  <si>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</si>
  <si>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</si>
  <si>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</si>
  <si>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</si>
  <si>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</si>
  <si>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</si>
  <si>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</si>
  <si>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</si>
  <si>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</si>
  <si>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</si>
  <si>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</si>
  <si>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</si>
  <si>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</si>
  <si>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</si>
  <si>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</si>
  <si>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</si>
  <si>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</si>
  <si>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</si>
  <si>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</si>
  <si>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</si>
  <si>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</si>
  <si>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</si>
  <si>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</si>
  <si>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</si>
  <si>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</si>
  <si>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</si>
  <si>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</si>
  <si>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</si>
  <si>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</si>
  <si>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</si>
  <si>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</si>
  <si>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</si>
  <si>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</si>
  <si>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</si>
  <si>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</si>
  <si>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</si>
  <si>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</si>
  <si>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</si>
  <si>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</si>
  <si>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</si>
  <si>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</si>
  <si>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</si>
  <si>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</si>
  <si>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</si>
  <si>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</si>
  <si>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</si>
  <si>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</si>
  <si>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</si>
  <si>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</si>
  <si>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</si>
  <si>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</si>
  <si>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</si>
  <si>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</si>
  <si>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</si>
  <si>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</si>
  <si>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</si>
  <si>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</si>
  <si>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</si>
  <si>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</si>
  <si>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</si>
  <si>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</si>
  <si>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</si>
  <si>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</si>
  <si>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</si>
  <si>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</si>
  <si>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</si>
  <si>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</si>
  <si>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</si>
  <si>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</si>
  <si>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</si>
  <si>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</si>
  <si>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</si>
  <si>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</si>
  <si>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</si>
  <si>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</si>
  <si>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</si>
  <si>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</si>
  <si>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</si>
  <si>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</si>
  <si>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</si>
  <si>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</si>
  <si>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</si>
  <si>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</si>
  <si>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</si>
  <si>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</si>
  <si>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</si>
  <si>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</si>
  <si>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</si>
  <si>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</si>
  <si>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</si>
  <si>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</si>
  <si>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</si>
  <si>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</si>
  <si>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</si>
  <si>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</si>
  <si>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</si>
  <si>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</si>
  <si>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</si>
  <si>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</si>
  <si>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</si>
  <si>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</si>
  <si>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</si>
  <si>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</si>
  <si>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</si>
  <si>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</si>
  <si>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</si>
  <si>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</si>
  <si>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</si>
  <si>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</si>
  <si>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</si>
  <si>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</si>
  <si>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</si>
  <si>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</si>
  <si>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</si>
  <si>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</si>
  <si>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</si>
  <si>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</si>
  <si>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</si>
  <si>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</si>
  <si>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</si>
  <si>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</si>
  <si>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</si>
  <si>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</si>
  <si>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</si>
  <si>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</si>
  <si>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</si>
  <si>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</si>
  <si>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</si>
  <si>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</si>
  <si>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</si>
  <si>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</si>
  <si>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</si>
  <si>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</si>
  <si>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</si>
  <si>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</si>
  <si>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</si>
  <si>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</si>
  <si>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</si>
  <si>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</si>
  <si>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</si>
  <si>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</si>
  <si>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</si>
  <si>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</si>
  <si>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</si>
  <si>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</si>
  <si>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</si>
  <si>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</si>
  <si>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</si>
  <si>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</si>
  <si>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</si>
  <si>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</si>
  <si>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</si>
  <si>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</si>
  <si>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</si>
  <si>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</si>
  <si>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</si>
  <si>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</si>
  <si>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</si>
  <si>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</si>
  <si>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</si>
  <si>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</si>
  <si>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</si>
  <si>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</si>
  <si>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</si>
  <si>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</si>
  <si>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</si>
  <si>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</si>
  <si>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</si>
  <si>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</si>
  <si>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</si>
  <si>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</si>
  <si>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</si>
  <si>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</si>
  <si>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</si>
  <si>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</si>
  <si>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</si>
  <si>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</si>
  <si>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</si>
  <si>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</si>
  <si>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</si>
  <si>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</si>
  <si>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</si>
  <si>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</si>
  <si>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</si>
  <si>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</si>
  <si>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</si>
  <si>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</si>
  <si>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</si>
  <si>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</si>
  <si>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</si>
  <si>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</si>
  <si>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</si>
  <si>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</si>
  <si>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</si>
  <si>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</si>
  <si>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</si>
  <si>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</si>
  <si>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</si>
  <si>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</si>
  <si>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</si>
  <si>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</si>
  <si>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</si>
  <si>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</si>
  <si>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</si>
  <si>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</si>
  <si>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</si>
  <si>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</si>
  <si>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</si>
  <si>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</si>
  <si>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</si>
  <si>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</si>
  <si>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</si>
  <si>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</si>
  <si>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</si>
  <si>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</si>
  <si>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</si>
  <si>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</si>
  <si>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</si>
  <si>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</si>
  <si>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</si>
  <si>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</si>
  <si>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</si>
  <si>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</si>
  <si>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</si>
  <si>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</si>
  <si>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</si>
  <si>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</si>
  <si>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</si>
  <si>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</si>
  <si>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</si>
  <si>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</si>
  <si>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</si>
  <si>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</si>
  <si>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</si>
  <si>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</si>
  <si>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</si>
  <si>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</si>
  <si>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</si>
  <si>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</si>
  <si>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</si>
  <si>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</si>
  <si>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</si>
  <si>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</si>
  <si>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</si>
  <si>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</si>
  <si>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</si>
  <si>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</si>
  <si>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</si>
  <si>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</si>
  <si>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</si>
  <si>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</si>
  <si>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</si>
  <si>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</si>
  <si>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</si>
  <si>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</si>
  <si>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</si>
  <si>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</si>
  <si>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</si>
  <si>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</si>
  <si>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</si>
  <si>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</si>
  <si>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</si>
  <si>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</si>
  <si>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</si>
  <si>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</si>
  <si>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</si>
  <si>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</si>
  <si>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</si>
  <si>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</si>
  <si>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</si>
  <si>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</si>
  <si>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</si>
  <si>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</si>
  <si>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</si>
  <si>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</si>
  <si>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</si>
  <si>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</si>
  <si>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</si>
  <si>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</si>
  <si>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</si>
  <si>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</si>
  <si>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</si>
  <si>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</si>
  <si>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</si>
  <si>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</si>
  <si>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</si>
  <si>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</si>
  <si>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</si>
  <si>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</si>
  <si>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</si>
  <si>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</si>
  <si>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</si>
  <si>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</si>
  <si>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</si>
  <si>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</si>
  <si>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</si>
  <si>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</si>
  <si>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</si>
  <si>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</si>
  <si>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</si>
  <si>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</si>
  <si>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</si>
  <si>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</si>
  <si>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</si>
  <si>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</si>
  <si>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</si>
  <si>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</si>
  <si>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</si>
  <si>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</si>
  <si>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</si>
  <si>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</si>
  <si>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</si>
  <si>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</si>
  <si>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</si>
  <si>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</si>
  <si>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</si>
  <si>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</si>
  <si>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</si>
  <si>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</si>
  <si>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</si>
  <si>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</si>
  <si>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</si>
  <si>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</si>
  <si>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</si>
  <si>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</si>
  <si>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</si>
  <si>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</si>
  <si>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</si>
  <si>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</si>
  <si>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</si>
  <si>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</si>
  <si>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</si>
  <si>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</si>
  <si>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</si>
  <si>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</si>
  <si>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</si>
  <si>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</si>
  <si>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</si>
  <si>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</si>
  <si>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</si>
  <si>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</si>
  <si>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</si>
  <si>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</si>
  <si>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</si>
  <si>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</si>
  <si>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</si>
  <si>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</si>
  <si>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</si>
  <si>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</si>
  <si>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</si>
  <si>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</si>
  <si>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</si>
  <si>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</si>
  <si>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</si>
  <si>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</si>
  <si>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</si>
  <si>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</si>
  <si>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</si>
  <si>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</si>
  <si>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</si>
  <si>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</si>
  <si>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</si>
  <si>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</si>
  <si>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</si>
  <si>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</si>
  <si>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</si>
  <si>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</si>
  <si>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</si>
  <si>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</si>
  <si>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</si>
  <si>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</si>
  <si>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</si>
  <si>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</si>
  <si>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</si>
  <si>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</si>
  <si>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</si>
  <si>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</si>
  <si>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</si>
  <si>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</si>
  <si>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</si>
  <si>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</si>
  <si>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</si>
  <si>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</si>
  <si>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</si>
  <si>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</si>
  <si>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</si>
  <si>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</si>
  <si>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</si>
  <si>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</si>
  <si>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</si>
  <si>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</si>
  <si>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</si>
  <si>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</si>
  <si>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</si>
  <si>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</si>
  <si>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</si>
  <si>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</si>
  <si>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</si>
  <si>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</si>
  <si>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</si>
  <si>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</si>
  <si>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</si>
  <si>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</si>
  <si>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</si>
  <si>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</si>
  <si>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</si>
  <si>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</si>
  <si>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</si>
  <si>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</si>
  <si>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</si>
  <si>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</si>
  <si>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</si>
  <si>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</si>
  <si>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</si>
  <si>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</si>
  <si>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</si>
  <si>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</si>
  <si>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</si>
  <si>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</si>
  <si>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</si>
  <si>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</si>
  <si>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</si>
  <si>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</si>
  <si>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</si>
  <si>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</si>
  <si>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</si>
  <si>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</si>
  <si>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</si>
  <si>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</si>
  <si>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</si>
  <si>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</si>
  <si>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</si>
  <si>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</si>
  <si>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</si>
  <si>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</si>
  <si>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</si>
  <si>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</si>
  <si>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</si>
  <si>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</si>
  <si>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</si>
  <si>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</si>
  <si>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</si>
  <si>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</si>
  <si>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</si>
  <si>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</si>
  <si>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</si>
  <si>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</si>
  <si>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</si>
  <si>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</si>
  <si>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</si>
  <si>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</si>
  <si>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</si>
  <si>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</si>
  <si>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</si>
  <si>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</si>
  <si>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</si>
  <si>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</si>
  <si>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</si>
  <si>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</si>
  <si>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</si>
  <si>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</si>
  <si>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</si>
  <si>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</si>
  <si>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</si>
  <si>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</si>
  <si>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</si>
  <si>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</si>
  <si>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</si>
  <si>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</si>
  <si>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</si>
  <si>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</si>
  <si>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</si>
  <si>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</si>
  <si>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</si>
  <si>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</si>
  <si>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</si>
  <si>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</si>
  <si>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</si>
  <si>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</si>
  <si>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</si>
  <si>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</si>
  <si>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</si>
  <si>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</si>
  <si>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</si>
  <si>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</si>
  <si>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</si>
  <si>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</si>
  <si>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</si>
  <si>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</si>
  <si>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</si>
  <si>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</si>
  <si>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</si>
  <si>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</si>
  <si>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</si>
  <si>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</si>
  <si>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</si>
  <si>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</si>
  <si>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</si>
  <si>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</si>
  <si>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</si>
  <si>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</si>
  <si>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</si>
  <si>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</si>
  <si>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</si>
  <si>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</si>
  <si>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</si>
  <si>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</si>
  <si>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</si>
  <si>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</si>
  <si>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</si>
  <si>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</si>
  <si>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</si>
  <si>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</si>
  <si>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</si>
  <si>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</si>
  <si>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</si>
  <si>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</si>
  <si>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</si>
  <si>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</si>
  <si>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</si>
  <si>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</si>
  <si>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</si>
  <si>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</si>
  <si>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</si>
  <si>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</si>
  <si>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</si>
  <si>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</si>
  <si>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</si>
  <si>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</si>
  <si>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</si>
  <si>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</si>
  <si>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</si>
  <si>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</si>
  <si>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</si>
  <si>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</si>
  <si>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</si>
  <si>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</si>
  <si>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</si>
  <si>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</si>
  <si>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</si>
  <si>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</si>
  <si>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</si>
  <si>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</si>
  <si>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</si>
  <si>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</si>
  <si>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</si>
  <si>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</si>
  <si>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</si>
  <si>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</si>
  <si>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</si>
  <si>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</si>
  <si>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</si>
  <si>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</si>
  <si>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</si>
  <si>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</si>
  <si>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</si>
  <si>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</si>
  <si>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</si>
  <si>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</si>
  <si>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</si>
  <si>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</si>
  <si>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</si>
  <si>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</si>
  <si>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</si>
  <si>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</si>
  <si>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</si>
  <si>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</si>
  <si>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</si>
  <si>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</si>
  <si>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</si>
  <si>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</si>
  <si>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</si>
  <si>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</si>
  <si>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</si>
  <si>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</si>
  <si>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</si>
  <si>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</si>
  <si>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</si>
  <si>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</si>
  <si>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</si>
  <si>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</si>
  <si>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</si>
  <si>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</si>
  <si>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</si>
  <si>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</si>
  <si>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</si>
  <si>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</si>
  <si>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</si>
  <si>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</si>
  <si>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</si>
  <si>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</si>
  <si>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</si>
  <si>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</si>
  <si>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</si>
  <si>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</si>
  <si>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</si>
  <si>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</si>
  <si>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</si>
  <si>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</si>
  <si>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</si>
  <si>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</si>
  <si>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</si>
  <si>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</si>
  <si>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</si>
  <si>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</si>
  <si>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</si>
  <si>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</si>
  <si>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</si>
  <si>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</si>
  <si>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</si>
  <si>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</si>
  <si>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</si>
  <si>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</si>
  <si>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</si>
  <si>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</si>
  <si>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</si>
  <si>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</si>
  <si>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</si>
  <si>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</si>
  <si>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</si>
  <si>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</si>
  <si>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</si>
  <si>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</si>
  <si>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</si>
  <si>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</si>
  <si>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</si>
  <si>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</si>
  <si>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</si>
  <si>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</si>
  <si>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</si>
  <si>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</si>
  <si>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</si>
  <si>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</si>
  <si>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</si>
  <si>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</si>
  <si>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</si>
  <si>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</si>
  <si>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</si>
  <si>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</si>
  <si>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</si>
  <si>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</si>
  <si>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</si>
  <si>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</si>
  <si>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</si>
  <si>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</si>
  <si>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</si>
  <si>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</si>
  <si>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</si>
  <si>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</si>
  <si>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</si>
  <si>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</si>
  <si>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</si>
  <si>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</si>
  <si>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</si>
  <si>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</si>
  <si>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</si>
  <si>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</si>
  <si>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</si>
  <si>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</si>
  <si>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</si>
  <si>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</si>
  <si>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</si>
  <si>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</si>
  <si>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</si>
  <si>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</si>
  <si>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</si>
  <si>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</si>
  <si>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</si>
  <si>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</si>
  <si>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</si>
  <si>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</si>
  <si>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</si>
  <si>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</si>
  <si>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</si>
  <si>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</si>
  <si>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</si>
  <si>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</si>
  <si>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</si>
  <si>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</si>
  <si>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</si>
  <si>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</si>
  <si>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</si>
  <si>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</si>
  <si>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</si>
  <si>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</si>
  <si>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</si>
  <si>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</si>
  <si>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</si>
  <si>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</si>
  <si>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</si>
  <si>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</si>
  <si>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</si>
  <si>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</si>
  <si>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</si>
  <si>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</si>
  <si>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</si>
  <si>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</si>
  <si>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</si>
  <si>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</si>
  <si>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</si>
  <si>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</si>
  <si>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</si>
  <si>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</si>
  <si>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</si>
  <si>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</si>
  <si>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</si>
  <si>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</si>
  <si>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</si>
  <si>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</si>
  <si>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</si>
  <si>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</si>
  <si>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</si>
  <si>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</si>
  <si>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</si>
  <si>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</si>
  <si>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</si>
  <si>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</si>
  <si>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</si>
  <si>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</si>
  <si>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</si>
  <si>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</si>
  <si>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</si>
  <si>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</si>
  <si>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</si>
  <si>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</si>
  <si>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Ⅶ-通1</t>
  </si>
  <si>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</si>
  <si>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</si>
  <si>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</si>
  <si>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</si>
  <si>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</si>
  <si>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</si>
  <si>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</si>
  <si>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</si>
  <si>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</si>
  <si>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</si>
  <si>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</si>
  <si>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</si>
  <si>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</si>
  <si>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</si>
  <si>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</si>
  <si>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</si>
  <si>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</si>
  <si>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</si>
  <si>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</si>
  <si>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</si>
  <si>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</si>
  <si>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</si>
  <si>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</si>
  <si>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</si>
  <si>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宿舍楼</t>
    <phoneticPr fontId="134" type="noConversion"/>
  </si>
  <si>
    <t>11#</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</si>
  <si>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</si>
  <si>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</si>
  <si>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</si>
  <si>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</si>
  <si>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</si>
  <si>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</si>
  <si>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</si>
  <si>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</si>
  <si>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</si>
  <si>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</si>
  <si>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</si>
  <si>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</si>
  <si>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</si>
  <si>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</si>
  <si>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</si>
  <si>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</si>
  <si>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</si>
  <si>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机房楼</t>
    <phoneticPr fontId="134" type="noConversion"/>
  </si>
  <si>
    <t>非机房楼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</si>
  <si>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</si>
  <si>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</si>
  <si>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</si>
  <si>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</si>
  <si>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</si>
  <si>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</si>
  <si>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</si>
  <si>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</si>
  <si>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</si>
  <si>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</si>
  <si>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</si>
  <si>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3#</t>
  </si>
  <si>
    <t>7#</t>
  </si>
  <si>
    <t>11#</t>
  </si>
  <si>
    <t>12#</t>
  </si>
  <si>
    <t>13#</t>
  </si>
  <si>
    <t>14#</t>
  </si>
  <si>
    <t>17#</t>
  </si>
  <si>
    <t>现房</t>
  </si>
  <si>
    <t>1#</t>
  </si>
  <si>
    <t>2#</t>
  </si>
  <si>
    <t>4#</t>
  </si>
  <si>
    <t>5#</t>
  </si>
  <si>
    <t>6#</t>
  </si>
  <si>
    <t>已售</t>
    <phoneticPr fontId="3" type="noConversion"/>
  </si>
  <si>
    <t>8#</t>
  </si>
  <si>
    <t>9#</t>
  </si>
  <si>
    <t>10#</t>
  </si>
  <si>
    <t>15#</t>
  </si>
  <si>
    <t>16#</t>
  </si>
  <si>
    <t>18#</t>
  </si>
  <si>
    <t>地下车库</t>
  </si>
  <si>
    <t>是</t>
  </si>
  <si>
    <t>否</t>
  </si>
  <si>
    <t>地上</t>
  </si>
  <si>
    <t>地下</t>
  </si>
  <si>
    <t>科研用房</t>
  </si>
  <si>
    <t>科研用房</t>
    <phoneticPr fontId="7" type="noConversion"/>
  </si>
  <si>
    <t>成新度</t>
  </si>
  <si>
    <t>收益法</t>
  </si>
  <si>
    <t>押一</t>
  </si>
  <si>
    <t>钢混</t>
  </si>
  <si>
    <t>非生产用房</t>
  </si>
  <si>
    <t>宗地容积率</t>
  </si>
  <si>
    <t>通路</t>
  </si>
  <si>
    <t>通电</t>
  </si>
  <si>
    <t>通讯</t>
  </si>
  <si>
    <t>通上水</t>
  </si>
  <si>
    <t>通下水</t>
  </si>
  <si>
    <t>平整</t>
  </si>
  <si>
    <t>与级别开发程度不一致</t>
  </si>
  <si>
    <t>按公示增长率计算</t>
  </si>
  <si>
    <t>中心城区以外</t>
  </si>
  <si>
    <t>一般</t>
  </si>
  <si>
    <t>较好</t>
  </si>
  <si>
    <t>较差</t>
  </si>
  <si>
    <t>未包含在土地购买价格中</t>
  </si>
  <si>
    <t>全部缴纳</t>
  </si>
  <si>
    <t>已包含在土地取得成本中</t>
  </si>
  <si>
    <t>成本法</t>
  </si>
  <si>
    <t>总价</t>
  </si>
  <si>
    <t>成本比率</t>
  </si>
  <si>
    <t>2023年估值</t>
    <phoneticPr fontId="134" type="noConversion"/>
  </si>
  <si>
    <t>2022年估值</t>
    <phoneticPr fontId="134" type="noConversion"/>
  </si>
  <si>
    <t>2024年估值</t>
    <phoneticPr fontId="134" type="noConversion"/>
  </si>
  <si>
    <t>北京市</t>
  </si>
  <si>
    <t>企业</t>
  </si>
  <si>
    <t>汇天网络科技有限公司</t>
    <phoneticPr fontId="6" type="noConversion"/>
  </si>
  <si>
    <r>
      <rPr>
        <sz val="10"/>
        <color theme="9" tint="-0.249977111117893"/>
        <rFont val="宋体"/>
        <family val="3"/>
        <charset val="134"/>
      </rPr>
      <t>通州区尹各庄甲</t>
    </r>
    <r>
      <rPr>
        <sz val="10"/>
        <color theme="9" tint="-0.249977111117893"/>
        <rFont val="Arial"/>
        <family val="2"/>
      </rPr>
      <t>1</t>
    </r>
    <r>
      <rPr>
        <sz val="10"/>
        <color theme="9" tint="-0.249977111117893"/>
        <rFont val="宋体"/>
        <family val="3"/>
        <charset val="134"/>
      </rPr>
      <t>号</t>
    </r>
    <phoneticPr fontId="6" type="noConversion"/>
  </si>
  <si>
    <t>现房</t>
    <phoneticPr fontId="3" type="noConversion"/>
  </si>
  <si>
    <t>设备用房</t>
    <phoneticPr fontId="134" type="noConversion"/>
  </si>
  <si>
    <r>
      <t>2</t>
    </r>
    <r>
      <rPr>
        <sz val="11"/>
        <color theme="1"/>
        <rFont val="宋体"/>
        <family val="3"/>
        <charset val="134"/>
        <scheme val="minor"/>
      </rPr>
      <t>025年预计收入10.6亿</t>
    </r>
    <phoneticPr fontId="134" type="noConversion"/>
  </si>
  <si>
    <t>合计</t>
    <phoneticPr fontId="134" type="noConversion"/>
  </si>
  <si>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</si>
  <si>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</si>
  <si>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</si>
  <si>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</si>
  <si>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</si>
  <si>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</si>
  <si>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</si>
  <si>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</si>
  <si>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</si>
  <si>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</si>
  <si>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</si>
  <si>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</si>
  <si>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</si>
  <si>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</si>
  <si>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</si>
  <si>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</si>
  <si>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</si>
  <si>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</si>
  <si>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</si>
  <si>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</si>
  <si>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</si>
  <si>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</si>
  <si>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</si>
  <si>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</si>
  <si>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</si>
  <si>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</si>
  <si>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</si>
  <si>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</si>
  <si>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</si>
  <si>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</si>
  <si>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</si>
  <si>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</si>
  <si>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</si>
  <si>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</si>
  <si>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</si>
  <si>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</si>
  <si>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</si>
  <si>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</si>
  <si>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</si>
  <si>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</si>
  <si>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</si>
  <si>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</si>
  <si>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</si>
  <si>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</si>
  <si>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</si>
  <si>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</si>
  <si>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</si>
  <si>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</si>
  <si>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</si>
  <si>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</si>
  <si>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</si>
  <si>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</si>
  <si>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</si>
  <si>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</si>
  <si>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</si>
  <si>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</si>
  <si>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</si>
  <si>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单价</t>
    <phoneticPr fontId="134" type="noConversion"/>
  </si>
  <si>
    <t>总价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</si>
  <si>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</si>
  <si>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</si>
  <si>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</si>
  <si>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</si>
  <si>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</si>
  <si>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t>中行抵押</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</si>
  <si>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</si>
  <si>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t>2</t>
    </r>
    <r>
      <rPr>
        <sz val="11"/>
        <color theme="1"/>
        <rFont val="宋体"/>
        <family val="3"/>
        <charset val="134"/>
        <scheme val="minor"/>
      </rPr>
      <t>022年</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</si>
  <si>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</si>
  <si>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t>2</t>
    </r>
    <r>
      <rPr>
        <sz val="11"/>
        <color theme="1"/>
        <rFont val="宋体"/>
        <family val="3"/>
        <charset val="134"/>
        <scheme val="minor"/>
      </rPr>
      <t>023年</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</si>
  <si>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</si>
  <si>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</si>
  <si>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</si>
  <si>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</si>
  <si>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</si>
  <si>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r>
      <t>2</t>
    </r>
    <r>
      <rPr>
        <sz val="11"/>
        <color theme="1"/>
        <rFont val="宋体"/>
        <family val="3"/>
        <charset val="134"/>
        <scheme val="minor"/>
      </rPr>
      <t>024年</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</si>
  <si>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0012391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</si>
  <si>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0012389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</si>
  <si>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0012390</t>
    </r>
    <r>
      <rPr>
        <sz val="9"/>
        <color rgb="FF000000"/>
        <rFont val="宋体"/>
        <family val="3"/>
        <charset val="134"/>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</si>
</sst>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1"/>
      <color rgb="FFFF0000"/>
      <name val="宋体"/>
      <family val="3"/>
      <charset val="134"/>
      <scheme val="minor"/>
    </font>
    <font>
      <sz val="11"/>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2" fillId="0" borderId="0" applyFont="0" applyFill="0" applyBorder="0" applyAlignment="0" applyProtection="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0" fillId="0" borderId="0" xfId="0" applyAlignment="1">
      <alignment horizontal="center" vertical="center"/>
    </xf>
    <xf numFmtId="0" fontId="95" fillId="5" borderId="0" xfId="0" applyFont="1" applyFill="1" applyAlignment="1">
      <alignment horizontal="center" vertical="center"/>
    </xf>
    <xf numFmtId="0" fontId="274"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273"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44" fillId="16" borderId="2" xfId="0" applyFont="1" applyFill="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6" borderId="2" xfId="0" applyFont="1" applyFill="1" applyBorder="1" applyAlignment="1" applyProtection="1">
      <alignment horizontal="center" vertical="center" wrapText="1"/>
      <protection locked="0"/>
    </xf>
    <xf numFmtId="43" fontId="0" fillId="0" borderId="0" xfId="0" applyNumberFormat="1" applyAlignment="1"/>
    <xf numFmtId="43" fontId="0" fillId="0" borderId="0" xfId="19" applyFont="1" applyBorder="1" applyAlignment="1"/>
    <xf numFmtId="43" fontId="0" fillId="0" borderId="0" xfId="0" applyNumberFormat="1">
      <alignment vertical="center"/>
    </xf>
    <xf numFmtId="181" fontId="44" fillId="16" borderId="1" xfId="0" applyNumberFormat="1" applyFont="1" applyFill="1" applyBorder="1" applyProtection="1">
      <alignment vertical="center"/>
      <protection locked="0"/>
    </xf>
    <xf numFmtId="0" fontId="275" fillId="0" borderId="179" xfId="0" applyFont="1" applyBorder="1" applyAlignment="1">
      <alignment vertical="center" wrapText="1"/>
    </xf>
    <xf numFmtId="0" fontId="275" fillId="0" borderId="181" xfId="0" applyFont="1" applyBorder="1" applyAlignment="1">
      <alignment vertical="center" wrapText="1"/>
    </xf>
    <xf numFmtId="0" fontId="266" fillId="0" borderId="180" xfId="0" applyFont="1" applyBorder="1" applyAlignment="1">
      <alignment vertical="center" wrapText="1"/>
    </xf>
    <xf numFmtId="0" fontId="266" fillId="0" borderId="181" xfId="0" applyFont="1" applyBorder="1" applyAlignment="1">
      <alignment vertical="center" wrapText="1"/>
    </xf>
    <xf numFmtId="0" fontId="264" fillId="0" borderId="180"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95" fillId="7" borderId="0" xfId="0" applyFont="1" applyFill="1">
      <alignment vertical="center"/>
    </xf>
    <xf numFmtId="0" fontId="276" fillId="0" borderId="189" xfId="0" applyFont="1" applyBorder="1" applyAlignment="1">
      <alignment vertical="center" wrapText="1"/>
    </xf>
    <xf numFmtId="0" fontId="276" fillId="0" borderId="190" xfId="0" applyFont="1" applyBorder="1" applyAlignment="1">
      <alignment vertical="center" wrapText="1"/>
    </xf>
    <xf numFmtId="0" fontId="276" fillId="0" borderId="43" xfId="0" applyFont="1" applyBorder="1" applyAlignment="1">
      <alignment vertical="center" wrapText="1"/>
    </xf>
    <xf numFmtId="0" fontId="266" fillId="16" borderId="180" xfId="0" applyFont="1" applyFill="1" applyBorder="1" applyAlignment="1">
      <alignment vertical="center" wrapText="1"/>
    </xf>
    <xf numFmtId="0" fontId="273" fillId="0" borderId="0" xfId="0" applyFont="1">
      <alignment vertical="center"/>
    </xf>
    <xf numFmtId="0" fontId="266" fillId="0" borderId="27" xfId="0" applyFont="1" applyBorder="1" applyAlignment="1">
      <alignment vertical="center" wrapText="1"/>
    </xf>
    <xf numFmtId="0" fontId="266" fillId="0" borderId="82" xfId="0" applyFont="1" applyBorder="1" applyAlignment="1">
      <alignment vertical="center" wrapText="1"/>
    </xf>
    <xf numFmtId="0" fontId="266" fillId="0" borderId="182" xfId="0" applyFont="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275" fillId="0" borderId="176" xfId="0" applyFont="1" applyBorder="1" applyAlignment="1">
      <alignment vertical="center" wrapText="1"/>
    </xf>
    <xf numFmtId="0" fontId="275" fillId="0" borderId="180" xfId="0" applyFont="1" applyBorder="1" applyAlignment="1">
      <alignment vertical="center" wrapText="1"/>
    </xf>
    <xf numFmtId="0" fontId="275" fillId="0" borderId="177" xfId="0" applyFont="1" applyBorder="1" applyAlignment="1">
      <alignment vertical="center" wrapText="1"/>
    </xf>
    <xf numFmtId="0" fontId="275" fillId="0" borderId="178" xfId="0" applyFont="1" applyBorder="1" applyAlignment="1">
      <alignment vertical="center" wrapText="1"/>
    </xf>
    <xf numFmtId="0" fontId="275" fillId="0" borderId="179" xfId="0" applyFont="1" applyBorder="1" applyAlignment="1">
      <alignment vertical="center" wrapText="1"/>
    </xf>
    <xf numFmtId="0" fontId="266" fillId="0" borderId="176" xfId="0" applyFont="1" applyBorder="1" applyAlignment="1">
      <alignment vertical="center" wrapText="1"/>
    </xf>
    <xf numFmtId="0" fontId="266" fillId="0" borderId="182" xfId="0" applyFont="1" applyBorder="1" applyAlignment="1">
      <alignment vertical="center" wrapText="1"/>
    </xf>
    <xf numFmtId="0" fontId="266" fillId="0" borderId="180" xfId="0" applyFont="1" applyBorder="1" applyAlignment="1">
      <alignment vertical="center" wrapText="1"/>
    </xf>
    <xf numFmtId="0" fontId="264" fillId="0" borderId="176" xfId="0" applyFont="1" applyBorder="1" applyAlignment="1">
      <alignment vertical="center" wrapText="1"/>
    </xf>
    <xf numFmtId="0" fontId="264" fillId="0" borderId="182" xfId="0" applyFont="1" applyBorder="1" applyAlignment="1">
      <alignment vertical="center" wrapText="1"/>
    </xf>
    <xf numFmtId="0" fontId="264" fillId="0" borderId="180" xfId="0" applyFont="1" applyBorder="1" applyAlignment="1">
      <alignment vertical="center" wrapText="1"/>
    </xf>
    <xf numFmtId="0" fontId="276" fillId="0" borderId="27" xfId="0" applyFont="1" applyBorder="1" applyAlignment="1">
      <alignment vertical="center" wrapText="1"/>
    </xf>
    <xf numFmtId="0" fontId="0" fillId="0" borderId="81" xfId="0" applyBorder="1">
      <alignment vertical="center"/>
    </xf>
    <xf numFmtId="0" fontId="275" fillId="0" borderId="183" xfId="0" applyFont="1" applyBorder="1" applyAlignment="1">
      <alignment vertical="center" wrapText="1"/>
    </xf>
    <xf numFmtId="0" fontId="275" fillId="0" borderId="188" xfId="0" applyFont="1" applyBorder="1" applyAlignment="1">
      <alignment vertical="center" wrapText="1"/>
    </xf>
    <xf numFmtId="0" fontId="276" fillId="0" borderId="184" xfId="0" applyFont="1" applyBorder="1" applyAlignment="1">
      <alignment vertical="center" wrapText="1"/>
    </xf>
    <xf numFmtId="0" fontId="0" fillId="0" borderId="185" xfId="0" applyBorder="1" applyAlignment="1">
      <alignment vertical="center" wrapText="1"/>
    </xf>
    <xf numFmtId="0" fontId="276" fillId="0" borderId="186" xfId="0" applyFont="1" applyBorder="1" applyAlignment="1">
      <alignment vertical="center" wrapText="1"/>
    </xf>
    <xf numFmtId="0" fontId="0" fillId="0" borderId="187" xfId="0" applyBorder="1" applyAlignment="1">
      <alignmen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8</xdr:col>
      <xdr:colOff>539854</xdr:colOff>
      <xdr:row>58</xdr:row>
      <xdr:rowOff>104775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19250" y="6515100"/>
          <a:ext cx="5226154" cy="3533775"/>
        </a:xfrm>
        <a:prstGeom prst="rect">
          <a:avLst/>
        </a:prstGeom>
      </xdr:spPr>
    </xdr:pic>
    <xdr:clientData/>
  </xdr:twoCellAnchor>
  <xdr:twoCellAnchor editAs="oneCell">
    <xdr:from>
      <xdr:col>9</xdr:col>
      <xdr:colOff>0</xdr:colOff>
      <xdr:row>38</xdr:row>
      <xdr:rowOff>0</xdr:rowOff>
    </xdr:from>
    <xdr:to>
      <xdr:col>15</xdr:col>
      <xdr:colOff>580424</xdr:colOff>
      <xdr:row>43</xdr:row>
      <xdr:rowOff>28464</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7200900" y="6515100"/>
          <a:ext cx="4809524" cy="885714"/>
        </a:xfrm>
        <a:prstGeom prst="rect">
          <a:avLst/>
        </a:prstGeom>
      </xdr:spPr>
    </xdr:pic>
    <xdr:clientData/>
  </xdr:twoCellAnchor>
  <xdr:twoCellAnchor editAs="oneCell">
    <xdr:from>
      <xdr:col>2</xdr:col>
      <xdr:colOff>0</xdr:colOff>
      <xdr:row>59</xdr:row>
      <xdr:rowOff>0</xdr:rowOff>
    </xdr:from>
    <xdr:to>
      <xdr:col>5</xdr:col>
      <xdr:colOff>723552</xdr:colOff>
      <xdr:row>63</xdr:row>
      <xdr:rowOff>114200</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619250" y="10115550"/>
          <a:ext cx="2780952" cy="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12</xdr:col>
      <xdr:colOff>571501</xdr:colOff>
      <xdr:row>24</xdr:row>
      <xdr:rowOff>160531</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685801" y="171450"/>
          <a:ext cx="8115300" cy="4103881"/>
        </a:xfrm>
        <a:prstGeom prst="rect">
          <a:avLst/>
        </a:prstGeom>
      </xdr:spPr>
    </xdr:pic>
    <xdr:clientData/>
  </xdr:twoCellAnchor>
  <xdr:twoCellAnchor editAs="oneCell">
    <xdr:from>
      <xdr:col>1</xdr:col>
      <xdr:colOff>0</xdr:colOff>
      <xdr:row>25</xdr:row>
      <xdr:rowOff>0</xdr:rowOff>
    </xdr:from>
    <xdr:to>
      <xdr:col>11</xdr:col>
      <xdr:colOff>94381</xdr:colOff>
      <xdr:row>49</xdr:row>
      <xdr:rowOff>9009</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685800" y="4286250"/>
          <a:ext cx="6952381" cy="4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北京市通州区尹各庄甲1号房地产抵押价值预评估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受贵公司委托，我公司对北京市通州区尹各庄甲1号房地产抵押价值进行了预评估。</v>
      </c>
    </row>
    <row r="7" spans="1:2">
      <c r="A7" s="1119" t="s">
        <v>566</v>
      </c>
      <c r="B7" s="1120" t="str">
        <f>'预评函-1'!A7</f>
        <v>估价对象为北京市通州区尹各庄甲1号房地产，为汇天网络科技有限公司所有。根据《国有土地使用证》[]，估价对象（分摊）出让国有建设用地使用权面积为116233.68平方米，建筑面积为351565.27平方米。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尹各庄甲1号房地产,属汇天网络科技有限公司开发建设的，该项目尚在开发建设中。根据《国有土地使用证》[]，估价对象（分摊）出让国有建设用地使用权面积为116233.68平方米，规划建筑面积为351565.27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2025年12月2日（评估专业人员实地查勘之日）</v>
      </c>
    </row>
    <row r="13" spans="1:2">
      <c r="A13" s="1119" t="s">
        <v>529</v>
      </c>
      <c r="B13" s="1120"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773228</v>
      </c>
    </row>
    <row r="21" spans="1:2">
      <c r="A21" s="1119" t="s">
        <v>537</v>
      </c>
      <c r="B21" s="1120">
        <f ca="1">'预评函-2'!D7</f>
        <v>21994</v>
      </c>
    </row>
    <row r="22" spans="1:2">
      <c r="A22" s="1119" t="s">
        <v>538</v>
      </c>
      <c r="B22" s="1120" t="str">
        <f ca="1">'预评函-2'!D6</f>
        <v>柒拾柒亿叁仟贰佰贰拾捌万元整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773228</v>
      </c>
    </row>
    <row r="31" spans="1:2">
      <c r="A31" s="1119" t="s">
        <v>576</v>
      </c>
      <c r="B31" s="1120">
        <f ca="1">'预评函-2'!D15</f>
        <v>21994</v>
      </c>
    </row>
    <row r="32" spans="1:2">
      <c r="A32" s="1119" t="s">
        <v>543</v>
      </c>
      <c r="B32" s="1120" t="str">
        <f ca="1">'预评函-2'!D14</f>
        <v>柒拾柒亿叁仟贰佰贰拾捌万元整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北京市通州区尹各庄甲1号房地产</v>
      </c>
    </row>
    <row r="42" spans="1:2" ht="31.2">
      <c r="A42" s="1119" t="s">
        <v>590</v>
      </c>
      <c r="B42" s="1120" t="str">
        <f>'预评函-3'!B2</f>
        <v>建筑面积</v>
      </c>
    </row>
    <row r="43" spans="1:2">
      <c r="A43" s="1119" t="s">
        <v>591</v>
      </c>
      <c r="B43" s="1120">
        <f>'预评函-3'!B4</f>
        <v>351565.27</v>
      </c>
    </row>
    <row r="44" spans="1:2" ht="31.2">
      <c r="A44" s="1119" t="s">
        <v>575</v>
      </c>
      <c r="B44" s="1120" t="str">
        <f>'预评函-3'!C2</f>
        <v>(分摊)土地面积</v>
      </c>
    </row>
    <row r="45" spans="1:2">
      <c r="A45" s="1119" t="s">
        <v>547</v>
      </c>
      <c r="B45" s="1120">
        <f>'预评函-3'!C4</f>
        <v>116233.68</v>
      </c>
    </row>
    <row r="46" spans="1:2">
      <c r="A46" s="1119" t="s">
        <v>573</v>
      </c>
      <c r="B46" s="1120" t="str">
        <f>'预评函-3'!D2</f>
        <v>出让国有建设用地使用权价值</v>
      </c>
    </row>
    <row r="47" spans="1:2">
      <c r="A47" s="1119" t="s">
        <v>548</v>
      </c>
      <c r="B47" s="1120">
        <f ca="1">'预评函-3'!D4</f>
        <v>187121</v>
      </c>
    </row>
    <row r="48" spans="1:2">
      <c r="A48" s="1119" t="s">
        <v>549</v>
      </c>
      <c r="B48" s="1120">
        <f ca="1">'预评函-3'!E4</f>
        <v>5323</v>
      </c>
    </row>
    <row r="49" spans="1:2">
      <c r="A49" s="1119" t="s">
        <v>550</v>
      </c>
      <c r="B49" s="1120" t="str">
        <f ca="1">'预评函-3'!D5</f>
        <v>壹拾捌亿柒仟壹佰贰拾壹万元整</v>
      </c>
    </row>
    <row r="50" spans="1:2">
      <c r="A50" s="1119" t="s">
        <v>574</v>
      </c>
      <c r="B50" s="1120" t="str">
        <f>'预评函-3'!F2</f>
        <v>在建建筑物价值</v>
      </c>
    </row>
    <row r="51" spans="1:2">
      <c r="A51" s="1119" t="s">
        <v>551</v>
      </c>
      <c r="B51" s="1120">
        <f ca="1">'预评函-3'!F4</f>
        <v>586107</v>
      </c>
    </row>
    <row r="52" spans="1:2">
      <c r="A52" s="1119" t="s">
        <v>552</v>
      </c>
      <c r="B52" s="1120">
        <f ca="1">'预评函-3'!G4</f>
        <v>16671</v>
      </c>
    </row>
    <row r="53" spans="1:2">
      <c r="A53" s="1119" t="s">
        <v>580</v>
      </c>
      <c r="B53" s="1120" t="str">
        <f ca="1">'预评函-3'!F5</f>
        <v>伍拾捌亿陆仟壹佰零柒万元整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J27" sqref="J27"/>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3408</v>
      </c>
      <c r="Z2" s="1445" t="s">
        <v>2451</v>
      </c>
      <c r="AA2" s="1445" t="s">
        <v>3409</v>
      </c>
      <c r="AB2" s="1445" t="s">
        <v>2478</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3339</v>
      </c>
      <c r="X7" s="1445" t="s">
        <v>2448</v>
      </c>
      <c r="Z7" s="1445" t="s">
        <v>2461</v>
      </c>
      <c r="AB7" s="1445" t="s">
        <v>2487</v>
      </c>
    </row>
    <row r="8" spans="1:28">
      <c r="A8" s="1441" t="s">
        <v>1026</v>
      </c>
      <c r="B8" s="1441" t="s">
        <v>1027</v>
      </c>
      <c r="C8" s="1442" t="s">
        <v>319</v>
      </c>
      <c r="F8" s="1443" t="s">
        <v>1028</v>
      </c>
      <c r="H8" s="1443" t="s">
        <v>2576</v>
      </c>
      <c r="I8" s="1443" t="s">
        <v>3340</v>
      </c>
      <c r="X8" s="1445" t="s">
        <v>3411</v>
      </c>
      <c r="Z8" s="1445" t="s">
        <v>2463</v>
      </c>
      <c r="AB8" s="1445" t="s">
        <v>2489</v>
      </c>
    </row>
    <row r="9" spans="1:28">
      <c r="A9" s="1441" t="s">
        <v>1029</v>
      </c>
      <c r="B9" s="1441" t="s">
        <v>1030</v>
      </c>
      <c r="C9" s="1442" t="s">
        <v>320</v>
      </c>
      <c r="F9" s="1443" t="s">
        <v>1031</v>
      </c>
      <c r="H9" s="1443"/>
      <c r="I9" s="1445" t="s">
        <v>3341</v>
      </c>
      <c r="X9" s="1445" t="s">
        <v>3412</v>
      </c>
      <c r="Z9" s="1445" t="s">
        <v>2465</v>
      </c>
      <c r="AB9" s="1445" t="s">
        <v>2491</v>
      </c>
    </row>
    <row r="10" spans="1:28">
      <c r="A10" s="1441" t="s">
        <v>1032</v>
      </c>
      <c r="B10" s="1441" t="s">
        <v>1033</v>
      </c>
      <c r="C10" s="1442" t="s">
        <v>321</v>
      </c>
      <c r="F10" s="1443" t="s">
        <v>2577</v>
      </c>
      <c r="I10" s="1445" t="s">
        <v>3342</v>
      </c>
      <c r="Z10" s="1445" t="s">
        <v>2467</v>
      </c>
      <c r="AB10" s="1445" t="s">
        <v>2493</v>
      </c>
    </row>
    <row r="11" spans="1:28">
      <c r="A11" s="1441" t="s">
        <v>1034</v>
      </c>
      <c r="B11" s="1441" t="s">
        <v>1035</v>
      </c>
      <c r="C11" s="1442" t="s">
        <v>322</v>
      </c>
      <c r="F11" s="1443" t="s">
        <v>13</v>
      </c>
      <c r="I11" s="1445" t="s">
        <v>3343</v>
      </c>
      <c r="Z11" s="1445" t="s">
        <v>2469</v>
      </c>
      <c r="AB11" s="1445" t="s">
        <v>2495</v>
      </c>
    </row>
    <row r="12" spans="1:28">
      <c r="A12" s="1441" t="s">
        <v>1036</v>
      </c>
      <c r="B12" s="1441" t="s">
        <v>1037</v>
      </c>
      <c r="C12" s="1442" t="s">
        <v>323</v>
      </c>
      <c r="I12" s="1445" t="s">
        <v>3344</v>
      </c>
      <c r="Z12" s="1445" t="s">
        <v>2471</v>
      </c>
      <c r="AB12" s="1445" t="s">
        <v>2497</v>
      </c>
    </row>
    <row r="13" spans="1:28">
      <c r="A13" s="1441" t="s">
        <v>1038</v>
      </c>
      <c r="B13" s="1441" t="s">
        <v>1039</v>
      </c>
      <c r="C13" s="1442" t="s">
        <v>324</v>
      </c>
      <c r="I13" s="1445" t="s">
        <v>3345</v>
      </c>
      <c r="Z13" s="1445" t="s">
        <v>2473</v>
      </c>
    </row>
    <row r="14" spans="1:28">
      <c r="A14" s="1441" t="s">
        <v>1040</v>
      </c>
      <c r="B14" s="1441" t="s">
        <v>1041</v>
      </c>
      <c r="C14" s="1443" t="s">
        <v>13</v>
      </c>
      <c r="I14" s="1445" t="s">
        <v>3346</v>
      </c>
      <c r="Z14" s="1445" t="s">
        <v>2475</v>
      </c>
    </row>
    <row r="15" spans="1:28">
      <c r="A15" s="1441" t="s">
        <v>1042</v>
      </c>
      <c r="B15" s="1441" t="s">
        <v>1043</v>
      </c>
      <c r="C15" s="1442"/>
      <c r="I15" s="1445" t="s">
        <v>3347</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7" t="s">
        <v>385</v>
      </c>
      <c r="C54" s="1445" t="s">
        <v>583</v>
      </c>
    </row>
    <row r="55" spans="1:4">
      <c r="A55" s="3245"/>
      <c r="B55" s="1447" t="s">
        <v>386</v>
      </c>
      <c r="C55" s="1445" t="s">
        <v>584</v>
      </c>
    </row>
    <row r="56" spans="1:4">
      <c r="A56" s="3245"/>
      <c r="B56" s="1447" t="s">
        <v>387</v>
      </c>
      <c r="C56" s="1445" t="s">
        <v>588</v>
      </c>
    </row>
    <row r="57" spans="1:4">
      <c r="A57" s="324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I30" sqref="I30"/>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46" t="s">
        <v>2579</v>
      </c>
      <c r="J2" s="3246"/>
      <c r="K2" s="3246"/>
      <c r="L2" s="3246"/>
      <c r="M2" s="3246"/>
      <c r="N2" s="3246"/>
      <c r="O2" s="3246"/>
      <c r="P2" s="3246"/>
      <c r="Q2" s="3246"/>
      <c r="R2" s="3246"/>
    </row>
    <row r="3" spans="1:18">
      <c r="A3" s="2762" t="s">
        <v>2500</v>
      </c>
      <c r="B3" s="2763">
        <f>项目基本情况!D3</f>
        <v>45993</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1.04</v>
      </c>
      <c r="D5" s="2767">
        <f>IF(ISERROR(ROUND(POWER(1+E5,A5-C5)*(POWER(1+E5,C5)-1)/(POWER(1+E5,A5)-1),3)),0,ROUND(POWER(1+E5,A5-C5)*(POWER(1+E5,C5)-1)/(POWER(1+E5,A5)-1),4))</f>
        <v>5.0500000000000003E-2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11.05</v>
      </c>
      <c r="D6" s="2767">
        <f>IF(ISERROR(ROUND(POWER(1+E6,A6-C6)*(POWER(1+E6,C6)-1)/(POWER(1+E6,A6)-1),3)),0,ROUND(POWER(1+E6,A6-C6)*(POWER(1+E6,C6)-1)/(POWER(1+E6,A6)-1),4))</f>
        <v>0.4093</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31.06</v>
      </c>
      <c r="D7" s="2767">
        <f>IF(ISERROR(ROUND(POWER(1+E7,A7-C7)*(POWER(1+E7,C7)-1)/(POWER(1+E7,A7)-1),3)),0,ROUND(POWER(1+E7,A7-C7)*(POWER(1+E7,C7)-1)/(POWER(1+E7,A7)-1),4))</f>
        <v>0.75260000000000005</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8" sqref="C1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54" t="str">
        <f>IF(B10="北京市","北京市",C10)&amp;F10&amp;IF(结果表!G1="在建","出让国有建设用地使用权及在建建筑物",IF(结果表!G1="土地","出让国有建设用地使用权",))&amp;B9&amp;"预评估"</f>
        <v>北京市通州区尹各庄甲1号房地产抵押价值预评估</v>
      </c>
      <c r="C1" s="3255"/>
      <c r="D1" s="3255"/>
      <c r="E1" s="3255"/>
      <c r="F1" s="3255"/>
      <c r="G1" s="3255"/>
      <c r="H1" s="3255"/>
      <c r="I1" s="325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北京市通州区尹各庄甲1号房地产抵押价值</v>
      </c>
      <c r="T1" s="1618"/>
      <c r="U1" s="1618"/>
      <c r="V1" s="1618"/>
      <c r="W1" s="1618"/>
      <c r="X1" s="1618"/>
      <c r="Y1" s="1618"/>
      <c r="Z1" s="1618"/>
      <c r="AA1" s="1618"/>
      <c r="AB1" s="1618"/>
    </row>
    <row r="2" spans="1:30">
      <c r="A2" s="2182" t="s">
        <v>2168</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北京市通州区尹各庄甲1号房地产</v>
      </c>
      <c r="T2" s="1618"/>
      <c r="U2" s="1618"/>
      <c r="V2" s="1618"/>
      <c r="W2" s="1618"/>
      <c r="X2" s="1618"/>
      <c r="Y2" s="1618"/>
      <c r="Z2" s="1618"/>
      <c r="AA2" s="1618"/>
      <c r="AB2" s="1618"/>
    </row>
    <row r="3" spans="1:30">
      <c r="A3" s="294" t="s">
        <v>2169</v>
      </c>
      <c r="B3" s="2185">
        <v>45993</v>
      </c>
      <c r="C3" s="2186" t="s">
        <v>2170</v>
      </c>
      <c r="D3" s="2185">
        <f>B3</f>
        <v>45993</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3416</v>
      </c>
      <c r="C8" s="2201"/>
      <c r="D8" s="3257" t="s">
        <v>2176</v>
      </c>
      <c r="E8" s="2202" t="s">
        <v>3417</v>
      </c>
      <c r="F8" s="2203"/>
      <c r="G8" s="2441"/>
      <c r="H8" s="2441"/>
      <c r="I8" s="2441"/>
      <c r="J8" s="2244"/>
      <c r="K8" s="2399"/>
      <c r="L8" s="2398"/>
      <c r="M8" s="2398"/>
      <c r="N8" s="2244"/>
      <c r="O8" s="1670"/>
      <c r="P8" s="2244"/>
      <c r="Q8" s="2244"/>
      <c r="R8" s="2244"/>
    </row>
    <row r="9" spans="1:30" ht="13.8" thickBot="1">
      <c r="A9" s="2204" t="s">
        <v>2177</v>
      </c>
      <c r="B9" s="2205" t="s">
        <v>3417</v>
      </c>
      <c r="C9" s="2206"/>
      <c r="D9" s="3258"/>
      <c r="E9" s="2205" t="s">
        <v>43</v>
      </c>
      <c r="F9" s="2207"/>
      <c r="G9" s="2442"/>
      <c r="H9" s="2442"/>
      <c r="I9" s="2442"/>
      <c r="J9" s="2244"/>
      <c r="K9" s="2401"/>
      <c r="L9" s="2398"/>
      <c r="M9" s="2398"/>
      <c r="N9" s="2244"/>
      <c r="O9" s="1670"/>
      <c r="P9" s="2244"/>
      <c r="Q9" s="2244"/>
      <c r="R9" s="2244"/>
    </row>
    <row r="10" spans="1:30" ht="13.8" thickTop="1">
      <c r="A10" s="2208" t="s">
        <v>2178</v>
      </c>
      <c r="B10" s="2209" t="s">
        <v>3529</v>
      </c>
      <c r="C10" s="2210"/>
      <c r="D10" s="2193"/>
      <c r="E10" s="2211" t="s">
        <v>2179</v>
      </c>
      <c r="F10" s="2443" t="s">
        <v>3532</v>
      </c>
      <c r="G10" s="2444"/>
      <c r="H10" s="2445"/>
      <c r="I10" s="2446"/>
      <c r="J10" s="2244"/>
      <c r="K10" s="2401"/>
      <c r="L10" s="2398"/>
      <c r="M10" s="2398"/>
      <c r="N10" s="2244"/>
      <c r="O10" s="1670"/>
      <c r="P10" s="2244"/>
      <c r="Q10" s="2244"/>
      <c r="R10" s="2244"/>
    </row>
    <row r="11" spans="1:30" ht="24">
      <c r="A11" s="2212" t="s">
        <v>2180</v>
      </c>
      <c r="B11" s="2213" t="s">
        <v>3530</v>
      </c>
      <c r="C11" s="3183" t="s">
        <v>3531</v>
      </c>
      <c r="D11" s="2214"/>
      <c r="E11" s="2182"/>
      <c r="F11" s="2182"/>
      <c r="G11" s="2182"/>
      <c r="H11" s="2182"/>
      <c r="I11" s="2182"/>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2575</v>
      </c>
      <c r="J12" s="2802"/>
      <c r="K12" s="2398"/>
      <c r="L12" s="2398"/>
      <c r="M12" s="2244"/>
      <c r="N12" s="1670"/>
      <c r="O12" s="2244"/>
      <c r="P12" s="2244"/>
      <c r="Q12" s="2244"/>
      <c r="AD12" s="1618"/>
    </row>
    <row r="13" spans="1:30">
      <c r="A13" s="3121" t="s">
        <v>3329</v>
      </c>
      <c r="B13" s="2217" t="s">
        <v>2189</v>
      </c>
      <c r="C13" s="803"/>
      <c r="D13" s="803"/>
      <c r="E13" s="803"/>
      <c r="F13" s="803">
        <f>I13</f>
        <v>59165</v>
      </c>
      <c r="G13" s="803"/>
      <c r="H13" s="803"/>
      <c r="I13" s="803">
        <v>59165</v>
      </c>
      <c r="J13" s="2802"/>
      <c r="K13" s="2398"/>
      <c r="L13" s="2398"/>
      <c r="M13" s="2244"/>
      <c r="N13" s="1670"/>
      <c r="O13" s="2244"/>
      <c r="P13" s="2244"/>
      <c r="Q13" s="2244"/>
      <c r="AD13" s="1618"/>
    </row>
    <row r="14" spans="1:30">
      <c r="A14" s="1018"/>
      <c r="B14" s="2217" t="s">
        <v>2190</v>
      </c>
      <c r="C14" s="2218"/>
      <c r="D14" s="2218"/>
      <c r="E14" s="2218"/>
      <c r="F14" s="2218">
        <v>50</v>
      </c>
      <c r="G14" s="2218"/>
      <c r="H14" s="2218"/>
      <c r="I14" s="2218">
        <v>50</v>
      </c>
      <c r="J14" s="2803"/>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f>IF(A13="出让",IF(F13="","",ROUNDDOWN(MIN((F13-$D$3)/365,F14),2)),F14)</f>
        <v>36.08</v>
      </c>
      <c r="G15" s="2220" t="str">
        <f>IF(A13="出让",IF(G13="","",ROUNDDOWN(MIN((G13-$D$3)/365,G14),2)),G14)</f>
        <v/>
      </c>
      <c r="H15" s="2220" t="str">
        <f>IF(A13="出让",IF(H13="","",ROUNDDOWN(MIN((H13-$D$3)/365,H14),2)),H14)</f>
        <v/>
      </c>
      <c r="I15" s="2220">
        <f>IF(A13="出让",IF(I13="","",ROUNDDOWN(MIN((I13-$D$3)/365,I14),2)),I14)</f>
        <v>36.08</v>
      </c>
      <c r="J15" s="2804"/>
      <c r="K15" s="1670"/>
      <c r="L15" s="1670"/>
      <c r="M15" s="2244"/>
      <c r="N15" s="1670"/>
      <c r="O15" s="2244"/>
      <c r="P15" s="2244"/>
      <c r="Q15" s="2244"/>
      <c r="AD15" s="1618"/>
    </row>
    <row r="16" spans="1:30">
      <c r="A16" s="2211" t="s">
        <v>2192</v>
      </c>
      <c r="B16" s="3264"/>
      <c r="C16" s="3265"/>
      <c r="D16" s="3266"/>
      <c r="E16" s="2221" t="s">
        <v>2193</v>
      </c>
      <c r="F16" s="3267"/>
      <c r="G16" s="3268"/>
      <c r="H16" s="3268"/>
      <c r="I16" s="3269"/>
      <c r="J16" s="2244"/>
      <c r="K16" s="2402"/>
      <c r="L16" s="1670"/>
      <c r="M16" s="1670"/>
      <c r="N16" s="2244"/>
      <c r="O16" s="1670"/>
      <c r="P16" s="2244"/>
      <c r="Q16" s="2244"/>
      <c r="R16" s="2244"/>
    </row>
    <row r="17" spans="1:28">
      <c r="A17" s="305" t="s">
        <v>2194</v>
      </c>
      <c r="B17" s="294" t="s">
        <v>2195</v>
      </c>
      <c r="C17" s="8">
        <f>'数据-汇总表'!E3</f>
        <v>351565.27</v>
      </c>
      <c r="D17" s="1256" t="s">
        <v>2196</v>
      </c>
      <c r="E17" s="3270" t="s">
        <v>2197</v>
      </c>
      <c r="F17" s="3271"/>
      <c r="G17" s="3271"/>
      <c r="H17" s="3271"/>
      <c r="I17" s="3272"/>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116233.68</v>
      </c>
      <c r="D18" s="1029" t="s">
        <v>2200</v>
      </c>
      <c r="E18" s="3273" t="s">
        <v>2201</v>
      </c>
      <c r="F18" s="3274"/>
      <c r="G18" s="3274"/>
      <c r="H18" s="3274"/>
      <c r="I18" s="3275"/>
      <c r="J18" s="2244"/>
      <c r="K18" s="2403"/>
      <c r="L18" s="1670"/>
      <c r="M18" s="1670"/>
      <c r="N18" s="2244"/>
      <c r="O18" s="1670"/>
      <c r="P18" s="2244"/>
      <c r="Q18" s="2244"/>
      <c r="R18" s="2244"/>
      <c r="S18" s="2244"/>
      <c r="T18" s="2244"/>
      <c r="U18" s="2244"/>
      <c r="V18" s="2244"/>
    </row>
    <row r="19" spans="1:28" ht="37.200000000000003" thickTop="1" thickBot="1">
      <c r="A19" s="319" t="s">
        <v>1055</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60" t="s">
        <v>2205</v>
      </c>
      <c r="C20" s="3261"/>
      <c r="D20" s="3262" t="s">
        <v>2206</v>
      </c>
      <c r="E20" s="3263"/>
      <c r="F20" s="2429" t="s">
        <v>1056</v>
      </c>
      <c r="G20" s="2441"/>
      <c r="H20" s="2441"/>
      <c r="I20" s="2441"/>
      <c r="J20" s="2244"/>
      <c r="K20" s="325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5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5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8"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8"/>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8"/>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9"/>
      <c r="B30" s="294" t="s">
        <v>2217</v>
      </c>
      <c r="C30" s="3250"/>
      <c r="D30" s="3251"/>
      <c r="E30" s="2441"/>
      <c r="F30" s="2441"/>
      <c r="G30" s="2441"/>
      <c r="H30" s="2441"/>
      <c r="I30" s="2441"/>
      <c r="J30" s="2244"/>
      <c r="K30" s="2401"/>
      <c r="L30" s="2398"/>
      <c r="M30" s="2398"/>
      <c r="N30" s="2244"/>
      <c r="O30" s="1670"/>
      <c r="P30" s="2244"/>
      <c r="Q30" s="2244"/>
      <c r="R30" s="2244"/>
      <c r="S30" s="2244"/>
      <c r="T30" s="2244"/>
      <c r="U30" s="2244"/>
      <c r="V30" s="2244"/>
    </row>
    <row r="31" spans="1:28">
      <c r="A31" s="3252" t="s">
        <v>2218</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47" t="s">
        <v>2227</v>
      </c>
      <c r="T34" s="315" t="str">
        <f>NUMBERSTRING(7-K34,1)&amp;"通"</f>
        <v>七通</v>
      </c>
      <c r="U34" s="2244"/>
      <c r="V34" s="2244"/>
    </row>
    <row r="35" spans="1:30">
      <c r="A35" s="2235"/>
      <c r="B35" s="3247" t="s">
        <v>2228</v>
      </c>
      <c r="C35" s="3247"/>
      <c r="D35" s="3247"/>
      <c r="E35" s="324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4"/>
      <c r="V35" s="2244"/>
    </row>
    <row r="36" spans="1:30">
      <c r="A36" s="2183"/>
      <c r="B36" s="8" t="s">
        <v>2184</v>
      </c>
      <c r="C36" s="8" t="s">
        <v>2185</v>
      </c>
      <c r="D36" s="8" t="s">
        <v>2183</v>
      </c>
      <c r="E36" s="8" t="s">
        <v>2188</v>
      </c>
      <c r="F36" s="2800"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t="s">
        <v>304</v>
      </c>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c r="E38" s="2237"/>
      <c r="F38" s="2237" t="s">
        <v>3418</v>
      </c>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5" activeCellId="1" sqref="AL5 AN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hidden="1" customWidth="1"/>
    <col min="31" max="31" width="9.77734375" style="1463" hidden="1" customWidth="1"/>
    <col min="32" max="37" width="9.44140625" style="1463" hidden="1" customWidth="1"/>
    <col min="38" max="41" width="9.44140625" style="1463" customWidth="1"/>
    <col min="42" max="45" width="9.44140625" style="1463" hidden="1" customWidth="1"/>
    <col min="46"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133115.90400000001</v>
      </c>
      <c r="B3" s="11">
        <f>IF(C3="否",G5-AT5,G5)</f>
        <v>403045.81000000006</v>
      </c>
      <c r="C3" s="1469" t="s">
        <v>3496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f>95778.03+20455.65</f>
        <v>116233.68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1070</v>
      </c>
      <c r="B5" s="1259"/>
      <c r="C5" s="1259"/>
      <c r="D5" s="1260"/>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258"/>
      <c r="AV5" s="12" t="s">
        <v>1070</v>
      </c>
      <c r="AW5" s="1259"/>
      <c r="AX5" s="1259"/>
      <c r="AY5" s="14" t="s">
        <v>2</v>
      </c>
      <c r="AZ5" s="15">
        <f t="shared" ref="AZ5:BT5" si="1">SUM(AZ13:AZ656)</f>
        <v>351565.27</v>
      </c>
      <c r="BA5" s="15">
        <f t="shared" si="1"/>
        <v>343024.04</v>
      </c>
      <c r="BB5" s="15">
        <f t="shared" si="1"/>
        <v>265707.02</v>
      </c>
      <c r="BC5" s="15">
        <f t="shared" si="1"/>
        <v>38107.230000000003</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8541.23</v>
      </c>
      <c r="BM5" s="15">
        <f t="shared" si="1"/>
        <v>0</v>
      </c>
      <c r="BN5" s="15">
        <f t="shared" si="1"/>
        <v>0</v>
      </c>
      <c r="BO5" s="15">
        <f t="shared" si="1"/>
        <v>0</v>
      </c>
      <c r="BP5" s="15">
        <f t="shared" si="1"/>
        <v>0</v>
      </c>
      <c r="BQ5" s="15">
        <f t="shared" si="1"/>
        <v>5066.9499999999989</v>
      </c>
      <c r="BR5" s="15">
        <f t="shared" si="1"/>
        <v>3474.28</v>
      </c>
      <c r="BS5" s="15">
        <f t="shared" si="1"/>
        <v>0</v>
      </c>
      <c r="BT5" s="16">
        <f t="shared" si="1"/>
        <v>0</v>
      </c>
    </row>
    <row r="6" spans="1:72" s="1477" customFormat="1" ht="13.2">
      <c r="A6" s="12" t="s">
        <v>1071</v>
      </c>
      <c r="B6" s="1474"/>
      <c r="C6" s="1474"/>
      <c r="D6" s="1475"/>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476"/>
      <c r="AV6" s="12" t="s">
        <v>1071</v>
      </c>
      <c r="AW6" s="1474"/>
      <c r="AX6" s="1474"/>
      <c r="AY6" s="18">
        <f>IF(AY3&gt;0,AY3,ROUND($A$3*AZ5/$B$3,2))</f>
        <v>116233.68</v>
      </c>
      <c r="AZ6" s="13" t="s">
        <v>2</v>
      </c>
      <c r="BA6" s="13">
        <f>ROUND($AY$6*BA5/$AZ$5,2)</f>
        <v>113409.8</v>
      </c>
      <c r="BB6" s="13">
        <f>ROUND($AY$6*BB5/$AZ$5,2)</f>
        <v>87847.43</v>
      </c>
      <c r="BC6" s="13">
        <f t="shared" ref="BC6:BH6" si="4">ROUND($AY$6*BC5/$AZ$5,2)</f>
        <v>12598.92</v>
      </c>
      <c r="BD6" s="13">
        <f t="shared" si="4"/>
        <v>12963.45</v>
      </c>
      <c r="BE6" s="13">
        <f t="shared" si="4"/>
        <v>0</v>
      </c>
      <c r="BF6" s="13">
        <f t="shared" si="4"/>
        <v>0</v>
      </c>
      <c r="BG6" s="13">
        <f t="shared" si="4"/>
        <v>0</v>
      </c>
      <c r="BH6" s="13">
        <f t="shared" si="4"/>
        <v>0</v>
      </c>
      <c r="BI6" s="13">
        <f t="shared" ref="BI6:BT6" si="5">ROUND($AY$6*BI5/$AZ$5,2)</f>
        <v>0</v>
      </c>
      <c r="BJ6" s="13">
        <f t="shared" si="5"/>
        <v>0</v>
      </c>
      <c r="BK6" s="13">
        <f t="shared" si="5"/>
        <v>0</v>
      </c>
      <c r="BL6" s="13">
        <f t="shared" si="5"/>
        <v>2823.88</v>
      </c>
      <c r="BM6" s="13">
        <f t="shared" si="5"/>
        <v>0</v>
      </c>
      <c r="BN6" s="13">
        <f t="shared" si="5"/>
        <v>0</v>
      </c>
      <c r="BO6" s="13">
        <f t="shared" si="5"/>
        <v>0</v>
      </c>
      <c r="BP6" s="13">
        <f t="shared" si="5"/>
        <v>0</v>
      </c>
      <c r="BQ6" s="13">
        <f t="shared" si="5"/>
        <v>1675.22</v>
      </c>
      <c r="BR6" s="13">
        <f t="shared" si="5"/>
        <v>1148.6600000000001</v>
      </c>
      <c r="BS6" s="13">
        <f t="shared" si="5"/>
        <v>0</v>
      </c>
      <c r="BT6" s="19">
        <f t="shared" si="5"/>
        <v>0</v>
      </c>
    </row>
    <row r="7" spans="1:72" s="1468" customFormat="1" ht="25.2">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1090</v>
      </c>
      <c r="I9" s="1491" t="s">
        <v>3498</v>
      </c>
      <c r="J9" s="761"/>
      <c r="K9" s="1491" t="s">
        <v>3499</v>
      </c>
      <c r="L9" s="761"/>
      <c r="M9" s="1491" t="s">
        <v>3499</v>
      </c>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2">
      <c r="A10" s="1482"/>
      <c r="B10" s="1482"/>
      <c r="C10" s="1482"/>
      <c r="D10" s="1482"/>
      <c r="E10" s="1482"/>
      <c r="F10" s="1482"/>
      <c r="G10" s="1007"/>
      <c r="H10" s="25"/>
      <c r="I10" s="1491" t="s">
        <v>3402</v>
      </c>
      <c r="J10" s="761"/>
      <c r="K10" s="1497" t="s">
        <v>3402</v>
      </c>
      <c r="L10" s="761"/>
      <c r="M10" s="1497" t="s">
        <v>3330</v>
      </c>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t="s">
        <v>3482</v>
      </c>
      <c r="C13" s="628" t="s">
        <v>3483</v>
      </c>
      <c r="D13" s="1513" t="s">
        <v>3496</v>
      </c>
      <c r="E13" s="13">
        <f>IF($C$3="是",ROUND($A$3*G13/$B$3,2),ROUND($A$3*(G13-AT13)/$B$3,2))</f>
        <v>6536.34</v>
      </c>
      <c r="F13" s="29"/>
      <c r="G13" s="30">
        <f>H13+AC13+AT13</f>
        <v>19790.61</v>
      </c>
      <c r="H13" s="17">
        <f>SUMIF(I$12:AB$12,"总值",I13:AB13)</f>
        <v>19495.690000000002</v>
      </c>
      <c r="I13" s="1514">
        <v>17658.11</v>
      </c>
      <c r="J13" s="1514"/>
      <c r="K13" s="1514">
        <v>1837.58</v>
      </c>
      <c r="L13" s="1514"/>
      <c r="M13" s="1514"/>
      <c r="N13" s="1514"/>
      <c r="O13" s="1514"/>
      <c r="P13" s="1514"/>
      <c r="Q13" s="1514"/>
      <c r="R13" s="1514"/>
      <c r="S13" s="1514"/>
      <c r="T13" s="1514"/>
      <c r="U13" s="1514"/>
      <c r="V13" s="1514"/>
      <c r="W13" s="1514"/>
      <c r="X13" s="1514"/>
      <c r="Y13" s="1514"/>
      <c r="Z13" s="1514"/>
      <c r="AA13" s="1514"/>
      <c r="AB13" s="1514"/>
      <c r="AC13" s="13">
        <f>SUMIF(AD$12:AS$12,"总值",AD13:AS13)</f>
        <v>294.92</v>
      </c>
      <c r="AD13" s="989"/>
      <c r="AE13" s="989"/>
      <c r="AF13" s="989"/>
      <c r="AG13" s="989"/>
      <c r="AH13" s="989"/>
      <c r="AI13" s="989"/>
      <c r="AJ13" s="989"/>
      <c r="AK13" s="989"/>
      <c r="AL13" s="989">
        <v>294.92</v>
      </c>
      <c r="AM13" s="989"/>
      <c r="AN13" s="989"/>
      <c r="AO13" s="989"/>
      <c r="AP13" s="989"/>
      <c r="AQ13" s="989"/>
      <c r="AR13" s="989"/>
      <c r="AS13" s="989"/>
      <c r="AT13" s="29"/>
      <c r="AU13" s="1515"/>
      <c r="AV13" s="8">
        <f t="shared" ref="AV13:AX17" si="6">A13</f>
        <v>0</v>
      </c>
      <c r="AW13" s="8" t="str">
        <f t="shared" si="6"/>
        <v>现房</v>
      </c>
      <c r="AX13" s="8" t="str">
        <f t="shared" si="6"/>
        <v>1#</v>
      </c>
      <c r="AY13" s="1260">
        <f>ROUND($AY$6*AZ13/$AZ$5,2)</f>
        <v>6543.12</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468" customFormat="1" ht="13.2">
      <c r="A14" s="628"/>
      <c r="B14" s="628" t="s">
        <v>3482</v>
      </c>
      <c r="C14" s="1462" t="s">
        <v>3484</v>
      </c>
      <c r="D14" s="1513" t="s">
        <v>3496</v>
      </c>
      <c r="E14" s="13">
        <f>IF($C$3="是",ROUND($A$3*G14/$B$3,2),ROUND($A$3*(G14-AT14)/$B$3,2))</f>
        <v>6534.68</v>
      </c>
      <c r="F14" s="29"/>
      <c r="G14" s="30">
        <f>H14+AC14+AT14</f>
        <v>19785.59</v>
      </c>
      <c r="H14" s="17">
        <f>SUMIF(I$12:AB$12,"总值",I14:AB14)</f>
        <v>19490.670000000002</v>
      </c>
      <c r="I14" s="1514">
        <v>17658.11</v>
      </c>
      <c r="J14" s="1514"/>
      <c r="K14" s="1514">
        <v>1832.56</v>
      </c>
      <c r="L14" s="1514"/>
      <c r="M14" s="1514"/>
      <c r="N14" s="1514"/>
      <c r="O14" s="1514"/>
      <c r="P14" s="1514"/>
      <c r="Q14" s="1514"/>
      <c r="R14" s="1514"/>
      <c r="S14" s="1514"/>
      <c r="T14" s="1514"/>
      <c r="U14" s="1514"/>
      <c r="V14" s="1514"/>
      <c r="W14" s="1514"/>
      <c r="X14" s="1514"/>
      <c r="Y14" s="1514"/>
      <c r="Z14" s="1514"/>
      <c r="AA14" s="1514"/>
      <c r="AB14" s="1514"/>
      <c r="AC14" s="13">
        <f>SUMIF(AD$12:AS$12,"总值",AD14:AS14)</f>
        <v>294.92</v>
      </c>
      <c r="AD14" s="989"/>
      <c r="AE14" s="989"/>
      <c r="AF14" s="989"/>
      <c r="AG14" s="989"/>
      <c r="AH14" s="989"/>
      <c r="AI14" s="989"/>
      <c r="AJ14" s="989"/>
      <c r="AK14" s="989"/>
      <c r="AL14" s="989">
        <v>294.92</v>
      </c>
      <c r="AM14" s="989"/>
      <c r="AN14" s="989"/>
      <c r="AO14" s="989"/>
      <c r="AP14" s="989"/>
      <c r="AQ14" s="989"/>
      <c r="AR14" s="989"/>
      <c r="AS14" s="989"/>
      <c r="AT14" s="29"/>
      <c r="AU14" s="1515"/>
      <c r="AV14" s="8">
        <f t="shared" si="6"/>
        <v>0</v>
      </c>
      <c r="AW14" s="8" t="str">
        <f t="shared" si="6"/>
        <v>现房</v>
      </c>
      <c r="AX14" s="8" t="str">
        <f t="shared" si="6"/>
        <v>2#</v>
      </c>
      <c r="AY14" s="1260">
        <f>ROUND($AY$6*AZ14/$AZ$5,2)</f>
        <v>6541.47</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468" customFormat="1" ht="13.2">
      <c r="A15" s="628"/>
      <c r="B15" s="628" t="s">
        <v>3482</v>
      </c>
      <c r="C15" s="1462" t="s">
        <v>3475</v>
      </c>
      <c r="D15" s="1513" t="s">
        <v>3496</v>
      </c>
      <c r="E15" s="13">
        <f>IF($C$3="是",ROUND($A$3*G15/$B$3,2),ROUND($A$3*(G15-AT15)/$B$3,2))</f>
        <v>6537.86</v>
      </c>
      <c r="F15" s="29"/>
      <c r="G15" s="30">
        <f>H15+AC15+AT15</f>
        <v>19795.21</v>
      </c>
      <c r="H15" s="17">
        <f>SUMIF(I$12:AB$12,"总值",I15:AB15)</f>
        <v>19500.29</v>
      </c>
      <c r="I15" s="1514">
        <v>17658.11</v>
      </c>
      <c r="J15" s="1514"/>
      <c r="K15" s="1514">
        <v>1842.18</v>
      </c>
      <c r="L15" s="1514"/>
      <c r="M15" s="1514"/>
      <c r="N15" s="1514"/>
      <c r="O15" s="1514"/>
      <c r="P15" s="1514"/>
      <c r="Q15" s="1514"/>
      <c r="R15" s="1514"/>
      <c r="S15" s="1514"/>
      <c r="T15" s="1514"/>
      <c r="U15" s="1514"/>
      <c r="V15" s="1514"/>
      <c r="W15" s="1514"/>
      <c r="X15" s="1514"/>
      <c r="Y15" s="1514"/>
      <c r="Z15" s="1514"/>
      <c r="AA15" s="1514"/>
      <c r="AB15" s="1514"/>
      <c r="AC15" s="13">
        <f>SUMIF(AD$12:AS$12,"总值",AD15:AS15)</f>
        <v>294.92</v>
      </c>
      <c r="AD15" s="989"/>
      <c r="AE15" s="989"/>
      <c r="AF15" s="989"/>
      <c r="AG15" s="989"/>
      <c r="AH15" s="989"/>
      <c r="AI15" s="989"/>
      <c r="AJ15" s="989"/>
      <c r="AK15" s="989"/>
      <c r="AL15" s="989">
        <v>294.92</v>
      </c>
      <c r="AM15" s="989"/>
      <c r="AN15" s="989"/>
      <c r="AO15" s="989"/>
      <c r="AP15" s="989"/>
      <c r="AQ15" s="989"/>
      <c r="AR15" s="989"/>
      <c r="AS15" s="989"/>
      <c r="AT15" s="29"/>
      <c r="AU15" s="1515"/>
      <c r="AV15" s="8">
        <f t="shared" si="6"/>
        <v>0</v>
      </c>
      <c r="AW15" s="8" t="str">
        <f t="shared" si="6"/>
        <v>现房</v>
      </c>
      <c r="AX15" s="8" t="str">
        <f t="shared" si="6"/>
        <v>3#</v>
      </c>
      <c r="AY15" s="1260">
        <f>ROUND($AY$6*AZ15/$AZ$5,2)</f>
        <v>6544.65</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468" customFormat="1" ht="13.2">
      <c r="A16" s="628"/>
      <c r="B16" s="628" t="s">
        <v>3482</v>
      </c>
      <c r="C16" s="1462" t="s">
        <v>3485</v>
      </c>
      <c r="D16" s="1513" t="s">
        <v>3496</v>
      </c>
      <c r="E16" s="13">
        <f>IF($C$3="是",ROUND($A$3*G16/$B$3,2),ROUND($A$3*(G16-AT16)/$B$3,2))</f>
        <v>4434.99</v>
      </c>
      <c r="F16" s="29"/>
      <c r="G16" s="30">
        <f>H16+AC16+AT16</f>
        <v>13428.19</v>
      </c>
      <c r="H16" s="17">
        <f>SUMIF(I$12:AB$12,"总值",I16:AB16)</f>
        <v>13135.75</v>
      </c>
      <c r="I16" s="1514">
        <v>11307.49</v>
      </c>
      <c r="J16" s="1514"/>
      <c r="K16" s="1514">
        <v>1828.26</v>
      </c>
      <c r="L16" s="1514"/>
      <c r="M16" s="1514"/>
      <c r="N16" s="1514"/>
      <c r="O16" s="1514"/>
      <c r="P16" s="1514"/>
      <c r="Q16" s="1514"/>
      <c r="R16" s="1514"/>
      <c r="S16" s="1514"/>
      <c r="T16" s="1514"/>
      <c r="U16" s="1514"/>
      <c r="V16" s="1514"/>
      <c r="W16" s="1514"/>
      <c r="X16" s="1514"/>
      <c r="Y16" s="1514"/>
      <c r="Z16" s="1514"/>
      <c r="AA16" s="1514"/>
      <c r="AB16" s="1514"/>
      <c r="AC16" s="13">
        <f>SUMIF(AD$12:AS$12,"总值",AD16:AS16)</f>
        <v>292.44</v>
      </c>
      <c r="AD16" s="989"/>
      <c r="AE16" s="989"/>
      <c r="AF16" s="989"/>
      <c r="AG16" s="989"/>
      <c r="AH16" s="989"/>
      <c r="AI16" s="989"/>
      <c r="AJ16" s="989"/>
      <c r="AK16" s="989"/>
      <c r="AL16" s="989">
        <v>292.44</v>
      </c>
      <c r="AM16" s="989"/>
      <c r="AN16" s="989"/>
      <c r="AO16" s="989"/>
      <c r="AP16" s="989"/>
      <c r="AQ16" s="989"/>
      <c r="AR16" s="989"/>
      <c r="AS16" s="989"/>
      <c r="AT16" s="29"/>
      <c r="AU16" s="1515"/>
      <c r="AV16" s="8">
        <f t="shared" si="6"/>
        <v>0</v>
      </c>
      <c r="AW16" s="8" t="str">
        <f t="shared" si="6"/>
        <v>现房</v>
      </c>
      <c r="AX16" s="8" t="str">
        <f t="shared" si="6"/>
        <v>4#</v>
      </c>
      <c r="AY16" s="1260">
        <f>ROUND($AY$6*AZ16/$AZ$5,2)</f>
        <v>4439.6000000000004</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468" customFormat="1" ht="13.2">
      <c r="A17" s="628"/>
      <c r="B17" s="628" t="s">
        <v>3482</v>
      </c>
      <c r="C17" s="1462" t="s">
        <v>3486</v>
      </c>
      <c r="D17" s="1513" t="s">
        <v>3496</v>
      </c>
      <c r="E17" s="13">
        <f>IF($C$3="是",ROUND($A$3*G17/$B$3,2),ROUND($A$3*(G17-AT17)/$B$3,2))</f>
        <v>6534.25</v>
      </c>
      <c r="F17" s="29"/>
      <c r="G17" s="30">
        <f>H17+AC17+AT17</f>
        <v>19784.27</v>
      </c>
      <c r="H17" s="17">
        <f>SUMIF(I$12:AB$12,"总值",I17:AB17)</f>
        <v>19489.350000000002</v>
      </c>
      <c r="I17" s="1514">
        <v>17658.11</v>
      </c>
      <c r="J17" s="1514"/>
      <c r="K17" s="1514">
        <v>1831.24</v>
      </c>
      <c r="L17" s="1514"/>
      <c r="M17" s="1514"/>
      <c r="N17" s="1514"/>
      <c r="O17" s="1514"/>
      <c r="P17" s="1514"/>
      <c r="Q17" s="1514"/>
      <c r="R17" s="1514"/>
      <c r="S17" s="1514"/>
      <c r="T17" s="1514"/>
      <c r="U17" s="1514"/>
      <c r="V17" s="1514"/>
      <c r="W17" s="1514"/>
      <c r="X17" s="1514"/>
      <c r="Y17" s="1514"/>
      <c r="Z17" s="1514"/>
      <c r="AA17" s="1514"/>
      <c r="AB17" s="1514"/>
      <c r="AC17" s="13">
        <f>SUMIF(AD$12:AS$12,"总值",AD17:AS17)</f>
        <v>294.92</v>
      </c>
      <c r="AD17" s="989"/>
      <c r="AE17" s="989"/>
      <c r="AF17" s="989"/>
      <c r="AG17" s="989"/>
      <c r="AH17" s="989"/>
      <c r="AI17" s="989"/>
      <c r="AJ17" s="989"/>
      <c r="AK17" s="989"/>
      <c r="AL17" s="989">
        <v>294.92</v>
      </c>
      <c r="AM17" s="989"/>
      <c r="AN17" s="989"/>
      <c r="AO17" s="989"/>
      <c r="AP17" s="989"/>
      <c r="AQ17" s="989"/>
      <c r="AR17" s="989"/>
      <c r="AS17" s="989"/>
      <c r="AT17" s="29"/>
      <c r="AU17" s="1515"/>
      <c r="AV17" s="8">
        <f t="shared" si="6"/>
        <v>0</v>
      </c>
      <c r="AW17" s="8" t="str">
        <f t="shared" si="6"/>
        <v>现房</v>
      </c>
      <c r="AX17" s="8" t="str">
        <f t="shared" si="6"/>
        <v>5#</v>
      </c>
      <c r="AY17" s="1260">
        <f>ROUND($AY$6*AZ17/$AZ$5,2)</f>
        <v>6541.03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ht="14.4">
      <c r="A18" s="6"/>
      <c r="B18" s="3184" t="s">
        <v>3533</v>
      </c>
      <c r="C18" s="31" t="s">
        <v>3487</v>
      </c>
      <c r="D18" s="1513" t="s">
        <v>3496</v>
      </c>
      <c r="E18" s="32">
        <f t="shared" ref="E18:E112" si="7">IF($C$3="是",ROUND($A$3*G18/$B$3,2),ROUND($A$3*(G18-AT18)/$B$3,2))</f>
        <v>6535.31</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3"/>
      <c r="AU18" s="1517"/>
      <c r="AV18" s="530">
        <f t="shared" ref="AV18:AV112" si="11">A18</f>
        <v>0</v>
      </c>
      <c r="AW18" s="530" t="str">
        <f t="shared" ref="AW18:AW112" si="12">B18</f>
        <v>现房</v>
      </c>
      <c r="AX18" s="530" t="str">
        <f t="shared" ref="AX18:AX112" si="13">C18</f>
        <v>6#</v>
      </c>
      <c r="AY18" s="38">
        <f t="shared" ref="AY18:AY109" si="14">ROUND($AY$6*AZ18/$AZ$5,2)</f>
        <v>6542.09</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39">
        <f t="shared" ref="BT18:BT109" si="35">IF($D18="是",AR18-AS18,0)</f>
        <v>0</v>
      </c>
    </row>
    <row r="19" spans="1:72">
      <c r="A19" s="6"/>
      <c r="B19" s="31" t="s">
        <v>3482</v>
      </c>
      <c r="C19" s="31" t="s">
        <v>3476</v>
      </c>
      <c r="D19" s="1513" t="s">
        <v>3496</v>
      </c>
      <c r="E19" s="32">
        <f t="shared" si="7"/>
        <v>4647.8900000000003</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3"/>
      <c r="AU19" s="1517"/>
      <c r="AV19" s="530">
        <f t="shared" si="11"/>
        <v>0</v>
      </c>
      <c r="AW19" s="530" t="str">
        <f t="shared" si="12"/>
        <v>现房</v>
      </c>
      <c r="AX19" s="530" t="str">
        <f t="shared" si="13"/>
        <v>7#</v>
      </c>
      <c r="AY19" s="38">
        <f t="shared" si="14"/>
        <v>4652.71</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39">
        <f t="shared" si="35"/>
        <v>0</v>
      </c>
    </row>
    <row r="20" spans="1:72" ht="14.4">
      <c r="A20" s="3182" t="s">
        <v>3488</v>
      </c>
      <c r="B20" s="3181" t="s">
        <v>3482</v>
      </c>
      <c r="C20" s="31" t="s">
        <v>3489</v>
      </c>
      <c r="D20" s="1513" t="s">
        <v>3497</v>
      </c>
      <c r="E20" s="32">
        <f t="shared" si="7"/>
        <v>6657.14</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3"/>
      <c r="AU20" s="1517"/>
      <c r="AV20" s="530" t="str">
        <f t="shared" si="11"/>
        <v>已售</v>
      </c>
      <c r="AW20" s="530" t="str">
        <f t="shared" si="12"/>
        <v>现房</v>
      </c>
      <c r="AX20" s="530" t="str">
        <f t="shared" si="13"/>
        <v>8#</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t="s">
        <v>3482</v>
      </c>
      <c r="C21" s="31" t="s">
        <v>3490</v>
      </c>
      <c r="D21" s="1513" t="s">
        <v>3496</v>
      </c>
      <c r="E21" s="32">
        <f t="shared" si="7"/>
        <v>6535.95</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3"/>
      <c r="AU21" s="1517"/>
      <c r="AV21" s="530">
        <f t="shared" si="11"/>
        <v>0</v>
      </c>
      <c r="AW21" s="530" t="str">
        <f t="shared" si="12"/>
        <v>现房</v>
      </c>
      <c r="AX21" s="530" t="str">
        <f t="shared" si="13"/>
        <v>9#</v>
      </c>
      <c r="AY21" s="38">
        <f t="shared" si="14"/>
        <v>6542.73</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39">
        <f t="shared" si="35"/>
        <v>0</v>
      </c>
    </row>
    <row r="22" spans="1:72" ht="14.4">
      <c r="A22" s="6"/>
      <c r="B22" s="3184" t="s">
        <v>3533</v>
      </c>
      <c r="C22" s="31" t="s">
        <v>3491</v>
      </c>
      <c r="D22" s="1513" t="s">
        <v>3496</v>
      </c>
      <c r="E22" s="32">
        <f t="shared" si="7"/>
        <v>6556.88</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3"/>
      <c r="AU22" s="1517"/>
      <c r="AV22" s="530">
        <f t="shared" si="11"/>
        <v>0</v>
      </c>
      <c r="AW22" s="530" t="str">
        <f t="shared" si="12"/>
        <v>现房</v>
      </c>
      <c r="AX22" s="530" t="str">
        <f t="shared" si="13"/>
        <v>10#</v>
      </c>
      <c r="AY22" s="38">
        <f t="shared" si="14"/>
        <v>6563.68</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39">
        <f t="shared" si="35"/>
        <v>0</v>
      </c>
    </row>
    <row r="23" spans="1:72">
      <c r="A23" s="6"/>
      <c r="B23" s="31" t="s">
        <v>3482</v>
      </c>
      <c r="C23" s="31" t="s">
        <v>3477</v>
      </c>
      <c r="D23" s="1513" t="s">
        <v>3496</v>
      </c>
      <c r="E23" s="32">
        <f t="shared" si="7"/>
        <v>6659.63</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3"/>
      <c r="AU23" s="1517"/>
      <c r="AV23" s="530">
        <f t="shared" si="11"/>
        <v>0</v>
      </c>
      <c r="AW23" s="530" t="str">
        <f t="shared" si="12"/>
        <v>现房</v>
      </c>
      <c r="AX23" s="530" t="str">
        <f t="shared" si="13"/>
        <v>11#</v>
      </c>
      <c r="AY23" s="38">
        <f t="shared" si="14"/>
        <v>6666.54</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39">
        <f t="shared" si="35"/>
        <v>0</v>
      </c>
    </row>
    <row r="24" spans="1:72">
      <c r="A24" s="6"/>
      <c r="B24" s="31" t="s">
        <v>3482</v>
      </c>
      <c r="C24" s="31" t="s">
        <v>3478</v>
      </c>
      <c r="D24" s="1513" t="s">
        <v>3496</v>
      </c>
      <c r="E24" s="32">
        <f t="shared" si="7"/>
        <v>6534.23</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3"/>
      <c r="AU24" s="1517"/>
      <c r="AV24" s="530">
        <f t="shared" si="11"/>
        <v>0</v>
      </c>
      <c r="AW24" s="530" t="str">
        <f t="shared" si="12"/>
        <v>现房</v>
      </c>
      <c r="AX24" s="530" t="str">
        <f t="shared" si="13"/>
        <v>12#</v>
      </c>
      <c r="AY24" s="38">
        <f t="shared" si="14"/>
        <v>6541.01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39">
        <f t="shared" si="35"/>
        <v>0</v>
      </c>
    </row>
    <row r="25" spans="1:72">
      <c r="A25" s="6"/>
      <c r="B25" s="31" t="s">
        <v>3482</v>
      </c>
      <c r="C25" s="31" t="s">
        <v>3479</v>
      </c>
      <c r="D25" s="1513" t="s">
        <v>3496</v>
      </c>
      <c r="E25" s="32">
        <f t="shared" si="7"/>
        <v>4647.88</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3"/>
      <c r="AU25" s="1517"/>
      <c r="AV25" s="530">
        <f t="shared" si="11"/>
        <v>0</v>
      </c>
      <c r="AW25" s="530" t="str">
        <f t="shared" si="12"/>
        <v>现房</v>
      </c>
      <c r="AX25" s="530" t="str">
        <f t="shared" si="13"/>
        <v>13#</v>
      </c>
      <c r="AY25" s="38">
        <f t="shared" si="14"/>
        <v>4652.7</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39">
        <f t="shared" si="35"/>
        <v>0</v>
      </c>
    </row>
    <row r="26" spans="1:72">
      <c r="A26" s="6"/>
      <c r="B26" s="31" t="s">
        <v>3482</v>
      </c>
      <c r="C26" s="31" t="s">
        <v>3480</v>
      </c>
      <c r="D26" s="1513" t="s">
        <v>3496</v>
      </c>
      <c r="E26" s="32">
        <f t="shared" si="7"/>
        <v>6655.48</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3"/>
      <c r="AU26" s="1517"/>
      <c r="AV26" s="530">
        <f t="shared" si="11"/>
        <v>0</v>
      </c>
      <c r="AW26" s="530" t="str">
        <f t="shared" si="12"/>
        <v>现房</v>
      </c>
      <c r="AX26" s="530" t="str">
        <f t="shared" si="13"/>
        <v>14#</v>
      </c>
      <c r="AY26" s="38">
        <f t="shared" si="14"/>
        <v>6662.39</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39">
        <f t="shared" si="35"/>
        <v>0</v>
      </c>
    </row>
    <row r="27" spans="1:72">
      <c r="A27" s="6"/>
      <c r="B27" s="31" t="s">
        <v>3482</v>
      </c>
      <c r="C27" s="31" t="s">
        <v>3492</v>
      </c>
      <c r="D27" s="1513" t="s">
        <v>3496</v>
      </c>
      <c r="E27" s="32">
        <f t="shared" si="7"/>
        <v>4572.3999999999996</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3"/>
      <c r="AU27" s="1517"/>
      <c r="AV27" s="530">
        <f t="shared" si="11"/>
        <v>0</v>
      </c>
      <c r="AW27" s="530" t="str">
        <f t="shared" si="12"/>
        <v>现房</v>
      </c>
      <c r="AX27" s="530" t="str">
        <f t="shared" si="13"/>
        <v>15#</v>
      </c>
      <c r="AY27" s="38">
        <f t="shared" si="14"/>
        <v>4577.1400000000003</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39">
        <f t="shared" si="35"/>
        <v>0</v>
      </c>
    </row>
    <row r="28" spans="1:72" ht="14.4">
      <c r="A28" s="6"/>
      <c r="B28" s="3184" t="s">
        <v>3533</v>
      </c>
      <c r="C28" s="31" t="s">
        <v>3493</v>
      </c>
      <c r="D28" s="1513" t="s">
        <v>3496</v>
      </c>
      <c r="E28" s="32">
        <f t="shared" si="7"/>
        <v>6535.36</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3"/>
      <c r="AU28" s="1517"/>
      <c r="AV28" s="530">
        <f t="shared" si="11"/>
        <v>0</v>
      </c>
      <c r="AW28" s="530" t="str">
        <f t="shared" si="12"/>
        <v>现房</v>
      </c>
      <c r="AX28" s="530" t="str">
        <f t="shared" si="13"/>
        <v>16#</v>
      </c>
      <c r="AY28" s="38">
        <f t="shared" si="14"/>
        <v>6542.14</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39">
        <f t="shared" si="35"/>
        <v>0</v>
      </c>
    </row>
    <row r="29" spans="1:72">
      <c r="A29" s="6"/>
      <c r="B29" s="31" t="s">
        <v>3482</v>
      </c>
      <c r="C29" s="31" t="s">
        <v>3481</v>
      </c>
      <c r="D29" s="1513" t="s">
        <v>3496</v>
      </c>
      <c r="E29" s="32">
        <f t="shared" si="7"/>
        <v>4649.9799999999996</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3"/>
      <c r="AU29" s="1517"/>
      <c r="AV29" s="530">
        <f t="shared" si="11"/>
        <v>0</v>
      </c>
      <c r="AW29" s="530" t="str">
        <f t="shared" si="12"/>
        <v>现房</v>
      </c>
      <c r="AX29" s="530" t="str">
        <f t="shared" si="13"/>
        <v>17#</v>
      </c>
      <c r="AY29" s="38">
        <f t="shared" si="14"/>
        <v>4654.8</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39">
        <f t="shared" si="35"/>
        <v>0</v>
      </c>
    </row>
    <row r="30" spans="1:72">
      <c r="A30" s="6"/>
      <c r="B30" s="31" t="s">
        <v>3482</v>
      </c>
      <c r="C30" s="31" t="s">
        <v>3494</v>
      </c>
      <c r="D30" s="1513" t="s">
        <v>3496</v>
      </c>
      <c r="E30" s="32">
        <f t="shared" si="7"/>
        <v>4611.6499999999996</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3"/>
      <c r="AU30" s="1517"/>
      <c r="AV30" s="530">
        <f t="shared" si="11"/>
        <v>0</v>
      </c>
      <c r="AW30" s="530" t="str">
        <f t="shared" si="12"/>
        <v>现房</v>
      </c>
      <c r="AX30" s="530" t="str">
        <f t="shared" si="13"/>
        <v>18#</v>
      </c>
      <c r="AY30" s="38">
        <f t="shared" si="14"/>
        <v>4616.4399999999996</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39">
        <f t="shared" si="35"/>
        <v>0</v>
      </c>
    </row>
    <row r="31" spans="1:72">
      <c r="A31" s="6"/>
      <c r="B31" s="31" t="s">
        <v>3482</v>
      </c>
      <c r="C31" s="31" t="s">
        <v>3495</v>
      </c>
      <c r="D31" s="1513" t="s">
        <v>3496</v>
      </c>
      <c r="E31" s="32">
        <f t="shared" si="7"/>
        <v>26738</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3">
        <v>31324.17</v>
      </c>
      <c r="AU31" s="1517"/>
      <c r="AV31" s="530">
        <f t="shared" si="11"/>
        <v>0</v>
      </c>
      <c r="AW31" s="530" t="str">
        <f t="shared" si="12"/>
        <v>现房</v>
      </c>
      <c r="AX31" s="530" t="str">
        <f t="shared" si="13"/>
        <v>地下车库</v>
      </c>
      <c r="AY31" s="38">
        <f t="shared" si="14"/>
        <v>16409.43</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2:M65"/>
  <sheetViews>
    <sheetView topLeftCell="A7" workbookViewId="0">
      <selection activeCell="J37" sqref="J37"/>
    </sheetView>
  </sheetViews>
  <sheetFormatPr defaultRowHeight="14.4"/>
  <cols>
    <col min="2" max="2" width="12.21875" customWidth="1"/>
    <col min="5" max="5" width="9" customWidth="1"/>
    <col min="6" max="6" width="12.88671875" customWidth="1"/>
    <col min="7" max="7" width="9.6640625" customWidth="1"/>
    <col min="8" max="8" width="12" customWidth="1"/>
    <col min="9" max="9" width="11.77734375" customWidth="1"/>
    <col min="11" max="11" width="9" customWidth="1"/>
    <col min="13" max="13" width="10.44140625" bestFit="1" customWidth="1"/>
  </cols>
  <sheetData>
    <row r="2" spans="1:13">
      <c r="A2" s="3169"/>
      <c r="B2" s="1448" t="s">
        <v>3419</v>
      </c>
      <c r="C2" s="1448" t="s">
        <v>3420</v>
      </c>
      <c r="D2" s="1448" t="s">
        <v>3421</v>
      </c>
      <c r="E2" s="3169" t="s">
        <v>3422</v>
      </c>
      <c r="F2" s="3169" t="s">
        <v>3423</v>
      </c>
      <c r="G2" s="1448" t="s">
        <v>3424</v>
      </c>
      <c r="H2" s="1448" t="s">
        <v>3425</v>
      </c>
      <c r="I2" s="1448" t="s">
        <v>3426</v>
      </c>
      <c r="J2" s="1448" t="s">
        <v>3427</v>
      </c>
    </row>
    <row r="3" spans="1:13">
      <c r="A3" s="1448" t="s">
        <v>3428</v>
      </c>
      <c r="B3">
        <v>17658.11</v>
      </c>
      <c r="C3">
        <v>1837.58</v>
      </c>
      <c r="D3">
        <v>294.92</v>
      </c>
      <c r="F3">
        <f t="shared" ref="F3:F20" si="0">SUM(B3:E3)</f>
        <v>19790.61</v>
      </c>
      <c r="H3" s="1405" t="s">
        <v>3429</v>
      </c>
      <c r="I3" s="1405" t="s">
        <v>3430</v>
      </c>
      <c r="J3">
        <v>9</v>
      </c>
    </row>
    <row r="4" spans="1:13">
      <c r="A4" s="1448" t="s">
        <v>3431</v>
      </c>
      <c r="B4">
        <v>17658.11</v>
      </c>
      <c r="C4">
        <v>1832.56</v>
      </c>
      <c r="D4">
        <v>294.92</v>
      </c>
      <c r="F4">
        <f t="shared" si="0"/>
        <v>19785.59</v>
      </c>
      <c r="H4" s="1405" t="s">
        <v>3429</v>
      </c>
      <c r="I4" s="1405" t="s">
        <v>3430</v>
      </c>
      <c r="J4">
        <v>9</v>
      </c>
    </row>
    <row r="5" spans="1:13">
      <c r="A5" s="3170" t="s">
        <v>3432</v>
      </c>
      <c r="B5">
        <v>17658.11</v>
      </c>
      <c r="C5">
        <v>1842.18</v>
      </c>
      <c r="D5">
        <v>294.92</v>
      </c>
      <c r="F5">
        <f t="shared" si="0"/>
        <v>19795.21</v>
      </c>
      <c r="H5" s="1405" t="s">
        <v>3429</v>
      </c>
      <c r="I5" s="1405" t="s">
        <v>3433</v>
      </c>
      <c r="J5">
        <v>9</v>
      </c>
    </row>
    <row r="6" spans="1:13">
      <c r="A6" s="3171" t="s">
        <v>3434</v>
      </c>
      <c r="B6">
        <v>11307.49</v>
      </c>
      <c r="C6">
        <v>1828.26</v>
      </c>
      <c r="D6">
        <v>292.44</v>
      </c>
      <c r="F6">
        <f t="shared" si="0"/>
        <v>13428.19</v>
      </c>
      <c r="H6" s="1405" t="s">
        <v>3429</v>
      </c>
      <c r="I6" s="1405" t="s">
        <v>3433</v>
      </c>
      <c r="J6">
        <v>6</v>
      </c>
    </row>
    <row r="7" spans="1:13">
      <c r="A7" s="1448" t="s">
        <v>3435</v>
      </c>
      <c r="B7">
        <v>17658.11</v>
      </c>
      <c r="C7">
        <v>1831.24</v>
      </c>
      <c r="D7">
        <v>294.92</v>
      </c>
      <c r="F7">
        <f t="shared" si="0"/>
        <v>19784.27</v>
      </c>
      <c r="H7" s="1405" t="s">
        <v>3429</v>
      </c>
      <c r="I7" s="1405" t="s">
        <v>3433</v>
      </c>
      <c r="J7">
        <v>9</v>
      </c>
      <c r="M7">
        <f>F7*15000</f>
        <v>296764050</v>
      </c>
    </row>
    <row r="8" spans="1:13">
      <c r="A8" s="3172" t="s">
        <v>3436</v>
      </c>
      <c r="B8" s="3173">
        <v>17658.11</v>
      </c>
      <c r="C8" s="3173">
        <v>1834.45</v>
      </c>
      <c r="D8" s="3173">
        <v>294.92</v>
      </c>
      <c r="E8" s="3173"/>
      <c r="F8" s="3173">
        <f t="shared" si="0"/>
        <v>19787.48</v>
      </c>
      <c r="G8" s="3173"/>
      <c r="H8" s="3174" t="s">
        <v>3437</v>
      </c>
      <c r="I8" s="3174" t="s">
        <v>3433</v>
      </c>
      <c r="J8">
        <v>9</v>
      </c>
      <c r="L8" s="3178" t="s">
        <v>3446</v>
      </c>
    </row>
    <row r="9" spans="1:13">
      <c r="A9" s="3171" t="s">
        <v>3438</v>
      </c>
      <c r="B9">
        <v>11958.17</v>
      </c>
      <c r="C9">
        <v>1822.18</v>
      </c>
      <c r="D9">
        <v>292.44</v>
      </c>
      <c r="F9">
        <f t="shared" si="0"/>
        <v>14072.79</v>
      </c>
      <c r="H9" s="1405" t="s">
        <v>3429</v>
      </c>
      <c r="I9" s="1405" t="s">
        <v>3433</v>
      </c>
      <c r="J9">
        <v>6</v>
      </c>
    </row>
    <row r="10" spans="1:13">
      <c r="A10" s="3175" t="s">
        <v>3439</v>
      </c>
      <c r="B10" s="3176">
        <v>18018.59</v>
      </c>
      <c r="C10" s="3176">
        <v>1842.94</v>
      </c>
      <c r="D10" s="3176">
        <v>294.83999999999997</v>
      </c>
      <c r="E10" s="3176"/>
      <c r="F10" s="3176">
        <f t="shared" si="0"/>
        <v>20156.37</v>
      </c>
      <c r="G10" s="3176"/>
      <c r="H10" s="3177" t="s">
        <v>3429</v>
      </c>
      <c r="I10" s="3177" t="s">
        <v>3440</v>
      </c>
      <c r="J10">
        <v>9</v>
      </c>
    </row>
    <row r="11" spans="1:13">
      <c r="A11" s="1448" t="s">
        <v>3441</v>
      </c>
      <c r="B11">
        <v>17658.11</v>
      </c>
      <c r="C11">
        <v>1836.4</v>
      </c>
      <c r="D11">
        <v>294.92</v>
      </c>
      <c r="F11">
        <f t="shared" si="0"/>
        <v>19789.43</v>
      </c>
      <c r="H11" s="1405" t="s">
        <v>3429</v>
      </c>
      <c r="I11" s="1405" t="s">
        <v>3433</v>
      </c>
      <c r="J11">
        <v>9</v>
      </c>
      <c r="M11">
        <f>F11*15000</f>
        <v>296841450</v>
      </c>
    </row>
    <row r="12" spans="1:13">
      <c r="A12" s="3172" t="s">
        <v>3442</v>
      </c>
      <c r="B12" s="3173">
        <v>17658.11</v>
      </c>
      <c r="C12" s="3173">
        <v>1833.48</v>
      </c>
      <c r="D12" s="3173">
        <v>361.2</v>
      </c>
      <c r="E12" s="3173"/>
      <c r="F12" s="3173">
        <f t="shared" si="0"/>
        <v>19852.79</v>
      </c>
      <c r="G12" s="3173"/>
      <c r="H12" s="3174" t="s">
        <v>3437</v>
      </c>
      <c r="I12" s="1405" t="s">
        <v>3443</v>
      </c>
      <c r="J12">
        <v>9</v>
      </c>
      <c r="L12" s="3178" t="s">
        <v>3446</v>
      </c>
    </row>
    <row r="13" spans="1:13">
      <c r="A13" s="3170" t="s">
        <v>3444</v>
      </c>
      <c r="B13">
        <v>18018.59</v>
      </c>
      <c r="C13">
        <v>1848.39</v>
      </c>
      <c r="D13">
        <v>296.91000000000003</v>
      </c>
      <c r="F13">
        <f t="shared" si="0"/>
        <v>20163.89</v>
      </c>
      <c r="H13" s="1405" t="s">
        <v>3429</v>
      </c>
      <c r="I13" s="1405" t="s">
        <v>3433</v>
      </c>
      <c r="J13">
        <v>9</v>
      </c>
    </row>
    <row r="14" spans="1:13">
      <c r="A14" s="3170" t="s">
        <v>3445</v>
      </c>
      <c r="B14">
        <v>17658.11</v>
      </c>
      <c r="C14">
        <v>1831.19</v>
      </c>
      <c r="D14">
        <v>294.92</v>
      </c>
      <c r="F14">
        <f t="shared" si="0"/>
        <v>19784.219999999998</v>
      </c>
      <c r="H14" s="1405" t="s">
        <v>3429</v>
      </c>
      <c r="I14" s="1405" t="s">
        <v>3433</v>
      </c>
      <c r="J14">
        <v>9</v>
      </c>
      <c r="L14" s="3178"/>
    </row>
    <row r="15" spans="1:13">
      <c r="A15" s="3171" t="s">
        <v>3447</v>
      </c>
      <c r="B15">
        <v>11958.17</v>
      </c>
      <c r="C15">
        <v>1822.15</v>
      </c>
      <c r="D15">
        <v>292.44</v>
      </c>
      <c r="F15">
        <f t="shared" si="0"/>
        <v>14072.76</v>
      </c>
      <c r="H15" s="1405" t="s">
        <v>3429</v>
      </c>
      <c r="I15" s="1405" t="s">
        <v>3433</v>
      </c>
      <c r="J15">
        <v>6</v>
      </c>
    </row>
    <row r="16" spans="1:13">
      <c r="A16" s="3171" t="s">
        <v>3448</v>
      </c>
      <c r="B16">
        <v>18018.59</v>
      </c>
      <c r="C16">
        <v>1837.92</v>
      </c>
      <c r="D16">
        <v>294.83999999999997</v>
      </c>
      <c r="F16">
        <f t="shared" si="0"/>
        <v>20151.350000000002</v>
      </c>
      <c r="H16" s="1405" t="s">
        <v>3429</v>
      </c>
      <c r="I16" s="1405" t="s">
        <v>3433</v>
      </c>
      <c r="J16">
        <v>9</v>
      </c>
    </row>
    <row r="17" spans="1:12">
      <c r="A17" s="3179" t="s">
        <v>3449</v>
      </c>
      <c r="B17">
        <v>11728.85</v>
      </c>
      <c r="C17">
        <v>1822.93</v>
      </c>
      <c r="D17">
        <v>292.44</v>
      </c>
      <c r="F17">
        <f t="shared" si="0"/>
        <v>13844.220000000001</v>
      </c>
      <c r="H17" s="1405" t="s">
        <v>3429</v>
      </c>
      <c r="I17" s="1405" t="s">
        <v>3450</v>
      </c>
      <c r="J17">
        <v>6</v>
      </c>
    </row>
    <row r="18" spans="1:12">
      <c r="A18" s="3172" t="s">
        <v>3451</v>
      </c>
      <c r="B18" s="3173">
        <v>17658.11</v>
      </c>
      <c r="C18" s="3173">
        <v>1834.61</v>
      </c>
      <c r="D18" s="3173">
        <v>294.92</v>
      </c>
      <c r="E18" s="3173"/>
      <c r="F18" s="3173">
        <f t="shared" si="0"/>
        <v>19787.64</v>
      </c>
      <c r="G18" s="3173"/>
      <c r="H18" s="3174" t="s">
        <v>3437</v>
      </c>
      <c r="I18" s="1405" t="s">
        <v>3443</v>
      </c>
      <c r="J18">
        <v>9</v>
      </c>
      <c r="L18" s="3178" t="s">
        <v>3446</v>
      </c>
    </row>
    <row r="19" spans="1:12">
      <c r="A19" s="3171" t="s">
        <v>3452</v>
      </c>
      <c r="B19">
        <v>11958.17</v>
      </c>
      <c r="C19">
        <v>1828.5</v>
      </c>
      <c r="D19">
        <v>292.44</v>
      </c>
      <c r="F19">
        <f t="shared" si="0"/>
        <v>14079.11</v>
      </c>
      <c r="H19" s="1405" t="s">
        <v>3429</v>
      </c>
      <c r="I19" s="1405" t="s">
        <v>3433</v>
      </c>
      <c r="J19">
        <v>6</v>
      </c>
    </row>
    <row r="20" spans="1:12">
      <c r="A20" s="3179" t="s">
        <v>3453</v>
      </c>
      <c r="B20">
        <v>11836</v>
      </c>
      <c r="C20">
        <v>1834.64</v>
      </c>
      <c r="D20">
        <v>292.44</v>
      </c>
      <c r="F20">
        <f t="shared" si="0"/>
        <v>13963.08</v>
      </c>
      <c r="H20" s="1405" t="s">
        <v>3429</v>
      </c>
      <c r="I20" s="1405" t="s">
        <v>3450</v>
      </c>
      <c r="J20">
        <v>6</v>
      </c>
    </row>
    <row r="21" spans="1:12">
      <c r="A21" s="1448" t="s">
        <v>3454</v>
      </c>
      <c r="C21">
        <f>ROUND(F21*C23,2)</f>
        <v>6948.57</v>
      </c>
      <c r="D21">
        <f>ROUND(F21*D23,2)</f>
        <v>3474.28</v>
      </c>
      <c r="E21">
        <f>ROUND(F21*E23,2)</f>
        <v>39209.79</v>
      </c>
      <c r="F21">
        <v>49632.639999999999</v>
      </c>
      <c r="G21">
        <v>31324.17</v>
      </c>
      <c r="H21" s="1405" t="s">
        <v>3429</v>
      </c>
    </row>
    <row r="22" spans="1:12">
      <c r="B22">
        <f>SUM(B3:B21)</f>
        <v>283725.61</v>
      </c>
      <c r="C22">
        <f>SUM(C3:C21)</f>
        <v>39950.17</v>
      </c>
      <c r="D22">
        <f>SUM(D3:D21)</f>
        <v>8836.07</v>
      </c>
      <c r="E22">
        <f>SUM(E3:E21)</f>
        <v>39209.79</v>
      </c>
      <c r="F22">
        <f>SUM(F3:F21)</f>
        <v>371721.64000000007</v>
      </c>
    </row>
    <row r="23" spans="1:12">
      <c r="C23">
        <v>0.14000000000000001</v>
      </c>
      <c r="D23">
        <v>7.0000000000000007E-2</v>
      </c>
      <c r="E23">
        <v>0.79</v>
      </c>
      <c r="H23" s="3174" t="s">
        <v>3455</v>
      </c>
    </row>
    <row r="25" spans="1:12">
      <c r="A25" s="1405" t="s">
        <v>3456</v>
      </c>
      <c r="B25" s="1405"/>
    </row>
    <row r="26" spans="1:12">
      <c r="C26" s="1405" t="s">
        <v>3457</v>
      </c>
      <c r="D26" s="1405" t="s">
        <v>3458</v>
      </c>
      <c r="E26" s="1405" t="s">
        <v>3534</v>
      </c>
      <c r="F26" s="1405" t="s">
        <v>3459</v>
      </c>
      <c r="G26" s="3180" t="s">
        <v>3460</v>
      </c>
      <c r="J26" s="1405" t="s">
        <v>3461</v>
      </c>
    </row>
    <row r="27" spans="1:12">
      <c r="A27" s="1405">
        <v>11</v>
      </c>
      <c r="B27" s="1405" t="s">
        <v>3462</v>
      </c>
      <c r="C27">
        <f>B5+B6+B7+B8+B9+B11+B13+B14+B15+B16+B19</f>
        <v>171509.73</v>
      </c>
      <c r="D27">
        <f t="shared" ref="D27:E27" si="1">C5+C6+C7+C8+C9+C11+C13+C14+C15+C16+C19</f>
        <v>20162.86</v>
      </c>
      <c r="E27">
        <f t="shared" si="1"/>
        <v>3236.1100000000006</v>
      </c>
      <c r="F27">
        <f>SUM(C27:E27)</f>
        <v>194908.7</v>
      </c>
      <c r="G27" s="3158">
        <v>14000</v>
      </c>
      <c r="H27">
        <f>G27*F27</f>
        <v>2728721800</v>
      </c>
      <c r="J27">
        <f>ROUND(F36*0.5,1)</f>
        <v>12.7</v>
      </c>
      <c r="K27">
        <f>J27*(C27+D27)</f>
        <v>2434241.8930000002</v>
      </c>
    </row>
    <row r="28" spans="1:12">
      <c r="A28">
        <v>6</v>
      </c>
      <c r="B28" s="1405" t="s">
        <v>3463</v>
      </c>
      <c r="C28">
        <f>B3+B4+B12+B17+B18+B20</f>
        <v>94197.290000000008</v>
      </c>
      <c r="D28">
        <f t="shared" ref="D28:E28" si="2">C3+C4+C12+C17+C18+C20</f>
        <v>10995.8</v>
      </c>
      <c r="E28">
        <f t="shared" si="2"/>
        <v>1830.8400000000001</v>
      </c>
      <c r="F28">
        <f>SUM(C28:E28)</f>
        <v>107023.93000000001</v>
      </c>
      <c r="G28" s="3158">
        <v>5500</v>
      </c>
      <c r="H28">
        <f>G28*F28</f>
        <v>588631615</v>
      </c>
      <c r="J28">
        <v>2</v>
      </c>
      <c r="K28">
        <f>J28*(C28+D28)</f>
        <v>210386.18000000002</v>
      </c>
    </row>
    <row r="29" spans="1:12">
      <c r="B29" s="1405" t="s">
        <v>3454</v>
      </c>
      <c r="D29">
        <f>C21+E21</f>
        <v>46158.36</v>
      </c>
      <c r="E29">
        <f>D21</f>
        <v>3474.28</v>
      </c>
      <c r="F29">
        <f>SUM(C29:E29)</f>
        <v>49632.639999999999</v>
      </c>
      <c r="G29" s="3158">
        <f>G28</f>
        <v>5500</v>
      </c>
      <c r="H29">
        <f>G29*F29</f>
        <v>272979520</v>
      </c>
      <c r="K29">
        <f>J29*F29</f>
        <v>0</v>
      </c>
    </row>
    <row r="30" spans="1:12">
      <c r="A30">
        <f>SUM(A27:A29)</f>
        <v>17</v>
      </c>
      <c r="C30">
        <f>SUM(C27:C29)</f>
        <v>265707.02</v>
      </c>
      <c r="D30">
        <f>SUM(D27:D29)</f>
        <v>77317.02</v>
      </c>
      <c r="E30">
        <f>SUM(E27:E29)</f>
        <v>8541.2300000000014</v>
      </c>
      <c r="F30">
        <f>SUM(F27:F29)</f>
        <v>351565.27</v>
      </c>
      <c r="G30" s="3178">
        <f>ROUND(H30/F30,0)</f>
        <v>10212</v>
      </c>
      <c r="H30">
        <f>SUM(H27:H29)</f>
        <v>3590332935</v>
      </c>
      <c r="K30">
        <f>SUM(K27:K29)</f>
        <v>2644628.0730000003</v>
      </c>
      <c r="L30" s="3158">
        <f>K30/(C30+D30)</f>
        <v>7.7097455706019904</v>
      </c>
    </row>
    <row r="31" spans="1:12">
      <c r="G31" s="3178"/>
    </row>
    <row r="33" spans="2:12">
      <c r="B33" s="1405" t="s">
        <v>3464</v>
      </c>
      <c r="E33" s="1405" t="s">
        <v>3465</v>
      </c>
    </row>
    <row r="34" spans="2:12">
      <c r="B34" s="1405" t="s">
        <v>3466</v>
      </c>
      <c r="C34" s="3173">
        <v>5800</v>
      </c>
      <c r="D34" s="1405" t="s">
        <v>3467</v>
      </c>
      <c r="E34" s="1405" t="s">
        <v>3468</v>
      </c>
      <c r="F34" s="3173">
        <f>D65</f>
        <v>25605</v>
      </c>
    </row>
    <row r="35" spans="2:12">
      <c r="B35" s="1405" t="s">
        <v>3469</v>
      </c>
      <c r="C35">
        <v>2800</v>
      </c>
      <c r="D35" s="1405" t="s">
        <v>3470</v>
      </c>
      <c r="E35" s="1405" t="s">
        <v>3471</v>
      </c>
      <c r="F35">
        <f>F34*C34*12</f>
        <v>1782108000</v>
      </c>
    </row>
    <row r="36" spans="2:12">
      <c r="B36" s="1405" t="s">
        <v>3472</v>
      </c>
      <c r="C36">
        <v>1800</v>
      </c>
      <c r="D36" s="1405" t="s">
        <v>3470</v>
      </c>
      <c r="E36" s="1405" t="s">
        <v>3473</v>
      </c>
      <c r="F36">
        <f>F35/365/(C27+D27)</f>
        <v>25.473061491123357</v>
      </c>
    </row>
    <row r="37" spans="2:12">
      <c r="B37" s="1405" t="s">
        <v>3474</v>
      </c>
      <c r="C37">
        <v>10</v>
      </c>
    </row>
    <row r="40" spans="2:12">
      <c r="B40" s="1405"/>
      <c r="E40" s="3185"/>
      <c r="F40" s="3185"/>
      <c r="G40" s="1156"/>
    </row>
    <row r="41" spans="2:12">
      <c r="B41" s="1405"/>
      <c r="E41" s="3185"/>
      <c r="F41" s="3185"/>
      <c r="G41" s="3186"/>
    </row>
    <row r="42" spans="2:12">
      <c r="E42" s="3185"/>
      <c r="F42" s="3185"/>
      <c r="G42" s="3186"/>
    </row>
    <row r="43" spans="2:12">
      <c r="E43" s="3185"/>
      <c r="F43" s="3185"/>
      <c r="G43" s="3186"/>
    </row>
    <row r="44" spans="2:12">
      <c r="E44" s="3185"/>
      <c r="F44" s="3185"/>
      <c r="G44" s="3186"/>
    </row>
    <row r="45" spans="2:12">
      <c r="E45" s="3185"/>
      <c r="F45" s="3185"/>
      <c r="G45" s="3186"/>
      <c r="L45" s="1405" t="s">
        <v>3535</v>
      </c>
    </row>
    <row r="46" spans="2:12">
      <c r="E46" s="3185"/>
      <c r="F46" s="3185"/>
      <c r="G46" s="3186"/>
    </row>
    <row r="47" spans="2:12">
      <c r="E47" s="3185"/>
      <c r="F47" s="3185"/>
      <c r="G47" s="3186"/>
    </row>
    <row r="48" spans="2:12">
      <c r="E48" s="3185"/>
      <c r="F48" s="3185"/>
      <c r="G48" s="3186"/>
    </row>
    <row r="49" spans="5:8">
      <c r="E49" s="3185"/>
      <c r="F49" s="3185"/>
      <c r="G49" s="3186"/>
    </row>
    <row r="50" spans="5:8">
      <c r="E50" s="3185"/>
      <c r="F50" s="3185"/>
      <c r="G50" s="3185"/>
    </row>
    <row r="51" spans="5:8">
      <c r="E51" s="3185"/>
      <c r="F51" s="3185"/>
      <c r="G51" s="3185"/>
      <c r="H51" s="1405"/>
    </row>
    <row r="52" spans="5:8">
      <c r="E52" s="3185"/>
      <c r="F52" s="3187"/>
    </row>
    <row r="65" spans="3:4">
      <c r="C65" s="1405" t="s">
        <v>3536</v>
      </c>
      <c r="D65">
        <f>22994+2611</f>
        <v>25605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28" sqref="E2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1129</v>
      </c>
      <c r="B1" s="1071"/>
      <c r="C1" s="1071"/>
      <c r="D1" s="1071"/>
      <c r="E1" s="1071"/>
      <c r="F1" s="1071"/>
      <c r="G1" s="1071"/>
      <c r="H1" s="1071"/>
      <c r="I1" s="1071"/>
      <c r="J1" s="1071"/>
      <c r="K1" s="1071"/>
      <c r="L1" s="1071"/>
      <c r="M1" s="1071"/>
      <c r="N1" s="1071"/>
      <c r="O1" s="1071"/>
      <c r="P1" s="1071"/>
    </row>
    <row r="2" spans="1:16" ht="14.4">
      <c r="A2" s="3285" t="s">
        <v>1130</v>
      </c>
      <c r="B2" s="3285"/>
      <c r="C2" s="3285"/>
      <c r="D2" s="748" t="s">
        <v>1106</v>
      </c>
      <c r="E2" s="1523" t="s">
        <v>1107</v>
      </c>
      <c r="F2" s="2438"/>
      <c r="G2" s="2431"/>
      <c r="H2" s="2432"/>
      <c r="I2" s="2146" t="s">
        <v>1131</v>
      </c>
      <c r="J2" s="2438"/>
      <c r="K2" s="2438"/>
      <c r="L2" s="2438"/>
      <c r="M2" s="2438"/>
      <c r="N2" s="2439"/>
      <c r="O2" s="2438"/>
      <c r="P2" s="2438"/>
    </row>
    <row r="3" spans="1:16" ht="15" thickBot="1">
      <c r="A3" s="3286" t="s">
        <v>1104</v>
      </c>
      <c r="B3" s="3286"/>
      <c r="C3" s="3286"/>
      <c r="D3" s="41">
        <f>'数据-基础表'!AY6</f>
        <v>116233.68</v>
      </c>
      <c r="E3" s="41">
        <f>'数据-基础表'!AZ5</f>
        <v>351565.27</v>
      </c>
      <c r="F3" s="2438"/>
      <c r="G3" s="42"/>
      <c r="H3" s="43" t="s">
        <v>1105</v>
      </c>
      <c r="I3" s="802">
        <f>ROUND('数据-基础表'!B3/'数据-基础表'!A3,2)</f>
        <v>3.03</v>
      </c>
      <c r="J3" s="2438"/>
      <c r="K3" s="2438"/>
      <c r="L3" s="2438"/>
      <c r="M3" s="2438"/>
      <c r="N3" s="2439"/>
      <c r="O3" s="2438"/>
      <c r="P3" s="2438"/>
    </row>
    <row r="4" spans="1:16" ht="14.4">
      <c r="A4" s="3287"/>
      <c r="B4" s="3288"/>
      <c r="C4" s="3289"/>
      <c r="D4" s="1524" t="s">
        <v>1106</v>
      </c>
      <c r="E4" s="1525" t="s">
        <v>1107</v>
      </c>
      <c r="F4" s="2438"/>
      <c r="G4" s="2433" t="s">
        <v>1132</v>
      </c>
      <c r="H4" s="43" t="s">
        <v>1112</v>
      </c>
      <c r="I4" s="802">
        <f>ROUND(SUMIF('数据-基础表'!I9:AS9,"地上",'数据-基础表'!I5:AS5)/'数据-基础表'!A3,2)</f>
        <v>2.17</v>
      </c>
      <c r="J4" s="2438"/>
      <c r="K4" s="2438"/>
      <c r="L4" s="2438"/>
      <c r="M4" s="2438"/>
      <c r="N4" s="2439"/>
      <c r="O4" s="2438"/>
      <c r="P4" s="2438"/>
    </row>
    <row r="5" spans="1:16" ht="14.4">
      <c r="A5" s="42" t="s">
        <v>1108</v>
      </c>
      <c r="B5" s="3290" t="s">
        <v>1109</v>
      </c>
      <c r="C5" s="3290"/>
      <c r="D5" s="43">
        <f>ROUND($D$3*E5/$E$3,2)</f>
        <v>0</v>
      </c>
      <c r="E5" s="44">
        <f>SUMIF('数据-基础表'!$11:$11,"住宅",'数据-基础表'!$5:$5)</f>
        <v>0</v>
      </c>
      <c r="F5" s="2438"/>
      <c r="G5" s="42"/>
      <c r="H5" s="43" t="s">
        <v>1105</v>
      </c>
      <c r="I5" s="802">
        <f>ROUND(E31/D31,2)</f>
        <v>3.02</v>
      </c>
      <c r="J5" s="2438"/>
      <c r="K5" s="2438"/>
      <c r="L5" s="2438"/>
      <c r="M5" s="2438"/>
      <c r="N5" s="2438"/>
      <c r="O5" s="2438"/>
      <c r="P5" s="2438"/>
    </row>
    <row r="6" spans="1:16" ht="15" thickBot="1">
      <c r="A6" s="1527"/>
      <c r="B6" s="3290" t="s">
        <v>1110</v>
      </c>
      <c r="C6" s="3290"/>
      <c r="D6" s="43">
        <f>ROUND($D$3*E6/$E$3,2)</f>
        <v>116233.68</v>
      </c>
      <c r="E6" s="44">
        <f>E3-E5</f>
        <v>351565.27</v>
      </c>
      <c r="F6" s="2438"/>
      <c r="G6" s="1529" t="s">
        <v>1111</v>
      </c>
      <c r="H6" s="45" t="s">
        <v>1112</v>
      </c>
      <c r="I6" s="2434">
        <f>ROUND(F31/D31,2)</f>
        <v>2.33</v>
      </c>
      <c r="J6" s="2438"/>
      <c r="K6" s="2438"/>
      <c r="L6" s="2438"/>
      <c r="M6" s="2438"/>
      <c r="N6" s="2438"/>
      <c r="O6" s="2438"/>
      <c r="P6" s="2438"/>
    </row>
    <row r="7" spans="1:16" ht="15" thickBot="1">
      <c r="A7" s="3282"/>
      <c r="B7" s="3283"/>
      <c r="C7" s="3284"/>
      <c r="D7" s="1524" t="s">
        <v>1106</v>
      </c>
      <c r="E7" s="1528" t="s">
        <v>1113</v>
      </c>
      <c r="F7" s="2438"/>
      <c r="G7" s="2435" t="s">
        <v>1114</v>
      </c>
      <c r="H7" s="95"/>
      <c r="I7" s="2436"/>
      <c r="J7" s="2438"/>
      <c r="K7" s="2438"/>
      <c r="L7" s="2438"/>
      <c r="M7" s="2438"/>
      <c r="N7" s="2438"/>
      <c r="O7" s="2438"/>
      <c r="P7" s="2438"/>
    </row>
    <row r="8" spans="1:16" ht="14.4">
      <c r="A8" s="42" t="s">
        <v>1115</v>
      </c>
      <c r="B8" s="45" t="s">
        <v>1116</v>
      </c>
      <c r="C8" s="43" t="s">
        <v>1117</v>
      </c>
      <c r="D8" s="43">
        <f t="shared" ref="D8:D15" si="0">ROUND($D$3*E8/$E$3,2)</f>
        <v>87847.43</v>
      </c>
      <c r="E8" s="46">
        <f>SUMIF('数据-基础表'!BB10:BK10,"地上",'数据-基础表'!BB5:BK5)</f>
        <v>265707.02</v>
      </c>
      <c r="F8" s="2438"/>
      <c r="G8" s="2438"/>
      <c r="H8" s="2438"/>
      <c r="I8" s="2438"/>
      <c r="J8" s="2438"/>
      <c r="K8" s="2438"/>
      <c r="L8" s="2438"/>
      <c r="M8" s="2438"/>
      <c r="N8" s="2438"/>
      <c r="O8" s="2438"/>
      <c r="P8" s="2438"/>
    </row>
    <row r="9" spans="1:16" ht="14.4">
      <c r="A9" s="1529"/>
      <c r="B9" s="1530"/>
      <c r="C9" s="43" t="s">
        <v>1118</v>
      </c>
      <c r="D9" s="43">
        <f t="shared" si="0"/>
        <v>0</v>
      </c>
      <c r="E9" s="47">
        <v>0</v>
      </c>
      <c r="F9" s="2438"/>
      <c r="G9" s="2438"/>
      <c r="H9" s="2438"/>
      <c r="I9" s="2438"/>
      <c r="J9" s="2438"/>
      <c r="K9" s="2438"/>
      <c r="L9" s="2438"/>
      <c r="M9" s="2438"/>
      <c r="N9" s="2438"/>
      <c r="O9" s="2438"/>
      <c r="P9" s="2438"/>
    </row>
    <row r="10" spans="1:16" ht="14.4">
      <c r="A10" s="1529"/>
      <c r="B10" s="1530"/>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1121</v>
      </c>
      <c r="D13" s="43">
        <f t="shared" si="0"/>
        <v>12963.45</v>
      </c>
      <c r="E13" s="46">
        <f>SUMPRODUCT(('数据-基础表'!BB10:BK10="地下")*('数据-基础表'!BB11:BK11="车库")*('数据-基础表'!BB5:BK5))</f>
        <v>39209.79</v>
      </c>
      <c r="F13" s="2438"/>
      <c r="G13" s="2438"/>
      <c r="H13" s="2438"/>
      <c r="I13" s="2438"/>
      <c r="J13" s="2438"/>
      <c r="K13" s="2438"/>
      <c r="L13" s="2438"/>
      <c r="M13" s="2438"/>
      <c r="N13" s="2438"/>
      <c r="O13" s="2438"/>
      <c r="P13" s="2438"/>
    </row>
    <row r="14" spans="1:16" ht="14.4">
      <c r="A14" s="1529"/>
      <c r="B14" s="1530"/>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1122</v>
      </c>
      <c r="D16" s="45">
        <f>SUM(D8:D15)</f>
        <v>100810.87999999999</v>
      </c>
      <c r="E16" s="48">
        <f>SUM(E8:E15)</f>
        <v>304916.81</v>
      </c>
      <c r="F16" s="2438"/>
      <c r="G16" s="2438"/>
      <c r="H16" s="1531" t="s">
        <v>1134</v>
      </c>
      <c r="I16" s="1532"/>
      <c r="J16" s="1071"/>
      <c r="K16" s="3279" t="s">
        <v>1134</v>
      </c>
      <c r="L16" s="3280"/>
      <c r="M16" s="3280"/>
      <c r="N16" s="3280"/>
      <c r="O16" s="3280"/>
      <c r="P16" s="3281"/>
    </row>
    <row r="17" spans="1:19" ht="14.4">
      <c r="A17" s="1533" t="s">
        <v>1135</v>
      </c>
      <c r="B17" s="1534" t="s">
        <v>1136</v>
      </c>
      <c r="C17" s="1535" t="s">
        <v>1137</v>
      </c>
      <c r="D17" s="1536" t="s">
        <v>1125</v>
      </c>
      <c r="E17" s="1537" t="s">
        <v>1126</v>
      </c>
      <c r="F17" s="1538"/>
      <c r="G17" s="1539"/>
      <c r="H17" s="1540" t="s">
        <v>1138</v>
      </c>
      <c r="I17" s="1541" t="s">
        <v>1123</v>
      </c>
      <c r="J17" s="1071"/>
      <c r="K17" s="3276" t="s">
        <v>1139</v>
      </c>
      <c r="L17" s="3277"/>
      <c r="M17" s="3278"/>
      <c r="N17" s="3276" t="s">
        <v>1140</v>
      </c>
      <c r="O17" s="3277"/>
      <c r="P17" s="3278"/>
      <c r="R17" s="769" t="s">
        <v>1141</v>
      </c>
      <c r="S17" s="54"/>
    </row>
    <row r="18" spans="1:19" ht="14.4">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ht="14.4">
      <c r="A19" s="1549"/>
      <c r="B19" s="45" t="s">
        <v>1124</v>
      </c>
      <c r="C19" s="3115" t="s">
        <v>3501</v>
      </c>
      <c r="D19" s="43">
        <f>ROUND($D$3*E19/$E$3,2)</f>
        <v>113409.8</v>
      </c>
      <c r="E19" s="51">
        <f t="shared" ref="E19:E26" si="1">SUM(F19:G19)</f>
        <v>343024.03999999992</v>
      </c>
      <c r="F19" s="2557">
        <f>'数据-基础表'!I5-'数据-基础表'!I20</f>
        <v>265707.01999999996</v>
      </c>
      <c r="G19" s="1243">
        <f>'数据-基础表'!K5-'数据-基础表'!K20+'数据-基础表'!M31</f>
        <v>77317.01999999999</v>
      </c>
      <c r="H19" s="637">
        <f>ROUND($D$3*I19/$E$3,2)</f>
        <v>2823.88</v>
      </c>
      <c r="I19" s="46">
        <f t="shared" ref="I19:I26" si="2">IF($I$17="自定义",P19,M19)</f>
        <v>8541.23</v>
      </c>
      <c r="J19" s="1071"/>
      <c r="K19" s="637">
        <f t="shared" ref="K19:K26" si="3">ROUND(E$28*E19/E$27,2)</f>
        <v>8541.23</v>
      </c>
      <c r="L19" s="43">
        <f t="shared" ref="L19:L26" si="4">ROUND(IF(COUNTIF(C19,"*住宅*")&gt;0,E$29*E19/E$32,0),2)</f>
        <v>0</v>
      </c>
      <c r="M19" s="46">
        <f>K19+L19</f>
        <v>8541.23</v>
      </c>
      <c r="N19" s="1550"/>
      <c r="O19" s="1551"/>
      <c r="P19" s="46">
        <f>N19+O19</f>
        <v>0</v>
      </c>
      <c r="R19" s="43">
        <f t="shared" ref="R19:S26" si="5">D19+H19</f>
        <v>116233.68000000001</v>
      </c>
      <c r="S19" s="51">
        <f t="shared" si="5"/>
        <v>351565.2699999999</v>
      </c>
    </row>
    <row r="20" spans="1:19" ht="14.4">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1153</v>
      </c>
      <c r="D27" s="1072">
        <f>SUM(D19:D26)</f>
        <v>113409.8</v>
      </c>
      <c r="E27" s="1073">
        <f>IF(SUM(E19:E26)='数据-基础表'!BA5,SUM(E19:E26),IF(F27="地上面积有误","面积有误","地下面积有误"))</f>
        <v>343024.03999999992</v>
      </c>
      <c r="F27" s="1072">
        <f>IF(SUM(F19:F26)=E8,SUM(F19:F26),"地上面积有误")</f>
        <v>265707.01999999996</v>
      </c>
      <c r="G27" s="1074">
        <f>SUM(G19:G26)</f>
        <v>77317.01999999999</v>
      </c>
      <c r="H27" s="1075">
        <f>SUM(H19:H26)</f>
        <v>2823.88</v>
      </c>
      <c r="I27" s="1076">
        <f>SUM(I19:I26)</f>
        <v>8541.23</v>
      </c>
      <c r="J27" s="1071"/>
      <c r="K27" s="1077">
        <f>SUM(K19:K26)</f>
        <v>8541.23</v>
      </c>
      <c r="L27" s="785">
        <f>SUM(L19:L26)</f>
        <v>0</v>
      </c>
      <c r="M27" s="1078">
        <f>SUM(M19:M26)</f>
        <v>8541.23</v>
      </c>
      <c r="N27" s="1077">
        <f t="shared" ref="N27:O27" si="10">SUM(N19:N26)</f>
        <v>0</v>
      </c>
      <c r="O27" s="785">
        <f t="shared" si="10"/>
        <v>0</v>
      </c>
      <c r="P27" s="94">
        <f>SUM(P19:P26)</f>
        <v>0</v>
      </c>
      <c r="R27" s="968">
        <f>IF(SUM(R19:R26)=$D$3,SUM(R19:R26),SUM(R19:R26)&amp;"误差"&amp;ROUND(SUM(R19:R26)-$D$3,2))</f>
        <v>116233.68000000001</v>
      </c>
      <c r="S27" s="43">
        <f>IF(SUM(S19:S26)=$E$3,SUM(S19:S26),SUM(S19:S26)&amp;"误差"&amp;ROUND(SUM(S19:S26)-E3,2))</f>
        <v>351565.2699999999</v>
      </c>
    </row>
    <row r="28" spans="1:19" ht="14.4">
      <c r="A28" s="1549"/>
      <c r="B28" s="45" t="s">
        <v>1154</v>
      </c>
      <c r="C28" s="54" t="s">
        <v>1155</v>
      </c>
      <c r="D28" s="43">
        <f>ROUND($D$3*E28/$E$3,2)</f>
        <v>2823.88</v>
      </c>
      <c r="E28" s="51">
        <f>SUM(F28:G28)</f>
        <v>8541.23</v>
      </c>
      <c r="F28" s="54">
        <f>'数据-基础表'!BQ5+'数据-基础表'!BS5</f>
        <v>5066.9499999999989</v>
      </c>
      <c r="G28" s="55">
        <f>'数据-基础表'!BR5+'数据-基础表'!BT5</f>
        <v>3474.28</v>
      </c>
      <c r="H28" s="2438"/>
      <c r="I28" s="2438"/>
      <c r="J28" s="2438"/>
      <c r="K28" s="2438"/>
      <c r="L28" s="2438"/>
      <c r="M28" s="2438"/>
      <c r="N28" s="2438"/>
      <c r="O28" s="2438"/>
      <c r="P28" s="2438"/>
    </row>
    <row r="29" spans="1:19" ht="14.4">
      <c r="A29" s="1549"/>
      <c r="B29" s="45" t="s">
        <v>1154</v>
      </c>
      <c r="C29" s="1555"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1153</v>
      </c>
      <c r="D30" s="1072">
        <f>SUM(D28:D29)</f>
        <v>2823.88</v>
      </c>
      <c r="E30" s="1072">
        <f>SUM(E28:E29)</f>
        <v>8541.23</v>
      </c>
      <c r="F30" s="1072">
        <f>SUM(F28:F29)</f>
        <v>5066.9499999999989</v>
      </c>
      <c r="G30" s="1074">
        <f>SUM(G28:G29)</f>
        <v>3474.28</v>
      </c>
      <c r="H30" s="2438"/>
      <c r="I30" s="2438"/>
      <c r="J30" s="2438"/>
      <c r="K30" s="2438"/>
      <c r="L30" s="2438"/>
      <c r="M30" s="2438"/>
      <c r="N30" s="2438"/>
      <c r="O30" s="2438"/>
      <c r="P30" s="2438"/>
    </row>
    <row r="31" spans="1:19" ht="15" thickBot="1">
      <c r="A31" s="1557"/>
      <c r="B31" s="96"/>
      <c r="C31" s="785" t="s">
        <v>1157</v>
      </c>
      <c r="D31" s="643">
        <f>D27+D30</f>
        <v>116233.68000000001</v>
      </c>
      <c r="E31" s="643">
        <f>E27+E30</f>
        <v>351565.2699999999</v>
      </c>
      <c r="F31" s="644">
        <f>F27+F30</f>
        <v>270773.96999999997</v>
      </c>
      <c r="G31" s="645">
        <f>G27+G30</f>
        <v>80791.299999999988</v>
      </c>
      <c r="H31" s="2438"/>
      <c r="I31" s="2438"/>
      <c r="J31" s="2438"/>
      <c r="K31" s="2438"/>
      <c r="L31" s="2438"/>
      <c r="M31" s="2438"/>
      <c r="N31" s="2438"/>
      <c r="O31" s="2438"/>
      <c r="P31" s="2438"/>
    </row>
    <row r="32" spans="1:19" ht="14.4">
      <c r="A32" s="1526"/>
      <c r="B32" s="1526" t="s">
        <v>1158</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16" sqref="K1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45993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7"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3502</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科研用房</v>
      </c>
      <c r="B6" s="1587" t="str">
        <f>IF(A6=0,"","经营性")</f>
        <v>经营性</v>
      </c>
      <c r="C6" s="1588" t="s">
        <v>3402</v>
      </c>
      <c r="D6" s="805">
        <f>SUMIF(项目基本情况!C$12:I$12,C6,项目基本情况!C$14:I$14)</f>
        <v>50</v>
      </c>
      <c r="E6" s="804">
        <f>IF(B6="","",SUMIF(项目基本情况!C$12:I$12,C6,项目基本情况!C$13:I$13))</f>
        <v>59165</v>
      </c>
      <c r="F6" s="61">
        <f>SUMIF(项目基本情况!C$12:I$12,C6,项目基本情况!C$15:I$15)</f>
        <v>36.08</v>
      </c>
      <c r="G6" s="62">
        <f>IF(ISERROR(ROUND(POWER(1+H6,D6-F6)*(POWER(1+H6,F6)-1)/(POWER(1+H6,D6)-1),3)),0,ROUND(POWER(1+H6,D6-F6)*(POWER(1+H6,F6)-1)/(POWER(1+H6,D6)-1),3))</f>
        <v>0.90700000000000003</v>
      </c>
      <c r="H6" s="691">
        <v>0.05</v>
      </c>
      <c r="I6" s="691">
        <v>0.06</v>
      </c>
      <c r="J6" s="63">
        <v>7.4999999999999997E-2</v>
      </c>
      <c r="K6" s="970">
        <f>SUMIF('数据-汇总表'!C$19:C$33,A6,'数据-汇总表'!E$19:E$33)</f>
        <v>343024.03999999992</v>
      </c>
      <c r="L6" s="692">
        <f>面积表!G30</f>
        <v>10212</v>
      </c>
      <c r="M6" s="64">
        <f t="shared" ref="M6:M14" si="0">ROUND(K6*L6/10000,0)</f>
        <v>350296</v>
      </c>
      <c r="N6" s="690">
        <f>ROUND(1-(2025-2017)/60,2)</f>
        <v>0.87</v>
      </c>
      <c r="O6" s="64" t="str">
        <f>IF($N$5="成新度","——",ROUND(M6*N6,0))</f>
        <v>——</v>
      </c>
      <c r="P6" s="65" t="str">
        <f>IF($N$5="成新度","——",M6-O6)</f>
        <v>——</v>
      </c>
      <c r="Q6" s="693">
        <v>0.2</v>
      </c>
      <c r="R6" s="66">
        <f ca="1">SUMIF('数据-汇总表'!C$19:C$33,A6,'数据-汇总表'!R$19:R$27)</f>
        <v>116233.68000000001</v>
      </c>
      <c r="S6" s="49">
        <f>IF('数据-汇总表'!$I$17="按面积比例",SUMIF('数据-汇总表'!C$19:C$33,A6,'数据-汇总表'!K$19:K$33),SUMIF('数据-汇总表'!C$19:C$33,A6,'数据-汇总表'!N$19:N$33))</f>
        <v>8541.23</v>
      </c>
      <c r="T6" s="1092">
        <f>ROUND($L$14*S6/10000,0)</f>
        <v>8722</v>
      </c>
      <c r="U6" s="3126">
        <f>ROUND(面积表!L30,1)</f>
        <v>7.7</v>
      </c>
      <c r="V6" s="67">
        <v>0</v>
      </c>
      <c r="W6" s="3188">
        <v>0.2</v>
      </c>
      <c r="X6" s="979"/>
      <c r="Y6" s="68">
        <f>N6</f>
        <v>0.87</v>
      </c>
      <c r="Z6" s="69"/>
      <c r="AA6" s="63"/>
      <c r="AB6" s="63"/>
      <c r="AC6" s="979"/>
      <c r="AD6" s="70"/>
      <c r="AE6" s="980">
        <f ca="1">IF(AN6="",0,SUMIF(INDIRECT("'"&amp;AN6&amp;"'"&amp;"!E:E"),$AE$5,INDIRECT("'"&amp;AN6&amp;"'"&amp;"!F:F")))</f>
        <v>36.08</v>
      </c>
      <c r="AF6" s="74"/>
      <c r="AG6" s="130">
        <f>IF(AF6="",0,AE6-AF6)</f>
        <v>0</v>
      </c>
      <c r="AH6" s="71"/>
      <c r="AI6" s="73">
        <v>365</v>
      </c>
      <c r="AJ6" s="74"/>
      <c r="AK6" s="75">
        <v>0.01</v>
      </c>
      <c r="AL6" s="76">
        <v>1.5E-3</v>
      </c>
      <c r="AM6" s="77">
        <v>0.01</v>
      </c>
      <c r="AN6" s="1589" t="s">
        <v>3503</v>
      </c>
      <c r="AO6" s="50">
        <f ca="1">SUMIF(INDIRECT("'"&amp;AN6&amp;"'"&amp;"!A:A"),"总价",INDIRECT("'"&amp;AN6&amp;"'"&amp;"!B:B"))</f>
        <v>852675</v>
      </c>
      <c r="AP6" s="1590">
        <f>IF(C6="住宅",K6*L6,0)</f>
        <v>0</v>
      </c>
      <c r="AQ6" s="50">
        <f>ROUND($L$14*$N$14*S6/10000,0)</f>
        <v>7588</v>
      </c>
      <c r="AR6" s="50">
        <f>ROUND($L$14*(1-$N$14)*S6/10000,0)</f>
        <v>1134</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1204</v>
      </c>
      <c r="B14" s="1587" t="s">
        <v>1205</v>
      </c>
      <c r="C14" s="1592" t="s">
        <v>1204</v>
      </c>
      <c r="D14" s="805"/>
      <c r="E14" s="804"/>
      <c r="F14" s="61"/>
      <c r="G14" s="62"/>
      <c r="H14" s="969"/>
      <c r="I14" s="969"/>
      <c r="J14" s="969"/>
      <c r="K14" s="970">
        <f>SUMIF('数据-汇总表'!C$19:C$33,A14,'数据-汇总表'!E$19:E$33)</f>
        <v>8541.23</v>
      </c>
      <c r="L14" s="79">
        <f>L6</f>
        <v>10212</v>
      </c>
      <c r="M14" s="64">
        <f t="shared" si="0"/>
        <v>8722</v>
      </c>
      <c r="N14" s="80">
        <f>N6</f>
        <v>0.87</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1208</v>
      </c>
      <c r="B16" s="82"/>
      <c r="C16" s="783"/>
      <c r="D16" s="1594"/>
      <c r="E16" s="82"/>
      <c r="F16" s="82"/>
      <c r="G16" s="83">
        <f>ROUND(SUMPRODUCT(G6:G13,K6:K13)/SUMPRODUCT((G6:G13&gt;0)*(K6:K13)),3)</f>
        <v>0.90700000000000003</v>
      </c>
      <c r="H16" s="84">
        <f>ROUND(SUMPRODUCT(H6:H13,K6:K13)/SUMPRODUCT((H6:H13&gt;0)*(K6:K13)),3)</f>
        <v>0.05</v>
      </c>
      <c r="I16" s="85"/>
      <c r="J16" s="85"/>
      <c r="K16" s="86">
        <f>SUM(K6:K15)</f>
        <v>351565.2699999999</v>
      </c>
      <c r="L16" s="87">
        <f>ROUND(M16*10000/SUM(K6:K14),0)</f>
        <v>10212</v>
      </c>
      <c r="M16" s="87">
        <f>SUM(M6:M14)</f>
        <v>359018</v>
      </c>
      <c r="N16" s="88">
        <f>ROUND(SUMPRODUCT(M6:M14,N6:N14)/M16,3)</f>
        <v>0.87</v>
      </c>
      <c r="O16" s="87">
        <f>SUM(O6:O14)</f>
        <v>0</v>
      </c>
      <c r="P16" s="87">
        <f>SUM(P6:P14)</f>
        <v>0</v>
      </c>
      <c r="Q16" s="89">
        <f>ROUND(SUMPRODUCT(Q6:Q13,K6:K13)/SUMPRODUCT((Q6:Q13&gt;0)*(K6:K13)),2)</f>
        <v>0.2</v>
      </c>
      <c r="R16" s="974">
        <f ca="1">SUM(R6:R13)</f>
        <v>116233.68000000001</v>
      </c>
      <c r="S16" s="90">
        <f>SUM(S6:S13)</f>
        <v>8541.23</v>
      </c>
      <c r="T16" s="91">
        <f>IF(SUMIF(T6:T13,"&lt;9E307")=M14,SUMIF(T6:T13,"&lt;9E307"),"有误，请检查")</f>
        <v>8722</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1210</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1211</v>
      </c>
      <c r="B20" s="98">
        <v>3</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1212</v>
      </c>
      <c r="B21" s="98">
        <f>B20</f>
        <v>3</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1213</v>
      </c>
      <c r="B22" s="99">
        <f>B19+B20</f>
        <v>3</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1214</v>
      </c>
      <c r="B23" s="99">
        <f>B19+B21</f>
        <v>3</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1216</v>
      </c>
      <c r="B26" s="1600"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1219</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1220</v>
      </c>
      <c r="B28" s="103">
        <v>170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1221</v>
      </c>
      <c r="B29" s="105">
        <f ca="1">成本法!C10</f>
        <v>5977</v>
      </c>
      <c r="C29" s="2563" t="s">
        <v>2293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1222</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1224</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1225</v>
      </c>
      <c r="B33" s="640">
        <v>0.1</v>
      </c>
      <c r="C33" s="2564" t="s">
        <v>3380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1226</v>
      </c>
      <c r="B34" s="106">
        <v>0</v>
      </c>
      <c r="C34" s="2564" t="s">
        <v>2294</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1227</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1228</v>
      </c>
      <c r="B36" s="107">
        <v>0.03</v>
      </c>
      <c r="C36" s="2564" t="s">
        <v>3398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1229</v>
      </c>
      <c r="B37" s="108">
        <v>0.02</v>
      </c>
      <c r="C37" s="2564" t="s">
        <v>3381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1230</v>
      </c>
      <c r="B38" s="106">
        <v>0.02</v>
      </c>
      <c r="C38" s="2564" t="s">
        <v>3382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2309</v>
      </c>
      <c r="B40" s="1015">
        <f ca="1">IF(A40="利息：取LPR",存贷款利率!G1,存贷款利率!G1+C40)</f>
        <v>3.2500000000000001E-2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1232</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1234</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1235</v>
      </c>
      <c r="B44" s="112">
        <v>0.05</v>
      </c>
      <c r="C44" s="2564" t="s">
        <v>3383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1236</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1237</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1238</v>
      </c>
      <c r="B47" s="113">
        <v>0</v>
      </c>
      <c r="C47" s="2566" t="s">
        <v>2304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1239</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1240</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1243</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1244</v>
      </c>
      <c r="B53" s="1611" t="s">
        <v>29</v>
      </c>
      <c r="C53" s="2439" t="s">
        <v>1245</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1251</v>
      </c>
      <c r="B59" s="72">
        <f>C59</f>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91" t="s">
        <v>2285</v>
      </c>
      <c r="B1" s="3292"/>
      <c r="C1" s="3292"/>
      <c r="D1" s="3292"/>
      <c r="E1" s="3292"/>
      <c r="F1" s="3292"/>
      <c r="G1" s="329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O26"/>
  <sheetViews>
    <sheetView view="pageBreakPreview" zoomScale="80" zoomScaleNormal="80" zoomScaleSheetLayoutView="80" workbookViewId="0">
      <selection activeCell="D31" sqref="D31"/>
    </sheetView>
  </sheetViews>
  <sheetFormatPr defaultColWidth="9" defaultRowHeight="14.4"/>
  <cols>
    <col min="1" max="1" width="25" style="2300" customWidth="1"/>
    <col min="2" max="9" width="15.77734375" style="2300" customWidth="1"/>
    <col min="10" max="16384" width="9" style="2300"/>
  </cols>
  <sheetData>
    <row r="1" spans="1:15" ht="16.2">
      <c r="A1" s="2299" t="s">
        <v>665</v>
      </c>
      <c r="B1" s="2299">
        <f>SUM(B14:B23)</f>
        <v>351565.27</v>
      </c>
      <c r="C1" s="2461"/>
      <c r="D1" s="2461"/>
      <c r="E1" s="2461"/>
      <c r="F1" s="2461"/>
      <c r="G1" s="2462"/>
      <c r="H1" s="2462"/>
      <c r="I1" s="2462"/>
      <c r="J1" s="2462"/>
      <c r="K1" s="2462"/>
    </row>
    <row r="2" spans="1:15" ht="16.2">
      <c r="A2" s="2299" t="s">
        <v>653</v>
      </c>
      <c r="B2" s="2299">
        <f>SUM(C14:C23)</f>
        <v>116233.68</v>
      </c>
      <c r="C2" s="2461"/>
      <c r="D2" s="2461"/>
      <c r="E2" s="2461"/>
      <c r="F2" s="2461"/>
      <c r="G2" s="2462"/>
      <c r="H2" s="2462"/>
      <c r="I2" s="2462"/>
      <c r="J2" s="2462"/>
      <c r="K2" s="2462"/>
    </row>
    <row r="3" spans="1:15" ht="15.6">
      <c r="A3" s="2299" t="s">
        <v>662</v>
      </c>
      <c r="B3" s="2301">
        <f>项目基本情况!D3</f>
        <v>45993</v>
      </c>
      <c r="C3" s="2461"/>
      <c r="D3" s="2461"/>
      <c r="E3" s="2461"/>
      <c r="F3" s="2461"/>
      <c r="G3" s="2462"/>
      <c r="H3" s="2462"/>
      <c r="I3" s="2462"/>
      <c r="J3" s="2462"/>
      <c r="K3" s="2462"/>
    </row>
    <row r="4" spans="1:15" ht="31.2">
      <c r="A4" s="2299" t="s">
        <v>661</v>
      </c>
      <c r="B4" s="2299" t="s">
        <v>660</v>
      </c>
      <c r="C4" s="2299" t="s">
        <v>659</v>
      </c>
      <c r="D4" s="2299" t="s">
        <v>658</v>
      </c>
      <c r="E4" s="2461"/>
      <c r="F4" s="2462"/>
      <c r="G4" s="2462"/>
      <c r="H4" s="2462"/>
      <c r="I4" s="2462"/>
      <c r="J4" s="2462"/>
      <c r="K4" s="2462"/>
    </row>
    <row r="5" spans="1:15" ht="15.6">
      <c r="A5" s="2299" t="s">
        <v>657</v>
      </c>
      <c r="B5" s="2299">
        <f ca="1">SUM(D14:D23)</f>
        <v>773228</v>
      </c>
      <c r="C5" s="2299">
        <f ca="1">IF(B5=D14,结果表!H102,ROUND(B5*10000/$B$1,0))</f>
        <v>21994</v>
      </c>
      <c r="D5" s="2299">
        <f ca="1">ROUND(B5*10000/$B$2,0)</f>
        <v>66524</v>
      </c>
      <c r="E5" s="2461"/>
      <c r="F5" s="2462"/>
      <c r="G5" s="2462"/>
      <c r="H5" s="2462"/>
      <c r="I5" s="2462"/>
      <c r="J5" s="2462"/>
      <c r="K5" s="2462"/>
    </row>
    <row r="6" spans="1:15" ht="15.6">
      <c r="A6" s="2299" t="s">
        <v>656</v>
      </c>
      <c r="B6" s="2299">
        <f ca="1">SUM(G14:G23)</f>
        <v>773228</v>
      </c>
      <c r="C6" s="2299">
        <f ca="1">IF(B6=G14,结果表!H108,ROUND(B6*10000/$B$1,0))</f>
        <v>21994</v>
      </c>
      <c r="D6" s="2299">
        <f ca="1">ROUND(B6*10000/$B$2,0)</f>
        <v>66524</v>
      </c>
      <c r="E6" s="2461"/>
      <c r="F6" s="2462"/>
      <c r="G6" s="2462"/>
      <c r="H6" s="2462"/>
      <c r="I6" s="2462"/>
      <c r="J6" s="2462"/>
      <c r="K6" s="2462"/>
    </row>
    <row r="7" spans="1:15" ht="15.6">
      <c r="A7" s="2299" t="s">
        <v>664</v>
      </c>
      <c r="B7" s="2299">
        <f>SUM(H14:H23)</f>
        <v>0</v>
      </c>
      <c r="C7" s="2299" t="str">
        <f>IF(B7=H14,结果表!H110,ROUND(B7*10000/$B$1,0))</f>
        <v>——</v>
      </c>
      <c r="D7" s="2299">
        <f>ROUND(B7*10000/$B$2,0)</f>
        <v>0</v>
      </c>
      <c r="E7" s="2461"/>
      <c r="F7" s="2462"/>
      <c r="G7" s="2462"/>
      <c r="H7" s="2462"/>
      <c r="I7" s="2462"/>
      <c r="J7" s="2462"/>
      <c r="K7" s="2462"/>
    </row>
    <row r="8" spans="1:15" ht="15.6">
      <c r="A8" s="2299" t="s">
        <v>587</v>
      </c>
      <c r="B8" s="2299">
        <f>SUM(I14:I23)</f>
        <v>0</v>
      </c>
      <c r="C8" s="2299" t="str">
        <f>IF(B8=I14,结果表!H112,ROUND(B8*10000/$B$1,0))</f>
        <v>——</v>
      </c>
      <c r="D8" s="2299">
        <f>ROUND(B8*10000/$B$2,0)</f>
        <v>0</v>
      </c>
      <c r="E8" s="2461"/>
      <c r="F8" s="2462"/>
      <c r="G8" s="2462"/>
      <c r="H8" s="2462"/>
      <c r="I8" s="2462"/>
      <c r="J8" s="2462"/>
      <c r="K8" s="2462"/>
    </row>
    <row r="9" spans="1:15" ht="15.6">
      <c r="A9" s="2299" t="s">
        <v>655</v>
      </c>
      <c r="B9" s="1244"/>
      <c r="C9" s="2461"/>
      <c r="D9" s="2461"/>
      <c r="E9" s="2461"/>
      <c r="F9" s="2462"/>
      <c r="G9" s="2462"/>
      <c r="H9" s="2462"/>
      <c r="I9" s="2462"/>
      <c r="J9" s="2462"/>
      <c r="K9" s="2462"/>
    </row>
    <row r="10" spans="1:15" ht="15.6">
      <c r="A10" s="2299" t="s">
        <v>654</v>
      </c>
      <c r="B10" s="2299">
        <f>IF(E10="",0,ROUND(B1*(E10*365/G10)/10000,0))</f>
        <v>0</v>
      </c>
      <c r="C10" s="2299" t="s">
        <v>3353</v>
      </c>
      <c r="D10" s="2299" t="s">
        <v>3354</v>
      </c>
      <c r="E10" s="3136"/>
      <c r="F10" s="3140" t="s">
        <v>3355</v>
      </c>
      <c r="G10" s="3137"/>
      <c r="H10" s="2462"/>
      <c r="I10" s="2462"/>
      <c r="J10" s="2462"/>
      <c r="K10" s="2462"/>
    </row>
    <row r="11" spans="1:15" ht="15.6">
      <c r="A11" s="2299" t="s">
        <v>670</v>
      </c>
      <c r="B11" s="1244"/>
      <c r="C11" s="2461"/>
      <c r="D11" s="2461"/>
      <c r="E11" s="2461"/>
      <c r="F11" s="2462"/>
      <c r="G11" s="2462"/>
      <c r="H11" s="2462"/>
      <c r="I11" s="2462"/>
      <c r="J11" s="2462"/>
      <c r="K11" s="2462"/>
    </row>
    <row r="12" spans="1:15" ht="15.6">
      <c r="A12" s="2461"/>
      <c r="B12" s="2461"/>
      <c r="C12" s="2461"/>
      <c r="D12" s="2461"/>
      <c r="E12" s="2461"/>
      <c r="F12" s="2462"/>
      <c r="G12" s="2462"/>
      <c r="H12" s="2462"/>
      <c r="I12" s="2462"/>
      <c r="J12" s="2462"/>
      <c r="K12" s="2462"/>
    </row>
    <row r="13" spans="1:15" ht="31.8">
      <c r="A13" s="2302" t="s">
        <v>669</v>
      </c>
      <c r="B13" s="2303" t="s">
        <v>666</v>
      </c>
      <c r="C13" s="2303" t="s">
        <v>668</v>
      </c>
      <c r="D13" s="2303" t="s">
        <v>667</v>
      </c>
      <c r="E13" s="2299" t="s">
        <v>659</v>
      </c>
      <c r="F13" s="2299" t="s">
        <v>658</v>
      </c>
      <c r="G13" s="2303" t="s">
        <v>652</v>
      </c>
      <c r="H13" s="2303" t="s">
        <v>663</v>
      </c>
      <c r="I13" s="2303" t="s">
        <v>651</v>
      </c>
      <c r="J13" s="2462" t="s">
        <v>3528</v>
      </c>
      <c r="K13" s="2462"/>
      <c r="L13" s="2462" t="s">
        <v>3526</v>
      </c>
      <c r="M13" s="2462"/>
      <c r="N13" s="2300" t="s">
        <v>3527</v>
      </c>
    </row>
    <row r="14" spans="1:15" ht="15.6">
      <c r="A14" s="2304" t="s">
        <v>650</v>
      </c>
      <c r="B14" s="2305">
        <f>结果表!B118</f>
        <v>351565.27</v>
      </c>
      <c r="C14" s="2305">
        <f>结果表!C118</f>
        <v>116233.68</v>
      </c>
      <c r="D14" s="2305">
        <f ca="1">结果表!H118</f>
        <v>773228</v>
      </c>
      <c r="E14" s="2305">
        <f ca="1">ROUND(D14*10000/B14,0)</f>
        <v>21994</v>
      </c>
      <c r="F14" s="2305">
        <f ca="1">ROUND(D14*10000/C14,0)</f>
        <v>66524</v>
      </c>
      <c r="G14" s="2305">
        <f ca="1">结果表!D122</f>
        <v>773228</v>
      </c>
      <c r="H14" s="2305"/>
      <c r="I14" s="2305"/>
      <c r="J14" s="2462">
        <v>722995</v>
      </c>
      <c r="K14" s="2462">
        <f ca="1">(D14-J14)/J14</f>
        <v>6.9479042040401381E-2</v>
      </c>
      <c r="L14" s="2462">
        <v>775881</v>
      </c>
      <c r="M14" s="2462">
        <f>(J14-L14)/L14</f>
        <v>-6.8162514612421232E-2</v>
      </c>
      <c r="N14" s="2462">
        <v>784569</v>
      </c>
      <c r="O14" s="2300">
        <f>(L14-N14)/N14</f>
        <v>-1.107359582140003E-2</v>
      </c>
    </row>
    <row r="15" spans="1:15" ht="15.6">
      <c r="A15" s="2304" t="s">
        <v>649</v>
      </c>
      <c r="B15" s="2306"/>
      <c r="C15" s="2306"/>
      <c r="D15" s="2306"/>
      <c r="E15" s="2305" t="e">
        <f t="shared" ref="E15:E23" si="0">ROUND(D15*10000/B15,0)</f>
        <v>#DIV/0!</v>
      </c>
      <c r="F15" s="2305" t="e">
        <f t="shared" ref="F15:F23" si="1">ROUND(D15*10000/C15,0)</f>
        <v>#DIV/0!</v>
      </c>
      <c r="G15" s="1244"/>
      <c r="H15" s="1244"/>
      <c r="I15" s="2306"/>
      <c r="J15" s="2462">
        <v>111981</v>
      </c>
      <c r="K15" s="2462">
        <f>(D15-J15)/J15</f>
        <v>-1</v>
      </c>
      <c r="L15" s="2462">
        <v>117217</v>
      </c>
      <c r="M15" s="2462">
        <f>(J15-L15)/L15</f>
        <v>-4.4669288584420347E-2</v>
      </c>
      <c r="N15" s="2462">
        <v>127807</v>
      </c>
      <c r="O15" s="2300">
        <f t="shared" ref="O15:O16" si="2">(L15-N15)/N15</f>
        <v>-8.285931130532756E-2</v>
      </c>
    </row>
    <row r="16" spans="1:15" ht="15.6">
      <c r="A16" s="2304" t="s">
        <v>648</v>
      </c>
      <c r="B16" s="2306"/>
      <c r="C16" s="2306"/>
      <c r="D16" s="2306"/>
      <c r="E16" s="2305" t="e">
        <f t="shared" si="0"/>
        <v>#DIV/0!</v>
      </c>
      <c r="F16" s="2305" t="e">
        <f t="shared" si="1"/>
        <v>#DIV/0!</v>
      </c>
      <c r="G16" s="1244"/>
      <c r="H16" s="1244"/>
      <c r="I16" s="2306"/>
      <c r="J16" s="2462">
        <f>J14+J15</f>
        <v>834976</v>
      </c>
      <c r="K16" s="2462">
        <f ca="1">(B5-J16)/J16</f>
        <v>-7.3951826160272877E-2</v>
      </c>
      <c r="L16" s="2462">
        <f>L14+L15</f>
        <v>893098</v>
      </c>
      <c r="M16" s="2462">
        <f>(J16-L16)/L16</f>
        <v>-6.507908426622834E-2</v>
      </c>
      <c r="N16" s="2462">
        <f>N14+N15</f>
        <v>912376</v>
      </c>
      <c r="O16" s="2300">
        <f t="shared" si="2"/>
        <v>-2.1129446631651862E-2</v>
      </c>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N13" sqref="N1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1261</v>
      </c>
      <c r="B1" s="646"/>
      <c r="C1" s="1620"/>
      <c r="D1" s="646"/>
      <c r="E1" s="646"/>
      <c r="F1" s="1621" t="s">
        <v>1262</v>
      </c>
      <c r="G1" s="1453"/>
      <c r="H1" s="1621" t="str">
        <f>IF(G1="现房","——","估价对象范围")</f>
        <v>估价对象范围</v>
      </c>
      <c r="I1" s="1622"/>
    </row>
    <row r="2" spans="1:12" ht="21.75" customHeight="1" thickBot="1">
      <c r="A2" s="3327" t="str">
        <f>项目基本情况!S2</f>
        <v>北京市通州区尹各庄甲1号房地产</v>
      </c>
      <c r="B2" s="3328"/>
      <c r="C2" s="3328"/>
      <c r="D2" s="3328"/>
      <c r="E2" s="3328"/>
      <c r="F2" s="3328"/>
      <c r="G2" s="3328"/>
      <c r="H2" s="3328"/>
      <c r="I2" s="3329"/>
    </row>
    <row r="3" spans="1:12" ht="13.2">
      <c r="A3" s="3331" t="s">
        <v>1263</v>
      </c>
      <c r="B3" s="3332"/>
      <c r="C3" s="3332"/>
      <c r="D3" s="3332"/>
      <c r="E3" s="3332"/>
      <c r="F3" s="3332"/>
      <c r="G3" s="3332"/>
      <c r="H3" s="3332"/>
      <c r="I3" s="3332"/>
    </row>
    <row r="4" spans="1:12" ht="14.4">
      <c r="A4" s="1624" t="s">
        <v>1264</v>
      </c>
      <c r="B4" s="1625" t="s">
        <v>1265</v>
      </c>
      <c r="C4" s="1626" t="s">
        <v>3523</v>
      </c>
      <c r="D4" s="1626" t="s">
        <v>3503</v>
      </c>
      <c r="E4" s="3333" t="s">
        <v>1266</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7" t="s">
        <v>1267</v>
      </c>
      <c r="B5" s="3294">
        <v>25</v>
      </c>
      <c r="C5" s="3310"/>
      <c r="D5" s="3330"/>
      <c r="E5" s="123" t="s">
        <v>1268</v>
      </c>
      <c r="F5" s="1627"/>
      <c r="G5" s="1627"/>
      <c r="H5" s="1627"/>
      <c r="I5" s="1281"/>
    </row>
    <row r="6" spans="1:12" ht="13.2">
      <c r="A6" s="3307"/>
      <c r="B6" s="3294"/>
      <c r="C6" s="3311"/>
      <c r="D6" s="3330"/>
      <c r="E6" s="123" t="s">
        <v>1269</v>
      </c>
      <c r="F6" s="1627"/>
      <c r="G6" s="1627"/>
      <c r="H6" s="1627"/>
      <c r="I6" s="1281"/>
    </row>
    <row r="7" spans="1:12" ht="13.2">
      <c r="A7" s="3307"/>
      <c r="B7" s="3294"/>
      <c r="C7" s="3312"/>
      <c r="D7" s="3330"/>
      <c r="E7" s="123" t="s">
        <v>1270</v>
      </c>
      <c r="F7" s="1627"/>
      <c r="G7" s="1627"/>
      <c r="H7" s="1627"/>
      <c r="I7" s="1281"/>
    </row>
    <row r="8" spans="1:12" ht="13.2">
      <c r="A8" s="3307" t="s">
        <v>1271</v>
      </c>
      <c r="B8" s="3294">
        <v>15</v>
      </c>
      <c r="C8" s="3310"/>
      <c r="D8" s="3330"/>
      <c r="E8" s="123" t="s">
        <v>1272</v>
      </c>
      <c r="F8" s="1627"/>
      <c r="G8" s="1627"/>
      <c r="H8" s="1627"/>
      <c r="I8" s="1281"/>
    </row>
    <row r="9" spans="1:12" ht="13.2">
      <c r="A9" s="3307"/>
      <c r="B9" s="3294"/>
      <c r="C9" s="3312"/>
      <c r="D9" s="3330"/>
      <c r="E9" s="123" t="s">
        <v>1273</v>
      </c>
      <c r="F9" s="1627"/>
      <c r="G9" s="1627"/>
      <c r="H9" s="1627"/>
      <c r="I9" s="1281"/>
    </row>
    <row r="10" spans="1:12" ht="13.2">
      <c r="A10" s="3307" t="s">
        <v>1274</v>
      </c>
      <c r="B10" s="3294">
        <v>15</v>
      </c>
      <c r="C10" s="3310"/>
      <c r="D10" s="3330"/>
      <c r="E10" s="123" t="s">
        <v>1275</v>
      </c>
      <c r="F10" s="1627"/>
      <c r="G10" s="1627"/>
      <c r="H10" s="1627"/>
      <c r="I10" s="1281"/>
    </row>
    <row r="11" spans="1:12" ht="13.2">
      <c r="A11" s="3307"/>
      <c r="B11" s="3294"/>
      <c r="C11" s="3312"/>
      <c r="D11" s="3330"/>
      <c r="E11" s="123" t="s">
        <v>1276</v>
      </c>
      <c r="F11" s="1627"/>
      <c r="G11" s="1627"/>
      <c r="H11" s="1627"/>
      <c r="I11" s="1281"/>
    </row>
    <row r="12" spans="1:12" ht="13.2">
      <c r="A12" s="3307" t="s">
        <v>1277</v>
      </c>
      <c r="B12" s="3294">
        <v>15</v>
      </c>
      <c r="C12" s="3310"/>
      <c r="D12" s="3330"/>
      <c r="E12" s="123" t="s">
        <v>1278</v>
      </c>
      <c r="F12" s="1627"/>
      <c r="G12" s="1627"/>
      <c r="H12" s="1627"/>
      <c r="I12" s="1281"/>
    </row>
    <row r="13" spans="1:12" ht="13.2">
      <c r="A13" s="3307"/>
      <c r="B13" s="3294"/>
      <c r="C13" s="3312"/>
      <c r="D13" s="3330"/>
      <c r="E13" s="123" t="s">
        <v>1279</v>
      </c>
      <c r="F13" s="1627"/>
      <c r="G13" s="1627"/>
      <c r="H13" s="1627"/>
      <c r="I13" s="1281"/>
    </row>
    <row r="14" spans="1:12" ht="13.2">
      <c r="A14" s="3307" t="s">
        <v>1280</v>
      </c>
      <c r="B14" s="3294">
        <v>30</v>
      </c>
      <c r="C14" s="3310">
        <v>4</v>
      </c>
      <c r="D14" s="3330">
        <v>6</v>
      </c>
      <c r="E14" s="123" t="s">
        <v>1281</v>
      </c>
      <c r="F14" s="1627"/>
      <c r="G14" s="1627"/>
      <c r="H14" s="1627"/>
      <c r="I14" s="1281"/>
    </row>
    <row r="15" spans="1:12" ht="13.2">
      <c r="A15" s="3307"/>
      <c r="B15" s="3294"/>
      <c r="C15" s="3311"/>
      <c r="D15" s="3330"/>
      <c r="E15" s="123" t="s">
        <v>1282</v>
      </c>
      <c r="F15" s="1627"/>
      <c r="G15" s="1627"/>
      <c r="H15" s="1627"/>
      <c r="I15" s="1281"/>
    </row>
    <row r="16" spans="1:12" ht="13.2">
      <c r="A16" s="3307"/>
      <c r="B16" s="3294"/>
      <c r="C16" s="3312"/>
      <c r="D16" s="3330"/>
      <c r="E16" s="123" t="s">
        <v>1283</v>
      </c>
      <c r="F16" s="1627"/>
      <c r="G16" s="1627"/>
      <c r="H16" s="1627"/>
      <c r="I16" s="1281"/>
    </row>
    <row r="17" spans="1:36" ht="14.4">
      <c r="A17" s="1628" t="s">
        <v>1284</v>
      </c>
      <c r="B17" s="54"/>
      <c r="C17" s="124">
        <f>SUM(C5:C16)</f>
        <v>4</v>
      </c>
      <c r="D17" s="124">
        <f>SUM(D5:D16)</f>
        <v>6</v>
      </c>
      <c r="E17" s="121"/>
      <c r="F17" s="121"/>
      <c r="G17" s="121"/>
      <c r="H17" s="121"/>
      <c r="I17" s="121"/>
      <c r="K17" s="294"/>
      <c r="L17" s="294" t="s">
        <v>1285</v>
      </c>
      <c r="M17" s="294" t="s">
        <v>1286</v>
      </c>
    </row>
    <row r="18" spans="1:36" ht="31.95" customHeight="1" thickBot="1">
      <c r="A18" s="1629" t="s">
        <v>1287</v>
      </c>
      <c r="B18" s="1542"/>
      <c r="C18" s="125">
        <f>ROUND(C17/SUM(C17:D17),2)</f>
        <v>0.4</v>
      </c>
      <c r="D18" s="125">
        <f>1-C18</f>
        <v>0.6</v>
      </c>
      <c r="E18" s="3317" t="s">
        <v>2130</v>
      </c>
      <c r="F18" s="3318"/>
      <c r="G18" s="3318"/>
      <c r="H18" s="3318"/>
      <c r="I18" s="3318"/>
      <c r="K18" s="294" t="s">
        <v>1288</v>
      </c>
      <c r="L18" s="294">
        <f>IF(C1="",'数据-汇总表'!E3,SUMIF(项目类型,C1,'数据-汇总表'!E17:E26)+SUMIF(项目类型,C1,'数据-汇总表'!I17:I26))</f>
        <v>351565.27</v>
      </c>
      <c r="M18" s="294">
        <f>IF(C1="",'数据-汇总表'!E3,SUMIF(项目类型,C1,'数据-汇总表'!E17:E26))</f>
        <v>351565.27</v>
      </c>
    </row>
    <row r="19" spans="1:36" ht="14.4">
      <c r="A19" s="1630" t="s">
        <v>1289</v>
      </c>
      <c r="B19" s="1631" t="s">
        <v>1290</v>
      </c>
      <c r="C19" s="126">
        <f ca="1">SUMIF(INDIRECT("'"&amp;C4&amp;"'"&amp;"!A:A"),结果表!B19,INDIRECT("'"&amp;C4&amp;"'"&amp;"!B:B"))</f>
        <v>654058</v>
      </c>
      <c r="D19" s="127">
        <f ca="1">SUMIF(INDIRECT("'"&amp;D4&amp;"'"&amp;"!A:A"),结果表!B19,INDIRECT("'"&amp;D4&amp;"'"&amp;"!B:B"))</f>
        <v>852675</v>
      </c>
      <c r="E19" s="1630" t="s">
        <v>1291</v>
      </c>
      <c r="F19" s="1631" t="s">
        <v>1290</v>
      </c>
      <c r="G19" s="128">
        <f ca="1">ROUND(C19*$C$18+D19*$D$18,0)</f>
        <v>773228</v>
      </c>
      <c r="H19" s="1632" t="s">
        <v>1292</v>
      </c>
      <c r="I19" s="121"/>
      <c r="K19" s="294" t="s">
        <v>1293</v>
      </c>
      <c r="L19" s="294">
        <f>IF(C1="",'数据-汇总表'!D3,SUMIF(项目类型,C1,'数据-汇总表'!D17:D26)+SUMIF(项目类型,C1,'数据-汇总表'!H17:H27))</f>
        <v>116233.68</v>
      </c>
      <c r="M19" s="294">
        <f>IF(C1="",'数据-汇总表'!D3,SUMIF(项目类型,C1,'数据-汇总表'!D17:D26))</f>
        <v>116233.68</v>
      </c>
    </row>
    <row r="20" spans="1:36" ht="14.4">
      <c r="A20" s="1633"/>
      <c r="B20" s="43" t="s">
        <v>1294</v>
      </c>
      <c r="C20" s="129">
        <f ca="1">SUMIF(INDIRECT("'"&amp;C4&amp;"'"&amp;"!A:A"),结果表!B20,INDIRECT("'"&amp;C4&amp;"'"&amp;"!B:B"))</f>
        <v>18604</v>
      </c>
      <c r="D20" s="130">
        <f ca="1">SUMIF(INDIRECT("'"&amp;D4&amp;"'"&amp;"!A:A"),结果表!B20,INDIRECT("'"&amp;D4&amp;"'"&amp;"!B:B"))</f>
        <v>24858</v>
      </c>
      <c r="E20" s="1633"/>
      <c r="F20" s="43" t="s">
        <v>1294</v>
      </c>
      <c r="G20" s="131">
        <f ca="1">ROUND(C20*$C$18+D20*$D$18,0)</f>
        <v>22356</v>
      </c>
      <c r="H20" s="760" t="s">
        <v>1295</v>
      </c>
      <c r="I20" s="121"/>
    </row>
    <row r="21" spans="1:36" ht="15" customHeight="1" thickBot="1">
      <c r="A21" s="449"/>
      <c r="B21" s="93" t="s">
        <v>1296</v>
      </c>
      <c r="C21" s="678">
        <f ca="1">ROUND(C19*10000/L19,0)</f>
        <v>56271</v>
      </c>
      <c r="D21" s="679">
        <f ca="1">ROUND(D19*10000/L19,0)</f>
        <v>73359</v>
      </c>
      <c r="E21" s="449"/>
      <c r="F21" s="93" t="s">
        <v>1296</v>
      </c>
      <c r="G21" s="132">
        <f ca="1">ROUND(G19*10000/L19,0)</f>
        <v>66524</v>
      </c>
      <c r="H21" s="1634" t="s">
        <v>1295</v>
      </c>
      <c r="I21" s="121"/>
    </row>
    <row r="22" spans="1:36" ht="15" thickBot="1">
      <c r="A22" s="1564" t="s">
        <v>1297</v>
      </c>
      <c r="B22" s="1635"/>
      <c r="C22" s="1636"/>
      <c r="D22" s="680">
        <f ca="1">IF(C19&lt;D19,D19/C19-1,C19/D19-1)</f>
        <v>0.30366878778334638</v>
      </c>
      <c r="E22" s="121"/>
      <c r="F22" s="121"/>
      <c r="G22" s="121"/>
      <c r="H22" s="121"/>
      <c r="I22" s="121"/>
    </row>
    <row r="23" spans="1:36" ht="13.8" thickBot="1">
      <c r="A23" s="646"/>
      <c r="B23" s="646"/>
      <c r="C23" s="646"/>
      <c r="D23" s="646"/>
      <c r="E23" s="121"/>
      <c r="F23" s="121"/>
      <c r="G23" s="121"/>
      <c r="H23" s="121"/>
      <c r="I23" s="121"/>
    </row>
    <row r="24" spans="1:36" ht="14.4">
      <c r="A24" s="3301" t="s">
        <v>1298</v>
      </c>
      <c r="B24" s="1631" t="s">
        <v>1290</v>
      </c>
      <c r="C24" s="128">
        <f>IF(B30=0,0,D30)</f>
        <v>0</v>
      </c>
      <c r="D24" s="1637"/>
      <c r="E24" s="121"/>
      <c r="F24" s="121"/>
      <c r="G24" s="121"/>
      <c r="H24" s="121"/>
      <c r="I24" s="121"/>
    </row>
    <row r="25" spans="1:36" ht="14.4">
      <c r="A25" s="3302"/>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1303</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1304</v>
      </c>
      <c r="B32" s="1535"/>
      <c r="C32" s="136">
        <f ca="1">IF(D32="总价",G19-C24,G20-C25)</f>
        <v>773228</v>
      </c>
      <c r="D32" s="1641" t="s">
        <v>3524</v>
      </c>
      <c r="E32" s="121"/>
      <c r="F32" s="121"/>
      <c r="G32" s="121"/>
      <c r="H32" s="121"/>
      <c r="I32" s="121"/>
    </row>
    <row r="33" spans="1:15" ht="14.4">
      <c r="A33" s="740" t="s">
        <v>1305</v>
      </c>
      <c r="B33" s="123"/>
      <c r="C33" s="1642" t="s">
        <v>3525</v>
      </c>
      <c r="D33" s="1643" t="s">
        <v>3523</v>
      </c>
      <c r="E33" s="1644" t="s">
        <v>1306</v>
      </c>
      <c r="F33" s="1645" t="str">
        <f>IF(D32="楼面单价","取值（单价）","取值（总价）")</f>
        <v>取值（总价）</v>
      </c>
      <c r="G33" s="121"/>
      <c r="H33" s="121"/>
      <c r="I33" s="121"/>
    </row>
    <row r="34" spans="1:15" ht="14.4">
      <c r="A34" s="1646"/>
      <c r="B34" s="1647" t="s">
        <v>1307</v>
      </c>
      <c r="C34" s="140">
        <f ca="1">IF(C33="自定义",F34,C32-C35)</f>
        <v>187121</v>
      </c>
      <c r="D34" s="808">
        <f ca="1">IF(C33="自定义",ROUND(C34/C32,3),IF(C33="收益比率",SUMIF(INDIRECT("'"&amp;D33&amp;"'"&amp;"!b:b"),"土地收益比率",INDIRECT("'"&amp;D33&amp;"'"&amp;"!c:c")),SUMIF(INDIRECT("'"&amp;D33&amp;"'"&amp;"!b:b"),"土地成本比率",INDIRECT("'"&amp;D33&amp;"'"&amp;"!c:c"))))</f>
        <v>0.24199999999999999</v>
      </c>
      <c r="E34" s="1648" t="s">
        <v>1308</v>
      </c>
      <c r="F34" s="1243"/>
      <c r="G34" s="121"/>
      <c r="H34" s="121"/>
      <c r="I34" s="121"/>
    </row>
    <row r="35" spans="1:15" ht="15" thickBot="1">
      <c r="A35" s="1649"/>
      <c r="B35" s="1650" t="s">
        <v>1309</v>
      </c>
      <c r="C35" s="1090">
        <f ca="1">IF(C33="自定义",F35,ROUND(C32*D35,0))</f>
        <v>586107</v>
      </c>
      <c r="D35" s="1091">
        <f ca="1">IF(C33="自定义",ROUND(C35/C32,3),IF(C33="收益比率",SUMIF(INDIRECT("'"&amp;D33&amp;"'"&amp;"!b:b"),"建筑物收益比率",INDIRECT("'"&amp;D33&amp;"'"&amp;"!c:c")),SUMIF(INDIRECT("'"&amp;D33&amp;"'"&amp;"!b:b"),"建筑物成本比率",INDIRECT("'"&amp;D33&amp;"'"&amp;"!c:c"))))</f>
        <v>0.75800000000000001</v>
      </c>
      <c r="E35" s="1651" t="s">
        <v>1310</v>
      </c>
      <c r="F35" s="146"/>
      <c r="G35" s="121"/>
      <c r="H35" s="121"/>
      <c r="I35" s="121"/>
    </row>
    <row r="36" spans="1:15" ht="15" thickBot="1">
      <c r="A36" s="3321" t="s">
        <v>1311</v>
      </c>
      <c r="B36" s="1652" t="s">
        <v>1312</v>
      </c>
      <c r="C36" s="137"/>
      <c r="D36" s="1653"/>
      <c r="E36" s="1567"/>
      <c r="F36" s="1654"/>
      <c r="G36" s="121"/>
      <c r="H36" s="121"/>
      <c r="I36" s="121"/>
    </row>
    <row r="37" spans="1:15" ht="15" thickBot="1">
      <c r="A37" s="3322"/>
      <c r="B37" s="1555" t="s">
        <v>1313</v>
      </c>
      <c r="C37" s="139"/>
      <c r="D37" s="1071"/>
      <c r="E37" s="1071"/>
      <c r="F37" s="1654"/>
      <c r="G37" s="121"/>
      <c r="H37" s="121"/>
      <c r="I37" s="121"/>
    </row>
    <row r="38" spans="1:15" ht="15" thickBot="1">
      <c r="A38" s="3323"/>
      <c r="B38" s="1655" t="s">
        <v>1314</v>
      </c>
      <c r="C38" s="641"/>
      <c r="D38" s="1656" t="s">
        <v>1315</v>
      </c>
      <c r="E38" s="1071"/>
      <c r="F38" s="1654"/>
      <c r="G38" s="121"/>
      <c r="H38" s="121"/>
      <c r="I38" s="121"/>
    </row>
    <row r="39" spans="1:15" ht="14.4">
      <c r="A39" s="1633" t="s">
        <v>1316</v>
      </c>
      <c r="B39" s="1657" t="s">
        <v>1317</v>
      </c>
      <c r="C39" s="1658" t="s">
        <v>1318</v>
      </c>
      <c r="D39" s="1658" t="s">
        <v>1319</v>
      </c>
      <c r="E39" s="1659" t="s">
        <v>1320</v>
      </c>
      <c r="F39" s="1654"/>
      <c r="G39" s="121"/>
      <c r="H39" s="121"/>
      <c r="I39" s="121"/>
    </row>
    <row r="40" spans="1:15" ht="13.8">
      <c r="A40" s="1660" t="s">
        <v>1321</v>
      </c>
      <c r="B40" s="141"/>
      <c r="C40" s="142"/>
      <c r="D40" s="142"/>
      <c r="E40" s="143"/>
      <c r="F40" s="1654"/>
      <c r="G40" s="121"/>
      <c r="H40" s="121"/>
      <c r="I40" s="121"/>
    </row>
    <row r="41" spans="1:15" ht="13.8">
      <c r="A41" s="1660" t="s">
        <v>1322</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1323</v>
      </c>
      <c r="B44" s="1664"/>
      <c r="C44" s="1664"/>
      <c r="D44" s="1665"/>
      <c r="E44" s="1665"/>
      <c r="F44" s="1666"/>
      <c r="G44" s="1666"/>
      <c r="H44" s="1666"/>
      <c r="I44" s="1666"/>
      <c r="J44" s="1667" t="s">
        <v>1324</v>
      </c>
      <c r="K44" s="4"/>
      <c r="L44" s="4"/>
      <c r="M44" s="4"/>
      <c r="N44" s="4"/>
      <c r="O44" s="4"/>
    </row>
    <row r="45" spans="1:15" ht="14.25" customHeight="1" thickBot="1">
      <c r="A45" s="3298" t="s">
        <v>1325</v>
      </c>
      <c r="B45" s="3299"/>
      <c r="C45" s="3300"/>
      <c r="D45" s="147">
        <f ca="1">ROUND(H101*F45,0)</f>
        <v>773228</v>
      </c>
      <c r="E45" s="148" t="s">
        <v>1326</v>
      </c>
      <c r="F45" s="149">
        <v>1</v>
      </c>
      <c r="G45" s="150" t="s">
        <v>1327</v>
      </c>
      <c r="H45" s="121"/>
      <c r="I45" s="121"/>
      <c r="J45" s="3376" t="s">
        <v>1328</v>
      </c>
      <c r="K45" s="3376"/>
      <c r="L45" s="3376"/>
      <c r="M45" s="3376"/>
      <c r="N45" s="3376"/>
      <c r="O45" s="3376"/>
    </row>
    <row r="46" spans="1:15" ht="14.25" customHeight="1">
      <c r="A46" s="3295" t="s">
        <v>1329</v>
      </c>
      <c r="B46" s="3296"/>
      <c r="C46" s="3296"/>
      <c r="D46" s="3296"/>
      <c r="E46" s="3296"/>
      <c r="F46" s="3296"/>
      <c r="G46" s="3297"/>
      <c r="H46" s="1668"/>
      <c r="I46" s="151"/>
      <c r="J46" s="2309">
        <v>1</v>
      </c>
      <c r="K46" s="3357" t="s">
        <v>1330</v>
      </c>
      <c r="L46" s="3357"/>
      <c r="M46" s="3377"/>
      <c r="N46" s="3377"/>
      <c r="O46" s="3377"/>
    </row>
    <row r="47" spans="1:15" ht="12" customHeight="1">
      <c r="A47" s="152" t="s">
        <v>1331</v>
      </c>
      <c r="B47" s="153"/>
      <c r="C47" s="154"/>
      <c r="D47" s="1024" t="s">
        <v>1332</v>
      </c>
      <c r="E47" s="294" t="s">
        <v>1333</v>
      </c>
      <c r="F47" s="155" t="s">
        <v>1334</v>
      </c>
      <c r="G47" s="2332" t="s">
        <v>1335</v>
      </c>
      <c r="H47" s="2333"/>
      <c r="I47" s="151"/>
      <c r="J47" s="2309">
        <v>2</v>
      </c>
      <c r="K47" s="3357" t="s">
        <v>1336</v>
      </c>
      <c r="L47" s="3357"/>
      <c r="M47" s="3378">
        <f>'数据-取费表'!B2</f>
        <v>45993</v>
      </c>
      <c r="N47" s="3378"/>
      <c r="O47" s="3378"/>
    </row>
    <row r="48" spans="1:15" ht="26.4">
      <c r="A48" s="3326" t="s">
        <v>1337</v>
      </c>
      <c r="B48" s="3309"/>
      <c r="C48" s="3309"/>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1338</v>
      </c>
      <c r="H48" s="2336"/>
      <c r="I48" s="1668"/>
      <c r="J48" s="2309">
        <v>3</v>
      </c>
      <c r="K48" s="3357" t="s">
        <v>1339</v>
      </c>
      <c r="L48" s="3357"/>
      <c r="M48" s="3379">
        <f ca="1">H101</f>
        <v>773228</v>
      </c>
      <c r="N48" s="3379"/>
      <c r="O48" s="3379"/>
    </row>
    <row r="49" spans="1:35" ht="25.5" customHeight="1">
      <c r="A49" s="2152" t="s">
        <v>1340</v>
      </c>
      <c r="B49" s="3293" t="s">
        <v>1341</v>
      </c>
      <c r="C49" s="3293"/>
      <c r="D49" s="1478">
        <v>0</v>
      </c>
      <c r="E49" s="316" t="s">
        <v>1342</v>
      </c>
      <c r="F49" s="2232" t="s">
        <v>28</v>
      </c>
      <c r="G49" s="3363"/>
      <c r="H49" s="2134" t="s">
        <v>2133</v>
      </c>
      <c r="I49" s="2135"/>
      <c r="J49" s="2309">
        <v>4</v>
      </c>
      <c r="K49" s="3357" t="str">
        <f>IF(项目基本情况!E8="房地产抵押价值","房地产抵押价值","抵押担保权已注销时的房地产抵押价值")</f>
        <v>房地产抵押价值</v>
      </c>
      <c r="L49" s="3357"/>
      <c r="M49" s="3379">
        <f ca="1">IF(项目基本情况!E8="房地产抵押价值",H107,H109)</f>
        <v>773228</v>
      </c>
      <c r="N49" s="3379"/>
      <c r="O49" s="3379"/>
    </row>
    <row r="50" spans="1:35" ht="25.5" customHeight="1">
      <c r="A50" s="2337"/>
      <c r="B50" s="3293" t="s">
        <v>1343</v>
      </c>
      <c r="C50" s="3293"/>
      <c r="D50" s="2189"/>
      <c r="E50" s="323"/>
      <c r="F50" s="2232"/>
      <c r="G50" s="3364"/>
      <c r="H50" s="2136" t="s">
        <v>2134</v>
      </c>
      <c r="I50" s="2135"/>
      <c r="J50" s="3376" t="s">
        <v>1344</v>
      </c>
      <c r="K50" s="3376"/>
      <c r="L50" s="3376"/>
      <c r="M50" s="3376"/>
      <c r="N50" s="3376"/>
      <c r="O50" s="3376"/>
    </row>
    <row r="51" spans="1:35" ht="20.399999999999999" customHeight="1">
      <c r="A51" s="2338"/>
      <c r="B51" s="3293" t="s">
        <v>1345</v>
      </c>
      <c r="C51" s="3293"/>
      <c r="D51" s="1024"/>
      <c r="E51" s="319"/>
      <c r="F51" s="2232"/>
      <c r="G51" s="3365"/>
      <c r="H51" s="2136" t="s">
        <v>2135</v>
      </c>
      <c r="I51" s="2135"/>
      <c r="J51" s="2310" t="s">
        <v>1346</v>
      </c>
      <c r="K51" s="3357" t="s">
        <v>1347</v>
      </c>
      <c r="L51" s="3357"/>
      <c r="M51" s="2310" t="s">
        <v>1348</v>
      </c>
      <c r="N51" s="2310" t="s">
        <v>1349</v>
      </c>
      <c r="O51" s="2310" t="s">
        <v>1350</v>
      </c>
    </row>
    <row r="52" spans="1:35" ht="24" customHeight="1">
      <c r="A52" s="2153" t="s">
        <v>1351</v>
      </c>
      <c r="B52" s="3293" t="s">
        <v>1352</v>
      </c>
      <c r="C52" s="3293"/>
      <c r="D52" s="1024">
        <f ca="1">ROUND(D45*'数据-取费表'!B41/(1+'数据-取费表'!C42),0)</f>
        <v>40502</v>
      </c>
      <c r="E52" s="1256" t="s">
        <v>1353</v>
      </c>
      <c r="F52" s="2339">
        <f>'数据-取费表'!B41</f>
        <v>5.5000000000000007E-2</v>
      </c>
      <c r="G52" s="2340"/>
      <c r="H52" s="2330"/>
      <c r="I52" s="1669"/>
      <c r="J52" s="2309">
        <v>1</v>
      </c>
      <c r="K52" s="3358" t="s">
        <v>1354</v>
      </c>
      <c r="L52" s="3358"/>
      <c r="M52" s="2311" t="b">
        <f>D48</f>
        <v>0</v>
      </c>
      <c r="N52" s="2309" t="str">
        <f>E48</f>
        <v>销售额×税（费）率</v>
      </c>
      <c r="O52" s="2312">
        <f>F48</f>
        <v>5.5000000000000007E-2</v>
      </c>
    </row>
    <row r="53" spans="1:35" ht="12" customHeight="1">
      <c r="A53" s="2153" t="s">
        <v>1355</v>
      </c>
      <c r="B53" s="3319" t="s">
        <v>2290</v>
      </c>
      <c r="C53" s="3320"/>
      <c r="D53" s="1024">
        <f ca="1">ROUND(D45*'数据-取费表'!B41/(1+'数据-取费表'!C42),0)</f>
        <v>40502</v>
      </c>
      <c r="E53" s="1256" t="s">
        <v>1353</v>
      </c>
      <c r="F53" s="2339">
        <f>'数据-取费表'!B41</f>
        <v>5.5000000000000007E-2</v>
      </c>
      <c r="G53" s="2340"/>
      <c r="H53" s="2330"/>
      <c r="I53" s="1669"/>
      <c r="J53" s="2309">
        <v>2</v>
      </c>
      <c r="K53" s="3358" t="s">
        <v>1356</v>
      </c>
      <c r="L53" s="3358"/>
      <c r="M53" s="2311">
        <f t="shared" ref="M53:O54" ca="1" si="0">D55</f>
        <v>387</v>
      </c>
      <c r="N53" s="2309" t="str">
        <f t="shared" si="0"/>
        <v>销售额×税（费）率</v>
      </c>
      <c r="O53" s="2312" t="str">
        <f t="shared" si="0"/>
        <v>免征</v>
      </c>
    </row>
    <row r="54" spans="1:35" ht="12" customHeight="1">
      <c r="A54" s="2153" t="s">
        <v>1357</v>
      </c>
      <c r="B54" s="3319" t="s">
        <v>2291</v>
      </c>
      <c r="C54" s="3320"/>
      <c r="D54" s="1024">
        <f ca="1">C68</f>
        <v>40502</v>
      </c>
      <c r="E54" s="319" t="s">
        <v>1358</v>
      </c>
      <c r="F54" s="2339">
        <f>'数据-取费表'!B41</f>
        <v>5.5000000000000007E-2</v>
      </c>
      <c r="G54" s="2340"/>
      <c r="H54" s="2341"/>
      <c r="I54" s="1669"/>
      <c r="J54" s="2309">
        <v>3</v>
      </c>
      <c r="K54" s="3358" t="s">
        <v>1359</v>
      </c>
      <c r="L54" s="3358"/>
      <c r="M54" s="2311">
        <f t="shared" ca="1" si="0"/>
        <v>438347</v>
      </c>
      <c r="N54" s="2309" t="str">
        <f t="shared" si="0"/>
        <v>增值额×税（费）率</v>
      </c>
      <c r="O54" s="2313" t="str">
        <f t="shared" si="0"/>
        <v>免征</v>
      </c>
    </row>
    <row r="55" spans="1:35" ht="24" customHeight="1">
      <c r="A55" s="3308" t="s">
        <v>1360</v>
      </c>
      <c r="B55" s="3309"/>
      <c r="C55" s="3309"/>
      <c r="D55" s="12">
        <f ca="1">IF(H55="个人住宅",0,ROUND(D45*I55,0))</f>
        <v>387</v>
      </c>
      <c r="E55" s="1256" t="s">
        <v>1361</v>
      </c>
      <c r="F55" s="2339" t="str">
        <f>IF(H55="正常",I55,"免征")</f>
        <v>免征</v>
      </c>
      <c r="G55" s="2340"/>
      <c r="H55" s="2336"/>
      <c r="I55" s="157">
        <f>'数据-取费表'!B49</f>
        <v>5.0000000000000001E-4</v>
      </c>
      <c r="J55" s="2309">
        <f>IF(H59="非个人房产","",4)</f>
        <v>4</v>
      </c>
      <c r="K55" s="3358" t="str">
        <f>IF(H59="非个人房产","——","个人所得税")</f>
        <v>个人所得税</v>
      </c>
      <c r="L55" s="3358"/>
      <c r="M55" s="2314">
        <f ca="1">D59</f>
        <v>7364</v>
      </c>
      <c r="N55" s="1883" t="str">
        <f>E59</f>
        <v>差额计税</v>
      </c>
      <c r="O55" s="2315">
        <f>F59</f>
        <v>0.01</v>
      </c>
    </row>
    <row r="56" spans="1:35" ht="25.2">
      <c r="A56" s="3308" t="s">
        <v>1362</v>
      </c>
      <c r="B56" s="3309"/>
      <c r="C56" s="3309"/>
      <c r="D56" s="12">
        <f ca="1">IF(H56="个人住宅",D57,D58)</f>
        <v>438347</v>
      </c>
      <c r="E56" s="1256" t="s">
        <v>1363</v>
      </c>
      <c r="F56" s="2339" t="str">
        <f>IF(H56="正常",F58,"免征")</f>
        <v>免征</v>
      </c>
      <c r="G56" s="2342" t="s">
        <v>1364</v>
      </c>
      <c r="H56" s="2343"/>
      <c r="I56" s="1670"/>
      <c r="J56" s="2309" t="str">
        <f>IF(项目基本情况!K6="上海银行",IF(J55="",4,J55+1),"")</f>
        <v/>
      </c>
      <c r="K56" s="3381" t="str">
        <f>IF(项目基本情况!K6="上海银行","其他处置费用","")</f>
        <v/>
      </c>
      <c r="L56" s="3382"/>
      <c r="M56" s="2311" t="str">
        <f>IF(项目基本情况!K6="上海银行",M69,"")</f>
        <v/>
      </c>
      <c r="N56" s="3381" t="str">
        <f>IF(项目基本情况!K6="上海银行","包含处置中涉及的律师、诉讼、拍卖、评估等费用","")</f>
        <v/>
      </c>
      <c r="O56" s="3384"/>
    </row>
    <row r="57" spans="1:35" ht="13.2">
      <c r="A57" s="2153" t="s">
        <v>1340</v>
      </c>
      <c r="B57" s="3319" t="s">
        <v>1365</v>
      </c>
      <c r="C57" s="3320"/>
      <c r="D57" s="1478">
        <v>0</v>
      </c>
      <c r="E57" s="316" t="s">
        <v>1342</v>
      </c>
      <c r="F57" s="294"/>
      <c r="G57" s="2340"/>
      <c r="H57" s="2344"/>
      <c r="I57" s="1670"/>
      <c r="J57" s="3358">
        <f>IF(AND(J55="",J56=""),4,IF(项目基本情况!K6="上海银行",结果表!J56+1,结果表!J55+1))</f>
        <v>5</v>
      </c>
      <c r="K57" s="3358" t="s">
        <v>1366</v>
      </c>
      <c r="L57" s="2316" t="s">
        <v>1367</v>
      </c>
      <c r="M57" s="2317"/>
      <c r="N57" s="2318">
        <f ca="1">SUMIF(M52:M56,"&lt;9e307")</f>
        <v>446098</v>
      </c>
      <c r="O57" s="2319"/>
      <c r="P57" s="2464">
        <f ca="1">N57/M49</f>
        <v>0.57692944383804001</v>
      </c>
    </row>
    <row r="58" spans="1:35" ht="25.2">
      <c r="A58" s="2153" t="s">
        <v>1351</v>
      </c>
      <c r="B58" s="3319" t="s">
        <v>1368</v>
      </c>
      <c r="C58" s="3293"/>
      <c r="D58" s="12">
        <f ca="1">IF(H58="转让取得",C81,C97)</f>
        <v>438347</v>
      </c>
      <c r="E58" s="1256" t="s">
        <v>1363</v>
      </c>
      <c r="F58" s="294" t="s">
        <v>28</v>
      </c>
      <c r="G58" s="2340"/>
      <c r="H58" s="2343"/>
      <c r="I58" s="1670"/>
      <c r="J58" s="3358"/>
      <c r="K58" s="3358"/>
      <c r="L58" s="2316" t="s">
        <v>1369</v>
      </c>
      <c r="M58" s="2320"/>
      <c r="N58" s="2321" t="str">
        <f ca="1">NUMBERSTRING(INT(N57*10000),2)&amp;"元整"</f>
        <v>肆拾肆亿陆仟零玖拾捌万元整</v>
      </c>
      <c r="O58" s="2322"/>
    </row>
    <row r="59" spans="1:35" ht="24.6" thickBot="1">
      <c r="A59" s="3361" t="s">
        <v>1370</v>
      </c>
      <c r="B59" s="3362"/>
      <c r="C59" s="3362"/>
      <c r="D59" s="2345">
        <f ca="1">IF(H59="非个人房产","——",IF(H59="个人住宅（满五唯一有凭证）",0,IF(H59="个人其他（无凭证）",ROUND(D45/(1+'数据-取费表'!C42)*F59,0),ROUND(C67*F59,0))))</f>
        <v>7364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8"/>
      <c r="I59" s="2137" t="s">
        <v>2136</v>
      </c>
      <c r="J59" s="3359">
        <f>J57+1</f>
        <v>6</v>
      </c>
      <c r="K59" s="3358" t="s">
        <v>1371</v>
      </c>
      <c r="L59" s="2309" t="s">
        <v>1367</v>
      </c>
      <c r="M59" s="2323"/>
      <c r="N59" s="2324">
        <f ca="1">M49-N57</f>
        <v>327130</v>
      </c>
      <c r="O59" s="2325"/>
    </row>
    <row r="60" spans="1:35" ht="12" customHeight="1">
      <c r="A60" s="1671"/>
      <c r="B60" s="646"/>
      <c r="C60" s="646"/>
      <c r="D60" s="646"/>
      <c r="E60" s="1466"/>
      <c r="F60" s="1670"/>
      <c r="G60" s="1670"/>
      <c r="H60" s="151"/>
      <c r="I60" s="121"/>
      <c r="J60" s="3360"/>
      <c r="K60" s="3358"/>
      <c r="L60" s="2316" t="s">
        <v>1369</v>
      </c>
      <c r="M60" s="2320"/>
      <c r="N60" s="2321" t="str">
        <f ca="1">NUMBERSTRING(INT(N59*10000),2)&amp;"元整"</f>
        <v>叁拾贰亿柒仟壹佰叁拾万元整</v>
      </c>
      <c r="O60" s="2322"/>
    </row>
    <row r="61" spans="1:35" ht="13.8" thickBot="1">
      <c r="A61" s="3306" t="s">
        <v>1372</v>
      </c>
      <c r="B61" s="3306"/>
      <c r="C61" s="3306"/>
      <c r="D61" s="3306"/>
      <c r="E61" s="3306"/>
      <c r="F61" s="1670"/>
      <c r="G61" s="1670"/>
      <c r="H61" s="151"/>
      <c r="I61" s="121"/>
      <c r="J61" s="2309">
        <f>J59+1</f>
        <v>7</v>
      </c>
      <c r="K61" s="3358" t="s">
        <v>1373</v>
      </c>
      <c r="L61" s="3358"/>
      <c r="M61" s="2326"/>
      <c r="N61" s="2327">
        <f ca="1">ROUND(N59*10000/'数据-汇总表'!E3,0)</f>
        <v>9305</v>
      </c>
      <c r="O61" s="2328"/>
    </row>
    <row r="62" spans="1:35" ht="13.2">
      <c r="A62" s="3324" t="s">
        <v>1374</v>
      </c>
      <c r="B62" s="3325"/>
      <c r="C62" s="1865"/>
      <c r="D62" s="1865" t="s">
        <v>1375</v>
      </c>
      <c r="E62" s="158" t="s">
        <v>1376</v>
      </c>
      <c r="F62" s="1670"/>
      <c r="G62" s="1670"/>
      <c r="H62" s="151"/>
      <c r="I62" s="121"/>
    </row>
    <row r="63" spans="1:35" ht="13.2">
      <c r="A63" s="165" t="s">
        <v>330</v>
      </c>
      <c r="B63" s="159" t="s">
        <v>1377</v>
      </c>
      <c r="C63" s="2349">
        <f ca="1">ROUND((C64+C65)/(1+'数据-取费表'!C42),0)</f>
        <v>736408</v>
      </c>
      <c r="D63" s="159"/>
      <c r="E63" s="160"/>
      <c r="F63" s="1670"/>
      <c r="G63" s="1670"/>
      <c r="H63" s="151"/>
      <c r="I63" s="121"/>
      <c r="J63" s="3383" t="s">
        <v>1378</v>
      </c>
      <c r="K63" s="1245" t="s">
        <v>1379</v>
      </c>
      <c r="L63" s="1245">
        <f ca="1">IF(M49&gt;10000,M49*0.5%,IF(AND(M49&gt;1000,M49&lt;=10000),M49*1%,IF(AND(M49&gt;100,M49&lt;=1000),M49*3%,IF(AND(M49&gt;10,M49&lt;=100),M49*5%,M49*8%))))</f>
        <v>3866.14</v>
      </c>
      <c r="M63" s="294">
        <f ca="1">ROUND(L63,1)</f>
        <v>3866.1</v>
      </c>
      <c r="N63" s="2329"/>
      <c r="Z63" s="1623"/>
      <c r="AI63" s="1561"/>
    </row>
    <row r="64" spans="1:35" ht="14.25" customHeight="1">
      <c r="A64" s="161" t="s">
        <v>325</v>
      </c>
      <c r="B64" s="162" t="s">
        <v>1380</v>
      </c>
      <c r="C64" s="2350">
        <f ca="1">D45</f>
        <v>773228</v>
      </c>
      <c r="D64" s="162" t="s">
        <v>26</v>
      </c>
      <c r="E64" s="164"/>
      <c r="F64" s="1670"/>
      <c r="G64" s="1670"/>
      <c r="H64" s="151"/>
      <c r="I64" s="121"/>
      <c r="J64" s="3383"/>
      <c r="K64" s="1245" t="s">
        <v>1381</v>
      </c>
      <c r="L64" s="1245">
        <f ca="1">IF(M49&gt;2000,M49*0.5%,IF(AND(M49&gt;1000,M49&lt;=2000),M49*0.6%,IF(AND(M49&gt;500,M49&lt;=1000),M49*0.7%,IF(AND(M49&gt;200,M49&lt;=500),M49*0.8%,IF(AND(M49&gt;100,M49&lt;=200),M49*0.9%,IF(AND(M49&gt;50,M49&lt;=100),M49*1%,IF(AND(M49&gt;20,M49&lt;=50),M49*1.5%,IF(AND(M49&gt;10,M49&lt;=20),M49*2%,IF(AND(M49&gt;1,M49&lt;=10),M49*2.5%)))))))))</f>
        <v>3866.14</v>
      </c>
      <c r="M64" s="294">
        <f t="shared" ref="M64:M65" ca="1" si="1">ROUND(L64,1)</f>
        <v>3866.1</v>
      </c>
      <c r="N64" s="2330" t="s">
        <v>1382</v>
      </c>
      <c r="Z64" s="1623"/>
      <c r="AI64" s="1561"/>
    </row>
    <row r="65" spans="1:35" ht="14.25" customHeight="1">
      <c r="A65" s="161" t="s">
        <v>326</v>
      </c>
      <c r="B65" s="162" t="s">
        <v>1383</v>
      </c>
      <c r="C65" s="2351"/>
      <c r="D65" s="162"/>
      <c r="E65" s="164"/>
      <c r="F65" s="1670"/>
      <c r="G65" s="1670"/>
      <c r="H65" s="151"/>
      <c r="I65" s="121"/>
      <c r="J65" s="3383"/>
      <c r="K65" s="1245" t="s">
        <v>1384</v>
      </c>
      <c r="L65" s="1245">
        <f ca="1">IF(M49&gt;1000,M49*0.1%,IF(AND(M49&gt;500,M49&lt;=1000),M49*0.5%,IF(AND(M49&gt;50,M49&lt;=500),M49*1%,IF(AND(M49&gt;1,M49&lt;=50),M49*1.5%))))</f>
        <v>773.22800000000007</v>
      </c>
      <c r="M65" s="294">
        <f t="shared" ca="1" si="1"/>
        <v>773.2</v>
      </c>
      <c r="N65" s="2330" t="s">
        <v>1382</v>
      </c>
      <c r="Z65" s="1623"/>
      <c r="AI65" s="1561"/>
    </row>
    <row r="66" spans="1:35" ht="14.25" customHeight="1">
      <c r="A66" s="165" t="s">
        <v>327</v>
      </c>
      <c r="B66" s="166" t="s">
        <v>1385</v>
      </c>
      <c r="C66" s="2352"/>
      <c r="D66" s="166" t="s">
        <v>26</v>
      </c>
      <c r="E66" s="1251" t="s">
        <v>671</v>
      </c>
      <c r="F66" s="1670"/>
      <c r="G66" s="1670"/>
      <c r="H66" s="151"/>
      <c r="I66" s="121"/>
      <c r="J66" s="3383"/>
      <c r="K66" s="1245" t="s">
        <v>1386</v>
      </c>
      <c r="L66" s="1245">
        <f ca="1">M49*0.5%</f>
        <v>3866.14</v>
      </c>
      <c r="M66" s="294">
        <f ca="1">IF(L66&gt;0.5,0.5,ROUND(L66,0))</f>
        <v>0.5</v>
      </c>
      <c r="N66" s="2330" t="s">
        <v>1387</v>
      </c>
      <c r="Z66" s="1623"/>
      <c r="AI66" s="1561"/>
    </row>
    <row r="67" spans="1:35" ht="14.25" customHeight="1">
      <c r="A67" s="165" t="s">
        <v>328</v>
      </c>
      <c r="B67" s="166" t="s">
        <v>1388</v>
      </c>
      <c r="C67" s="2353">
        <f ca="1">C63-C66</f>
        <v>736408</v>
      </c>
      <c r="D67" s="162" t="s">
        <v>26</v>
      </c>
      <c r="E67" s="164"/>
      <c r="F67" s="1670"/>
      <c r="G67" s="1670"/>
      <c r="H67" s="151"/>
      <c r="I67" s="121"/>
      <c r="J67" s="3383"/>
      <c r="K67" s="1245" t="s">
        <v>1389</v>
      </c>
      <c r="L67" s="1245">
        <f ca="1">IF(M49&gt;=10000,(8.25+(M49-10000)*0.01%),IF(AND(M49&gt;=8000,M49&lt;10000),(7.85+(M49-8000)*0.02%),IF(AND(M49&gt;=5000,M49&lt;8000),(6.65+(M49-5000)*0.04%),IF(AND(M49&gt;=2000,M49&lt;5000),(4.25+(PM49-2000)*0.08%),IF(AND(M49&gt;=1000,M49&lt;2000),(2.75+(M49-1000)*0.15%),IF(AND(M49&gt;=100,M49&lt;1000),(0.5+(M49-100)*0.25%),IF(AND(M49&gt;0,M49&lt;100),M49*0.5%)))))))</f>
        <v>84.572800000000001</v>
      </c>
      <c r="M67" s="294">
        <f ca="1">ROUND(L67*0.9,1)</f>
        <v>76.099999999999994</v>
      </c>
      <c r="N67" s="2329"/>
      <c r="Z67" s="1623"/>
      <c r="AI67" s="1561"/>
    </row>
    <row r="68" spans="1:35" ht="14.25" customHeight="1" thickBot="1">
      <c r="A68" s="168" t="s">
        <v>329</v>
      </c>
      <c r="B68" s="169" t="s">
        <v>1390</v>
      </c>
      <c r="C68" s="2354">
        <f ca="1">IF(C67&lt;=0,0,ROUND(C67*D68,0))</f>
        <v>40502</v>
      </c>
      <c r="D68" s="2355">
        <f>'数据-取费表'!B41</f>
        <v>5.5000000000000007E-2</v>
      </c>
      <c r="E68" s="170"/>
      <c r="F68" s="1670"/>
      <c r="G68" s="1670"/>
      <c r="H68" s="151"/>
      <c r="I68" s="121"/>
      <c r="J68" s="3383"/>
      <c r="K68" s="1245" t="s">
        <v>1391</v>
      </c>
      <c r="L68" s="1245">
        <f ca="1">IF(M49&gt;10000,M49*0.5%,IF(AND(M49&gt;5000,M49&lt;=10000),M49*1%,IF(AND(M49&gt;1000,M49&lt;=5000),M49*2%,IF(AND(M49&gt;200,M49&lt;=1000),M49*3%,M49*5%))))</f>
        <v>3866.14</v>
      </c>
      <c r="M68" s="294">
        <f ca="1">ROUND(L68,1)</f>
        <v>3866.1</v>
      </c>
      <c r="N68" s="2329"/>
      <c r="Z68" s="1623"/>
      <c r="AI68" s="1561"/>
    </row>
    <row r="69" spans="1:35" ht="16.5" customHeight="1">
      <c r="A69" s="1672"/>
      <c r="B69" s="1673"/>
      <c r="C69" s="1674"/>
      <c r="D69" s="1675"/>
      <c r="E69" s="1676"/>
      <c r="F69" s="1466"/>
      <c r="G69" s="1466"/>
      <c r="H69" s="1467"/>
      <c r="I69" s="646"/>
      <c r="J69" s="3383"/>
      <c r="K69" s="1245" t="s">
        <v>1392</v>
      </c>
      <c r="L69" s="1245"/>
      <c r="M69" s="294">
        <f ca="1">ROUND(SUM(M63:M68),0)</f>
        <v>12448</v>
      </c>
      <c r="N69" s="2331">
        <f ca="1">M69/M49</f>
        <v>1.6098744484162496E-2</v>
      </c>
      <c r="Z69" s="1623"/>
      <c r="AI69" s="1561"/>
    </row>
    <row r="70" spans="1:35" s="642" customFormat="1" ht="14.4" thickBot="1">
      <c r="A70" s="3345" t="s">
        <v>1393</v>
      </c>
      <c r="B70" s="3346"/>
      <c r="C70" s="3346"/>
      <c r="D70" s="3346"/>
      <c r="E70" s="3346"/>
      <c r="F70" s="3346"/>
      <c r="G70" s="3346"/>
      <c r="H70" s="33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1374</v>
      </c>
      <c r="B71" s="3325"/>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1394</v>
      </c>
      <c r="C72" s="2353">
        <f ca="1">ROUND(D45/(1+'数据-取费表'!C42),0)</f>
        <v>736408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1395</v>
      </c>
      <c r="C73" s="2353">
        <f ca="1">C74+C78</f>
        <v>3682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1397</v>
      </c>
      <c r="C75" s="2356"/>
      <c r="D75" s="162" t="s">
        <v>26</v>
      </c>
      <c r="E75" s="176" t="s">
        <v>1398</v>
      </c>
      <c r="F75" s="2357"/>
      <c r="G75" s="176" t="s">
        <v>1399</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9">
        <v>0.05</v>
      </c>
      <c r="E76" s="3319" t="s">
        <v>1401</v>
      </c>
      <c r="F76" s="3293"/>
      <c r="G76" s="3293"/>
      <c r="H76" s="33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1">
        <f ca="1">ROUND(D45*D78/(1+'数据-取费表'!C42),0)</f>
        <v>3682</v>
      </c>
      <c r="D78" s="2362">
        <f>'数据-取费表'!B43</f>
        <v>5.000000000000001E-3</v>
      </c>
      <c r="E78" s="3303" t="s">
        <v>1405</v>
      </c>
      <c r="F78" s="3304"/>
      <c r="G78" s="3304"/>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1406</v>
      </c>
      <c r="C79" s="2353">
        <f ca="1">C72-C73</f>
        <v>732726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3">
        <f ca="1">IF(C79&lt;=0,0,C79/C73)</f>
        <v>199.00217273221077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1408</v>
      </c>
      <c r="C81" s="2364">
        <f ca="1">ROUND(IF(C79&lt;=0,0,IF(C80&gt;=200%,C79*60%-C73*35%,IF(C80&gt;=100%,C79*50%-C73*15%,IF(C80&gt;=50%,C79*40%-C73*5%,IF(C80&lt;50%,C79*30%,0))))),0)</f>
        <v>438347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5" t="s">
        <v>1409</v>
      </c>
      <c r="B83" s="3346"/>
      <c r="C83" s="3346"/>
      <c r="D83" s="3346"/>
      <c r="E83" s="3346"/>
      <c r="F83" s="3346"/>
      <c r="G83" s="3346"/>
      <c r="H83" s="33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1374</v>
      </c>
      <c r="B84" s="3325"/>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1394</v>
      </c>
      <c r="C85" s="2353">
        <f ca="1">ROUND(D45/(1+'数据-取费表'!C42),0)</f>
        <v>736408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1395</v>
      </c>
      <c r="C86" s="2353">
        <f ca="1">IF(H88="仅含出让金",C87+C90+C91+C92+C93+C94,C87+C91+C92+C93+C94)</f>
        <v>3682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1410</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1411</v>
      </c>
      <c r="C88" s="2367"/>
      <c r="D88" s="2362"/>
      <c r="E88" s="185" t="s">
        <v>1412</v>
      </c>
      <c r="F88" s="2148"/>
      <c r="G88" s="186" t="s">
        <v>1413</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1402</v>
      </c>
      <c r="C89" s="2361">
        <f>ROUND(C88*D89,0)</f>
        <v>0</v>
      </c>
      <c r="D89" s="2362">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1415</v>
      </c>
      <c r="C90" s="2367"/>
      <c r="D90" s="2362"/>
      <c r="E90" s="185" t="str">
        <f>IF(H88="-","土地取得成本中已包含该笔费用"," ")</f>
        <v xml:space="preserve"> </v>
      </c>
      <c r="F90" s="2148"/>
      <c r="G90" s="3385" t="s">
        <v>2128</v>
      </c>
      <c r="H90" s="3386"/>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1">
        <f>IF(H91="——",成本法!C33,I91)</f>
        <v>0</v>
      </c>
      <c r="D91" s="2362"/>
      <c r="E91" s="3303" t="s">
        <v>1418</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1">
        <f>ROUND((C87+C90+C91)*D92,0)</f>
        <v>0</v>
      </c>
      <c r="D92" s="2368"/>
      <c r="E92" s="3303" t="s">
        <v>1421</v>
      </c>
      <c r="F92" s="3304"/>
      <c r="G92" s="3304"/>
      <c r="H92" s="3313"/>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1">
        <f ca="1">ROUND(D45*D93/(1+'数据-取费表'!C42),0)</f>
        <v>3682</v>
      </c>
      <c r="D93" s="2362">
        <f>'数据-取费表'!B43</f>
        <v>5.000000000000001E-3</v>
      </c>
      <c r="E93" s="3303" t="s">
        <v>1405</v>
      </c>
      <c r="F93" s="3304"/>
      <c r="G93" s="3304"/>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7">
        <f>ROUND((C87+C90+C91)*D94,0)</f>
        <v>0</v>
      </c>
      <c r="D94" s="2362">
        <v>0.2</v>
      </c>
      <c r="E94" s="3314" t="s">
        <v>1425</v>
      </c>
      <c r="F94" s="3315"/>
      <c r="G94" s="3315"/>
      <c r="H94" s="331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1406</v>
      </c>
      <c r="C95" s="2353">
        <f ca="1">ROUND(C85-C86,0)</f>
        <v>732726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3">
        <f ca="1">IF(C95&lt;=0,0,C95/C86)</f>
        <v>199.00217273221077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1408</v>
      </c>
      <c r="C97" s="2364">
        <f ca="1">ROUND(IF(C95&lt;=0,0,IF(C96&gt;=200%,C95*60%-C86*35%,IF(C96&gt;=100%,C95*50%-C86*15%,IF(C96&gt;=50%,C95*40%-C86*5%,IF(C96&lt;50%,C95*30%,0))))),0)</f>
        <v>438347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87" t="s">
        <v>1427</v>
      </c>
      <c r="B100" s="3288"/>
      <c r="C100" s="3288"/>
      <c r="D100" s="3305"/>
      <c r="E100" s="3288" t="s">
        <v>1428</v>
      </c>
      <c r="F100" s="3288"/>
      <c r="G100" s="3288"/>
      <c r="H100" s="3305"/>
      <c r="I100" s="121"/>
    </row>
    <row r="101" spans="1:35" ht="18.75" customHeight="1">
      <c r="A101" s="3366" t="s">
        <v>1429</v>
      </c>
      <c r="B101" s="3367"/>
      <c r="C101" s="2370" t="str">
        <f>C4</f>
        <v>成本法</v>
      </c>
      <c r="D101" s="2371" t="str">
        <f>D4</f>
        <v>收益法</v>
      </c>
      <c r="E101" s="3380" t="s">
        <v>1430</v>
      </c>
      <c r="F101" s="3337"/>
      <c r="G101" s="1687" t="s">
        <v>1431</v>
      </c>
      <c r="H101" s="2380">
        <f ca="1">H118</f>
        <v>773228</v>
      </c>
      <c r="I101" s="121"/>
    </row>
    <row r="102" spans="1:35" ht="18.75" customHeight="1">
      <c r="A102" s="3339" t="s">
        <v>1432</v>
      </c>
      <c r="B102" s="2369" t="s">
        <v>1431</v>
      </c>
      <c r="C102" s="2370">
        <f ca="1">IF(D32="楼面单价",ROUND(C19,0),C19)</f>
        <v>654058</v>
      </c>
      <c r="D102" s="2371">
        <f ca="1">IF(D32="楼面单价",ROUND(D19,0),D19)</f>
        <v>852675</v>
      </c>
      <c r="E102" s="3380"/>
      <c r="F102" s="3337"/>
      <c r="G102" s="1687" t="s">
        <v>1433</v>
      </c>
      <c r="H102" s="2340">
        <f ca="1">I118</f>
        <v>21994</v>
      </c>
      <c r="I102" s="121"/>
    </row>
    <row r="103" spans="1:35" ht="42.75" customHeight="1">
      <c r="A103" s="3339"/>
      <c r="B103" s="2369" t="s">
        <v>1433</v>
      </c>
      <c r="C103" s="2372">
        <f ca="1">C20</f>
        <v>18604</v>
      </c>
      <c r="D103" s="2373">
        <f ca="1">D20</f>
        <v>24858</v>
      </c>
      <c r="E103" s="3374" t="s">
        <v>1434</v>
      </c>
      <c r="F103" s="3375"/>
      <c r="G103" s="1688" t="s">
        <v>1435</v>
      </c>
      <c r="H103" s="2380">
        <f>IF(D36="正常操作",H104+H105+H106,H105+H106)</f>
        <v>0</v>
      </c>
      <c r="I103" s="121"/>
    </row>
    <row r="104" spans="1:35" ht="18.75" customHeight="1">
      <c r="A104" s="3339" t="s">
        <v>1436</v>
      </c>
      <c r="B104" s="2374" t="s">
        <v>1431</v>
      </c>
      <c r="C104" s="2375">
        <f ca="1">H118</f>
        <v>773228</v>
      </c>
      <c r="D104" s="2376"/>
      <c r="E104" s="1555" t="s">
        <v>1437</v>
      </c>
      <c r="F104" s="1548"/>
      <c r="G104" s="1688" t="s">
        <v>1435</v>
      </c>
      <c r="H104" s="2381">
        <f>IF(D36="同一抵押权人同一抵押物续贷",C36&amp;"（续贷，未扣减，详见特别提示）",C36)</f>
        <v>0</v>
      </c>
      <c r="I104" s="121"/>
    </row>
    <row r="105" spans="1:35" ht="18.75" customHeight="1" thickBot="1">
      <c r="A105" s="3340"/>
      <c r="B105" s="2377" t="s">
        <v>1433</v>
      </c>
      <c r="C105" s="2378">
        <f ca="1">I118</f>
        <v>21994</v>
      </c>
      <c r="D105" s="2379"/>
      <c r="E105" s="1555" t="s">
        <v>1438</v>
      </c>
      <c r="F105" s="1548"/>
      <c r="G105" s="1688" t="s">
        <v>1435</v>
      </c>
      <c r="H105" s="2382">
        <f>C37</f>
        <v>0</v>
      </c>
      <c r="I105" s="121"/>
    </row>
    <row r="106" spans="1:35" ht="18.75" customHeight="1">
      <c r="A106" s="646" t="s">
        <v>1439</v>
      </c>
      <c r="B106" s="646"/>
      <c r="C106" s="646"/>
      <c r="D106" s="646"/>
      <c r="E106" s="1689" t="s">
        <v>1440</v>
      </c>
      <c r="F106" s="1548"/>
      <c r="G106" s="1688" t="s">
        <v>1435</v>
      </c>
      <c r="H106" s="2382">
        <f>C38</f>
        <v>0</v>
      </c>
      <c r="I106" s="121"/>
    </row>
    <row r="107" spans="1:35" ht="18.75" customHeight="1">
      <c r="A107" s="121"/>
      <c r="B107" s="121"/>
      <c r="C107" s="121"/>
      <c r="D107" s="121"/>
      <c r="E107" s="3336" t="str">
        <f>IF(项目基本情况!E8="已注销","——","3.房地产抵押价值")</f>
        <v>3.房地产抵押价值</v>
      </c>
      <c r="F107" s="3337"/>
      <c r="G107" s="1687" t="s">
        <v>1431</v>
      </c>
      <c r="H107" s="2380">
        <f ca="1">IF(E107="——","——",H101-H103)</f>
        <v>773228</v>
      </c>
      <c r="I107" s="121"/>
    </row>
    <row r="108" spans="1:35" ht="18.75" customHeight="1">
      <c r="A108" s="121"/>
      <c r="B108" s="121"/>
      <c r="C108" s="121"/>
      <c r="D108" s="121"/>
      <c r="E108" s="3336"/>
      <c r="F108" s="3337"/>
      <c r="G108" s="1687" t="s">
        <v>1433</v>
      </c>
      <c r="H108" s="2340">
        <f ca="1">IF(H107=H101,H102,ROUND(H107*10000/'数据-汇总表'!E3,0))</f>
        <v>21994</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37"/>
      <c r="G109" s="1687" t="s">
        <v>1431</v>
      </c>
      <c r="H109" s="2383" t="str">
        <f>IF(E109="——","——",H101-H105-H106)</f>
        <v>——</v>
      </c>
      <c r="I109" s="121"/>
    </row>
    <row r="110" spans="1:35" ht="18.75" customHeight="1">
      <c r="A110" s="121"/>
      <c r="B110" s="121"/>
      <c r="C110" s="121"/>
      <c r="D110" s="121"/>
      <c r="E110" s="3336"/>
      <c r="F110" s="3337"/>
      <c r="G110" s="1687" t="s">
        <v>1433</v>
      </c>
      <c r="H110" s="2340"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v>
      </c>
      <c r="F111" s="3338"/>
      <c r="G111" s="1687" t="s">
        <v>1431</v>
      </c>
      <c r="H111" s="2380" t="str">
        <f>IF(E111="——","——",N59)</f>
        <v>——</v>
      </c>
      <c r="I111" s="121"/>
    </row>
    <row r="112" spans="1:35" ht="18.75" customHeight="1" thickBot="1">
      <c r="A112" s="121"/>
      <c r="B112" s="121"/>
      <c r="C112" s="121"/>
      <c r="D112" s="121"/>
      <c r="E112" s="3369"/>
      <c r="F112" s="3370"/>
      <c r="G112" s="1690" t="s">
        <v>1433</v>
      </c>
      <c r="H112" s="2384" t="str">
        <f>IF(E111="——","——",N61)</f>
        <v>——</v>
      </c>
      <c r="I112" s="121"/>
    </row>
    <row r="113" spans="1:27" ht="18.75" customHeight="1">
      <c r="A113" s="121"/>
      <c r="B113" s="121"/>
      <c r="C113" s="121"/>
      <c r="D113" s="121"/>
      <c r="E113" s="3341" t="s">
        <v>1439</v>
      </c>
      <c r="F113" s="3341"/>
      <c r="G113" s="3341"/>
      <c r="H113" s="3341"/>
      <c r="I113" s="121"/>
    </row>
    <row r="114" spans="1:27" ht="3.75" customHeight="1">
      <c r="A114" s="646"/>
      <c r="B114" s="646"/>
      <c r="C114" s="646"/>
      <c r="D114" s="646"/>
      <c r="E114" s="1671"/>
      <c r="F114" s="1671"/>
      <c r="G114" s="1671"/>
      <c r="H114" s="1671"/>
      <c r="I114" s="646"/>
    </row>
    <row r="115" spans="1:27" ht="18.75" customHeight="1">
      <c r="A115" s="3351" t="s">
        <v>1441</v>
      </c>
      <c r="B115" s="3352"/>
      <c r="C115" s="3352"/>
      <c r="D115" s="3352"/>
      <c r="E115" s="3352"/>
      <c r="F115" s="3352"/>
      <c r="G115" s="3352"/>
      <c r="H115" s="3352"/>
      <c r="I115" s="3353"/>
    </row>
    <row r="116" spans="1:27" ht="27" customHeight="1">
      <c r="A116" s="3307" t="s">
        <v>1442</v>
      </c>
      <c r="B116" s="3342" t="s">
        <v>1443</v>
      </c>
      <c r="C116" s="3342" t="s">
        <v>1444</v>
      </c>
      <c r="D116" s="3355" t="s">
        <v>1445</v>
      </c>
      <c r="E116" s="3356"/>
      <c r="F116" s="3350" t="s">
        <v>1446</v>
      </c>
      <c r="G116" s="3350"/>
      <c r="H116" s="3307" t="s">
        <v>1447</v>
      </c>
      <c r="I116" s="3307"/>
    </row>
    <row r="117" spans="1:27" ht="18.75" customHeight="1">
      <c r="A117" s="3307"/>
      <c r="B117" s="3343"/>
      <c r="C117" s="3343"/>
      <c r="D117" s="2150" t="s">
        <v>1448</v>
      </c>
      <c r="E117" s="2150" t="s">
        <v>1449</v>
      </c>
      <c r="F117" s="2150" t="s">
        <v>1448</v>
      </c>
      <c r="G117" s="2150" t="s">
        <v>1450</v>
      </c>
      <c r="H117" s="2150" t="s">
        <v>1448</v>
      </c>
      <c r="I117" s="2150" t="s">
        <v>1450</v>
      </c>
    </row>
    <row r="118" spans="1:27" ht="24.75" customHeight="1">
      <c r="A118" s="2385" t="str">
        <f>项目基本情况!S2</f>
        <v>北京市通州区尹各庄甲1号房地产</v>
      </c>
      <c r="B118" s="2150">
        <f>M18</f>
        <v>351565.27</v>
      </c>
      <c r="C118" s="2150">
        <f>M19</f>
        <v>116233.68</v>
      </c>
      <c r="D118" s="2150">
        <f ca="1">ROUND(IF(D32="总价",C34,E118*B118/10000),0)</f>
        <v>187121</v>
      </c>
      <c r="E118" s="2150">
        <f ca="1">ROUND(IF(C33="自定义",IF(D32="楼面单价",C34,D118*10000/B118),I118-G118),0)</f>
        <v>5323</v>
      </c>
      <c r="F118" s="2150">
        <f ca="1">ROUND(IF(D32="总价",C35,G118*B118/10000),0)</f>
        <v>586107</v>
      </c>
      <c r="G118" s="2150">
        <f ca="1">ROUND(IF(D32="楼面单价",C35,F118*10000/B118),0)</f>
        <v>16671</v>
      </c>
      <c r="H118" s="2150">
        <f ca="1">ROUND(IF(D32="总价",C32,I118*B118/10000),0)</f>
        <v>773228</v>
      </c>
      <c r="I118" s="2150">
        <f ca="1">ROUND(IF(D32="楼面单价",C32,H118*10000/B118),0)</f>
        <v>21994</v>
      </c>
    </row>
    <row r="119" spans="1:27" ht="18.75" customHeight="1">
      <c r="A119" s="3307" t="s">
        <v>1451</v>
      </c>
      <c r="B119" s="3307"/>
      <c r="C119" s="3307"/>
      <c r="D119" s="3347" t="str">
        <f ca="1">NUMBERSTRING(INT(D118*10000),2)&amp;"元整"</f>
        <v>壹拾捌亿柒仟壹佰贰拾壹万元整</v>
      </c>
      <c r="E119" s="3349"/>
      <c r="F119" s="3347" t="str">
        <f ca="1">NUMBERSTRING(INT(F118*10000),2)&amp;"元整"</f>
        <v>伍拾捌亿陆仟壹佰零柒万元整</v>
      </c>
      <c r="G119" s="3349"/>
      <c r="H119" s="3347" t="str">
        <f ca="1">NUMBERSTRING(INT(H118*10000),2)&amp;"元整"</f>
        <v>柒拾柒亿叁仟贰佰贰拾捌万元整</v>
      </c>
      <c r="I119" s="3349"/>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7" t="s">
        <v>1451</v>
      </c>
      <c r="B121" s="3348"/>
      <c r="C121" s="3349"/>
      <c r="D121" s="3347" t="str">
        <f>IF(D120=0,"零元整",NUMBERSTRING(INT(D120*10000),2)&amp;"元整")</f>
        <v>零元整</v>
      </c>
      <c r="E121" s="3348"/>
      <c r="F121" s="3348"/>
      <c r="G121" s="3348"/>
      <c r="H121" s="3348"/>
      <c r="I121" s="3349"/>
      <c r="AA121" s="684"/>
    </row>
    <row r="122" spans="1:27" ht="18.75" customHeight="1">
      <c r="A122" s="3338" t="str">
        <f>IF(项目基本情况!B9="房地产市场价值","",MID(E107,3,LEN(E107)-2))</f>
        <v>房地产抵押价值</v>
      </c>
      <c r="B122" s="3338"/>
      <c r="C122" s="3338"/>
      <c r="D122" s="3371">
        <f ca="1">H107</f>
        <v>773228</v>
      </c>
      <c r="E122" s="3372"/>
      <c r="F122" s="3372"/>
      <c r="G122" s="3372"/>
      <c r="H122" s="3372"/>
      <c r="I122" s="3373"/>
      <c r="AA122" s="684"/>
    </row>
    <row r="123" spans="1:27" ht="18.75" customHeight="1">
      <c r="A123" s="3307" t="s">
        <v>1451</v>
      </c>
      <c r="B123" s="3307"/>
      <c r="C123" s="3307"/>
      <c r="D123" s="3347" t="str">
        <f ca="1">NUMBERSTRING(INT(D122*10000),2)&amp;"元整"</f>
        <v>柒拾柒亿叁仟贰佰贰拾捌万元整</v>
      </c>
      <c r="E123" s="3348"/>
      <c r="F123" s="3348"/>
      <c r="G123" s="3348"/>
      <c r="H123" s="3348"/>
      <c r="I123" s="3349"/>
      <c r="AA123" s="684"/>
    </row>
    <row r="124" spans="1:27" ht="18.75" customHeight="1">
      <c r="A124" s="3338" t="str">
        <f>IF(项目基本情况!B9="房地产市场价值","",MID(E109,3,LEN(E109)-2))</f>
        <v/>
      </c>
      <c r="B124" s="3338"/>
      <c r="C124" s="3338"/>
      <c r="D124" s="3371" t="str">
        <f>H109</f>
        <v>——</v>
      </c>
      <c r="E124" s="3372"/>
      <c r="F124" s="3372"/>
      <c r="G124" s="3372"/>
      <c r="H124" s="3372"/>
      <c r="I124" s="3373"/>
      <c r="AA124" s="684"/>
    </row>
    <row r="125" spans="1:27" ht="18.75" customHeight="1">
      <c r="A125" s="3307" t="s">
        <v>1451</v>
      </c>
      <c r="B125" s="3307"/>
      <c r="C125" s="3307"/>
      <c r="D125" s="3347" t="e">
        <f>NUMBERSTRING(INT(D124*10000),2)&amp;"元整"</f>
        <v>#VALUE!</v>
      </c>
      <c r="E125" s="3348"/>
      <c r="F125" s="3348"/>
      <c r="G125" s="3348"/>
      <c r="H125" s="3348"/>
      <c r="I125" s="3349"/>
      <c r="AA125" s="684"/>
    </row>
    <row r="126" spans="1:27" ht="18.75" customHeight="1">
      <c r="A126" s="3338" t="str">
        <f>IF(项目基本情况!B9="房地产市场价值","",MID(E111,3,LEN(E111)-2))</f>
        <v/>
      </c>
      <c r="B126" s="3338"/>
      <c r="C126" s="3338"/>
      <c r="D126" s="3371" t="str">
        <f>H111</f>
        <v>——</v>
      </c>
      <c r="E126" s="3372"/>
      <c r="F126" s="3372"/>
      <c r="G126" s="3372"/>
      <c r="H126" s="3372"/>
      <c r="I126" s="3373"/>
      <c r="AA126" s="684"/>
    </row>
    <row r="127" spans="1:27" ht="18.75" customHeight="1">
      <c r="A127" s="3307" t="s">
        <v>1451</v>
      </c>
      <c r="B127" s="3307"/>
      <c r="C127" s="3307"/>
      <c r="D127" s="3347" t="e">
        <f>NUMBERSTRING(INT(D126*10000),2)&amp;"元整"</f>
        <v>#VALUE!</v>
      </c>
      <c r="E127" s="3348"/>
      <c r="F127" s="3348"/>
      <c r="G127" s="3348"/>
      <c r="H127" s="3348"/>
      <c r="I127" s="3349"/>
      <c r="AA127" s="684"/>
    </row>
    <row r="128" spans="1:27" ht="21.75" customHeight="1">
      <c r="A128" s="3354" t="s">
        <v>1452</v>
      </c>
      <c r="B128" s="3354"/>
      <c r="C128" s="3354"/>
      <c r="D128" s="3354"/>
      <c r="E128" s="3354"/>
      <c r="F128" s="3354"/>
      <c r="G128" s="3354"/>
      <c r="H128" s="3354"/>
      <c r="I128" s="3354"/>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5" t="str">
        <f>项目基本情况!B1</f>
        <v>北京市通州区尹各庄甲1号房地产抵押价值预评估</v>
      </c>
      <c r="C37" s="3205"/>
      <c r="D37" s="3205"/>
      <c r="E37" s="3205"/>
      <c r="F37" s="3205"/>
      <c r="G37" s="3205"/>
      <c r="H37" s="3205"/>
      <c r="I37" s="320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B1:AB71"/>
  <sheetViews>
    <sheetView topLeftCell="A49" workbookViewId="0">
      <selection activeCell="E66" sqref="E66"/>
    </sheetView>
  </sheetViews>
  <sheetFormatPr defaultRowHeight="14.4"/>
  <cols>
    <col min="3" max="3" width="11.77734375" customWidth="1"/>
    <col min="4" max="4" width="10.6640625" customWidth="1"/>
    <col min="6" max="6" width="10.6640625" bestFit="1" customWidth="1"/>
    <col min="9" max="9" width="12.77734375" customWidth="1"/>
    <col min="12" max="12" width="9.21875" customWidth="1"/>
    <col min="14" max="14" width="12.109375" customWidth="1"/>
    <col min="16" max="17" width="10" customWidth="1"/>
    <col min="18" max="18" width="11.33203125" customWidth="1"/>
    <col min="20" max="20" width="13.44140625" customWidth="1"/>
    <col min="21" max="22" width="10.21875" customWidth="1"/>
    <col min="25" max="25" width="13.21875" customWidth="1"/>
  </cols>
  <sheetData>
    <row r="1" spans="2:10" ht="15" thickBot="1"/>
    <row r="2" spans="2:10" ht="25.8" thickBot="1">
      <c r="B2" s="3387" t="s">
        <v>3537</v>
      </c>
      <c r="C2" s="3387" t="s">
        <v>3538</v>
      </c>
      <c r="D2" s="3389" t="s">
        <v>3539</v>
      </c>
      <c r="E2" s="3390"/>
      <c r="F2" s="3391"/>
      <c r="G2" s="3189" t="s">
        <v>3540</v>
      </c>
      <c r="H2" s="3387" t="s">
        <v>3541</v>
      </c>
      <c r="I2" s="3387" t="s">
        <v>3542</v>
      </c>
      <c r="J2" s="3387" t="s">
        <v>3543</v>
      </c>
    </row>
    <row r="3" spans="2:10" ht="15" thickBot="1">
      <c r="B3" s="3388"/>
      <c r="C3" s="3388"/>
      <c r="D3" s="3190" t="s">
        <v>3544</v>
      </c>
      <c r="E3" s="3190" t="s">
        <v>3545</v>
      </c>
      <c r="F3" s="3190" t="s">
        <v>3495</v>
      </c>
      <c r="G3" s="3190" t="s">
        <v>3546</v>
      </c>
      <c r="H3" s="3388"/>
      <c r="I3" s="3388"/>
      <c r="J3" s="3388"/>
    </row>
    <row r="4" spans="2:10" ht="15" thickBot="1">
      <c r="B4" s="3191" t="s">
        <v>3547</v>
      </c>
      <c r="C4" s="3392">
        <v>95778.03</v>
      </c>
      <c r="D4" s="3192">
        <v>17658.11</v>
      </c>
      <c r="E4" s="3192">
        <v>1837.58</v>
      </c>
      <c r="F4" s="3192">
        <v>0</v>
      </c>
      <c r="G4" s="3192">
        <v>294.92</v>
      </c>
      <c r="H4" s="3192">
        <v>19790.61</v>
      </c>
      <c r="I4" s="3395" t="s">
        <v>3482</v>
      </c>
      <c r="J4" s="3395" t="s">
        <v>3548</v>
      </c>
    </row>
    <row r="5" spans="2:10" ht="15" thickBot="1">
      <c r="B5" s="3191" t="s">
        <v>3549</v>
      </c>
      <c r="C5" s="3393"/>
      <c r="D5" s="3192">
        <v>17658.11</v>
      </c>
      <c r="E5" s="3192">
        <v>1832.56</v>
      </c>
      <c r="F5" s="3192">
        <v>0</v>
      </c>
      <c r="G5" s="3192">
        <v>294.92</v>
      </c>
      <c r="H5" s="3192">
        <v>19785.59</v>
      </c>
      <c r="I5" s="3396"/>
      <c r="J5" s="3396"/>
    </row>
    <row r="6" spans="2:10" ht="15" thickBot="1">
      <c r="B6" s="3191" t="s">
        <v>3550</v>
      </c>
      <c r="C6" s="3393"/>
      <c r="D6" s="3192">
        <v>17658.11</v>
      </c>
      <c r="E6" s="3192">
        <v>1842.18</v>
      </c>
      <c r="F6" s="3192">
        <v>0</v>
      </c>
      <c r="G6" s="3192">
        <v>294.92</v>
      </c>
      <c r="H6" s="3192">
        <v>19795.21</v>
      </c>
      <c r="I6" s="3396"/>
      <c r="J6" s="3396"/>
    </row>
    <row r="7" spans="2:10" ht="15" thickBot="1">
      <c r="B7" s="3191" t="s">
        <v>3551</v>
      </c>
      <c r="C7" s="3393"/>
      <c r="D7" s="3192">
        <v>11307.49</v>
      </c>
      <c r="E7" s="3192">
        <v>1828.26</v>
      </c>
      <c r="F7" s="3192">
        <v>0</v>
      </c>
      <c r="G7" s="3192">
        <v>292.44</v>
      </c>
      <c r="H7" s="3192">
        <v>13428.19</v>
      </c>
      <c r="I7" s="3396"/>
      <c r="J7" s="3396"/>
    </row>
    <row r="8" spans="2:10" ht="15" thickBot="1">
      <c r="B8" s="3191" t="s">
        <v>3552</v>
      </c>
      <c r="C8" s="3393"/>
      <c r="D8" s="3192">
        <v>17658.11</v>
      </c>
      <c r="E8" s="3192">
        <v>1831.24</v>
      </c>
      <c r="F8" s="3192">
        <v>0</v>
      </c>
      <c r="G8" s="3192">
        <v>294.92</v>
      </c>
      <c r="H8" s="3192">
        <v>19784.27</v>
      </c>
      <c r="I8" s="3396"/>
      <c r="J8" s="3396"/>
    </row>
    <row r="9" spans="2:10" ht="15" thickBot="1">
      <c r="B9" s="3191" t="s">
        <v>3553</v>
      </c>
      <c r="C9" s="3393"/>
      <c r="D9" s="3192">
        <v>11958.17</v>
      </c>
      <c r="E9" s="3192">
        <v>1822.18</v>
      </c>
      <c r="F9" s="3192">
        <v>0</v>
      </c>
      <c r="G9" s="3192">
        <v>292.44</v>
      </c>
      <c r="H9" s="3192">
        <v>14072.79</v>
      </c>
      <c r="I9" s="3396"/>
      <c r="J9" s="3396"/>
    </row>
    <row r="10" spans="2:10" ht="15" thickBot="1">
      <c r="B10" s="3191" t="s">
        <v>3554</v>
      </c>
      <c r="C10" s="3393"/>
      <c r="D10" s="3192">
        <v>17658.11</v>
      </c>
      <c r="E10" s="3192">
        <v>1836.4</v>
      </c>
      <c r="F10" s="3192">
        <v>0</v>
      </c>
      <c r="G10" s="3192">
        <v>294.92</v>
      </c>
      <c r="H10" s="3192">
        <v>19789.43</v>
      </c>
      <c r="I10" s="3396"/>
      <c r="J10" s="3396"/>
    </row>
    <row r="11" spans="2:10" ht="15" thickBot="1">
      <c r="B11" s="3191" t="s">
        <v>3555</v>
      </c>
      <c r="C11" s="3393"/>
      <c r="D11" s="3192">
        <v>18018.59</v>
      </c>
      <c r="E11" s="3192">
        <v>1848.39</v>
      </c>
      <c r="F11" s="3192">
        <v>0</v>
      </c>
      <c r="G11" s="3192">
        <v>296.91000000000003</v>
      </c>
      <c r="H11" s="3192">
        <v>20163.89</v>
      </c>
      <c r="I11" s="3396"/>
      <c r="J11" s="3396"/>
    </row>
    <row r="12" spans="2:10" ht="15" thickBot="1">
      <c r="B12" s="3191" t="s">
        <v>3556</v>
      </c>
      <c r="C12" s="3393"/>
      <c r="D12" s="3192">
        <v>17658.11</v>
      </c>
      <c r="E12" s="3192">
        <v>1831.19</v>
      </c>
      <c r="F12" s="3192">
        <v>0</v>
      </c>
      <c r="G12" s="3192">
        <v>294.92</v>
      </c>
      <c r="H12" s="3192">
        <v>19784.22</v>
      </c>
      <c r="I12" s="3396"/>
      <c r="J12" s="3396"/>
    </row>
    <row r="13" spans="2:10" ht="15" thickBot="1">
      <c r="B13" s="3191" t="s">
        <v>3557</v>
      </c>
      <c r="C13" s="3393"/>
      <c r="D13" s="3192">
        <v>11958.17</v>
      </c>
      <c r="E13" s="3192">
        <v>1822.15</v>
      </c>
      <c r="F13" s="3192">
        <v>0</v>
      </c>
      <c r="G13" s="3192">
        <v>292.44</v>
      </c>
      <c r="H13" s="3192">
        <v>14072.76</v>
      </c>
      <c r="I13" s="3396"/>
      <c r="J13" s="3396"/>
    </row>
    <row r="14" spans="2:10" ht="15" thickBot="1">
      <c r="B14" s="3191" t="s">
        <v>3558</v>
      </c>
      <c r="C14" s="3393"/>
      <c r="D14" s="3192">
        <v>18018.59</v>
      </c>
      <c r="E14" s="3192">
        <v>1837.92</v>
      </c>
      <c r="F14" s="3192">
        <v>0</v>
      </c>
      <c r="G14" s="3192">
        <v>294.83999999999997</v>
      </c>
      <c r="H14" s="3192">
        <v>20151.349999999999</v>
      </c>
      <c r="I14" s="3396"/>
      <c r="J14" s="3396"/>
    </row>
    <row r="15" spans="2:10" ht="15" thickBot="1">
      <c r="B15" s="3191" t="s">
        <v>3559</v>
      </c>
      <c r="C15" s="3393"/>
      <c r="D15" s="3192">
        <v>11728.85</v>
      </c>
      <c r="E15" s="3192">
        <v>1822.93</v>
      </c>
      <c r="F15" s="3192">
        <v>0</v>
      </c>
      <c r="G15" s="3192">
        <v>292.44</v>
      </c>
      <c r="H15" s="3192">
        <v>13844.22</v>
      </c>
      <c r="I15" s="3396"/>
      <c r="J15" s="3396"/>
    </row>
    <row r="16" spans="2:10" ht="15" thickBot="1">
      <c r="B16" s="3191" t="s">
        <v>3560</v>
      </c>
      <c r="C16" s="3393"/>
      <c r="D16" s="3192">
        <v>11958.17</v>
      </c>
      <c r="E16" s="3192">
        <v>1828.5</v>
      </c>
      <c r="F16" s="3192">
        <v>0</v>
      </c>
      <c r="G16" s="3192">
        <v>292.44</v>
      </c>
      <c r="H16" s="3192">
        <v>14079.11</v>
      </c>
      <c r="I16" s="3396"/>
      <c r="J16" s="3396"/>
    </row>
    <row r="17" spans="2:28" ht="15" thickBot="1">
      <c r="B17" s="3191" t="s">
        <v>3561</v>
      </c>
      <c r="C17" s="3393"/>
      <c r="D17" s="3192">
        <v>11836</v>
      </c>
      <c r="E17" s="3192">
        <v>1834.64</v>
      </c>
      <c r="F17" s="3192">
        <v>0</v>
      </c>
      <c r="G17" s="3192">
        <v>292.44</v>
      </c>
      <c r="H17" s="3192">
        <v>13963.08</v>
      </c>
      <c r="I17" s="3396"/>
      <c r="J17" s="3396"/>
    </row>
    <row r="18" spans="2:28" ht="15" thickBot="1">
      <c r="B18" s="3193" t="s">
        <v>3495</v>
      </c>
      <c r="C18" s="3394"/>
      <c r="D18" s="3192">
        <v>0</v>
      </c>
      <c r="E18" s="3192">
        <v>6948.57</v>
      </c>
      <c r="F18" s="3192">
        <v>39209.79</v>
      </c>
      <c r="G18" s="3192">
        <v>3474.28</v>
      </c>
      <c r="H18" s="3192">
        <v>49632.639999999999</v>
      </c>
      <c r="I18" s="3397"/>
      <c r="J18" s="3397"/>
    </row>
    <row r="19" spans="2:28" ht="14.25" customHeight="1" thickBot="1">
      <c r="B19" s="3194" t="s">
        <v>3562</v>
      </c>
      <c r="C19" s="3190" t="s">
        <v>43</v>
      </c>
      <c r="D19" s="3195">
        <f>SUM(D4:D18)</f>
        <v>212732.69</v>
      </c>
      <c r="E19" s="3195">
        <f>SUM(E4:E18)</f>
        <v>32604.690000000002</v>
      </c>
      <c r="F19" s="3195">
        <f>F18</f>
        <v>39209.79</v>
      </c>
      <c r="G19" s="3195">
        <f>SUM(G4:G18)</f>
        <v>7590.1900000000005</v>
      </c>
      <c r="H19" s="3195">
        <f>SUM(H4:H18)</f>
        <v>292137.36</v>
      </c>
      <c r="I19" s="3190" t="s">
        <v>43</v>
      </c>
      <c r="J19" s="3190" t="s">
        <v>43</v>
      </c>
    </row>
    <row r="20" spans="2:28" ht="15" thickBot="1">
      <c r="B20" s="3191" t="s">
        <v>3563</v>
      </c>
      <c r="C20" s="3392">
        <v>20455.650000000001</v>
      </c>
      <c r="D20" s="3192">
        <v>17658.11</v>
      </c>
      <c r="E20" s="3192">
        <v>1834.45</v>
      </c>
      <c r="F20" s="3192">
        <v>0</v>
      </c>
      <c r="G20" s="3192">
        <v>294.92</v>
      </c>
      <c r="H20" s="3192">
        <v>19787.48</v>
      </c>
      <c r="I20" s="3395" t="s">
        <v>3564</v>
      </c>
      <c r="J20" s="3395" t="s">
        <v>3565</v>
      </c>
    </row>
    <row r="21" spans="2:28" ht="15" thickBot="1">
      <c r="B21" s="3191" t="s">
        <v>3566</v>
      </c>
      <c r="C21" s="3393"/>
      <c r="D21" s="3192">
        <v>17658.11</v>
      </c>
      <c r="E21" s="3192">
        <v>1833.48</v>
      </c>
      <c r="F21" s="3192">
        <v>0</v>
      </c>
      <c r="G21" s="3192">
        <v>361.2</v>
      </c>
      <c r="H21" s="3192">
        <v>19852.79</v>
      </c>
      <c r="I21" s="3396"/>
      <c r="J21" s="3396"/>
    </row>
    <row r="22" spans="2:28" ht="15" thickBot="1">
      <c r="B22" s="3191" t="s">
        <v>3567</v>
      </c>
      <c r="C22" s="3394"/>
      <c r="D22" s="3192">
        <v>17658.11</v>
      </c>
      <c r="E22" s="3192">
        <v>1834.61</v>
      </c>
      <c r="F22" s="3192">
        <v>0</v>
      </c>
      <c r="G22" s="3192">
        <v>294.92</v>
      </c>
      <c r="H22" s="3192">
        <v>19787.64</v>
      </c>
      <c r="I22" s="3397"/>
      <c r="J22" s="3397"/>
    </row>
    <row r="23" spans="2:28" ht="15" thickBot="1">
      <c r="B23" s="3194" t="s">
        <v>3562</v>
      </c>
      <c r="C23" s="3190" t="s">
        <v>43</v>
      </c>
      <c r="D23" s="3195">
        <f>SUM(D20:D22)</f>
        <v>52974.33</v>
      </c>
      <c r="E23" s="3195">
        <f>SUM(E20:E22)</f>
        <v>5502.54</v>
      </c>
      <c r="F23" s="3195">
        <v>0</v>
      </c>
      <c r="G23" s="3195">
        <f>SUM(G20:G22)</f>
        <v>951.04</v>
      </c>
      <c r="H23" s="3195">
        <f>SUM(H20:H22)</f>
        <v>59427.91</v>
      </c>
      <c r="I23" s="3190" t="s">
        <v>43</v>
      </c>
      <c r="J23" s="3190" t="s">
        <v>43</v>
      </c>
    </row>
    <row r="24" spans="2:28" ht="15" thickBot="1">
      <c r="B24" s="3194" t="s">
        <v>3541</v>
      </c>
      <c r="C24" s="3195">
        <f>C4+C20</f>
        <v>116233.68</v>
      </c>
      <c r="D24" s="3195">
        <f>D19+D23</f>
        <v>265707.02</v>
      </c>
      <c r="E24" s="3195">
        <f>E19+E23</f>
        <v>38107.230000000003</v>
      </c>
      <c r="F24" s="3195">
        <f>F19+F23</f>
        <v>39209.79</v>
      </c>
      <c r="G24" s="3195">
        <f>G19+G23</f>
        <v>8541.23</v>
      </c>
      <c r="H24" s="3195">
        <f>H19+H23</f>
        <v>351565.27</v>
      </c>
      <c r="I24" s="3190" t="s">
        <v>43</v>
      </c>
      <c r="J24" s="3190" t="s">
        <v>43</v>
      </c>
    </row>
    <row r="26" spans="2:28" ht="15" thickBot="1"/>
    <row r="27" spans="2:28" ht="25.8" thickBot="1">
      <c r="B27" s="3387" t="s">
        <v>3537</v>
      </c>
      <c r="C27" s="3387" t="s">
        <v>3538</v>
      </c>
      <c r="D27" s="3389" t="s">
        <v>3539</v>
      </c>
      <c r="E27" s="3390"/>
      <c r="F27" s="3391"/>
      <c r="G27" s="3189" t="s">
        <v>3540</v>
      </c>
      <c r="H27" s="3387" t="s">
        <v>3541</v>
      </c>
    </row>
    <row r="28" spans="2:28" ht="41.25" customHeight="1" thickBot="1">
      <c r="B28" s="3388"/>
      <c r="C28" s="3388"/>
      <c r="D28" s="3190" t="s">
        <v>3544</v>
      </c>
      <c r="E28" s="3190" t="s">
        <v>3545</v>
      </c>
      <c r="F28" s="3190" t="s">
        <v>3495</v>
      </c>
      <c r="G28" s="3190" t="s">
        <v>3546</v>
      </c>
      <c r="H28" s="3388"/>
      <c r="J28" s="1405" t="s">
        <v>3568</v>
      </c>
      <c r="K28" s="1405" t="s">
        <v>3569</v>
      </c>
      <c r="L28" s="1405" t="s">
        <v>3570</v>
      </c>
      <c r="M28" s="1405" t="s">
        <v>3571</v>
      </c>
      <c r="N28" s="1405" t="s">
        <v>3572</v>
      </c>
      <c r="O28" s="1405" t="s">
        <v>3571</v>
      </c>
      <c r="P28" s="3180" t="s">
        <v>3573</v>
      </c>
      <c r="Q28" s="3180" t="s">
        <v>3574</v>
      </c>
      <c r="R28" s="3180" t="s">
        <v>3575</v>
      </c>
      <c r="S28" s="3180" t="s">
        <v>3576</v>
      </c>
      <c r="T28" s="3180" t="s">
        <v>3571</v>
      </c>
      <c r="U28" s="3180" t="s">
        <v>3577</v>
      </c>
      <c r="V28" s="3180" t="s">
        <v>3578</v>
      </c>
      <c r="W28" s="1405" t="s">
        <v>3579</v>
      </c>
      <c r="X28" s="1405" t="s">
        <v>3571</v>
      </c>
      <c r="Y28" s="3196" t="s">
        <v>3580</v>
      </c>
      <c r="Z28" s="3196" t="s">
        <v>3576</v>
      </c>
      <c r="AB28" s="1405"/>
    </row>
    <row r="29" spans="2:28" ht="15" thickBot="1">
      <c r="B29" s="3191" t="s">
        <v>3547</v>
      </c>
      <c r="C29" s="3192">
        <v>6488.41</v>
      </c>
      <c r="D29" s="3192">
        <v>17658.11</v>
      </c>
      <c r="E29" s="3192">
        <v>1837.58</v>
      </c>
      <c r="F29" s="3192">
        <v>0</v>
      </c>
      <c r="G29" s="3192">
        <v>294.92</v>
      </c>
      <c r="H29" s="3192">
        <v>19790.61</v>
      </c>
      <c r="J29" s="1405" t="s">
        <v>3581</v>
      </c>
      <c r="K29">
        <v>5500</v>
      </c>
      <c r="L29">
        <f>ROUND((H29*K29)/10000,0)</f>
        <v>10885</v>
      </c>
      <c r="M29">
        <f>L29/$L$47</f>
        <v>3.0317631854542212E-2</v>
      </c>
      <c r="N29">
        <f>D29*基准地价修正!$C$33+E29*基准地价修正!$C$40</f>
        <v>65072163.019999996</v>
      </c>
      <c r="O29">
        <f>N29/$N$47</f>
        <v>6.4412298651272709E-2</v>
      </c>
      <c r="P29">
        <f ca="1">ROUND(结果表!$F$118*M29,3)</f>
        <v>17769.376</v>
      </c>
      <c r="Q29">
        <f ca="1">ROUND(O29*结果表!$D$118,3)</f>
        <v>12052.894</v>
      </c>
      <c r="R29" s="3158">
        <f ca="1">ROUND(P29+Q29,0)</f>
        <v>29822</v>
      </c>
      <c r="S29" s="3158">
        <f ca="1">ROUND(R29/H29*10000,0)</f>
        <v>15069</v>
      </c>
    </row>
    <row r="30" spans="2:28" ht="15" thickBot="1">
      <c r="B30" s="3191" t="s">
        <v>3549</v>
      </c>
      <c r="C30" s="3192">
        <v>6486.76</v>
      </c>
      <c r="D30" s="3192">
        <v>17658.11</v>
      </c>
      <c r="E30" s="3192">
        <v>1832.56</v>
      </c>
      <c r="F30" s="3192">
        <v>0</v>
      </c>
      <c r="G30" s="3192">
        <v>294.92</v>
      </c>
      <c r="H30" s="3192">
        <v>19785.59</v>
      </c>
      <c r="J30" s="1405" t="s">
        <v>3581</v>
      </c>
      <c r="K30">
        <f>K29</f>
        <v>5500</v>
      </c>
      <c r="L30">
        <f>ROUND((H30*K30)/10000,0)</f>
        <v>10882</v>
      </c>
      <c r="M30">
        <f t="shared" ref="M30:M46" si="0">L30/$L$47</f>
        <v>3.0309276053387998E-2</v>
      </c>
      <c r="N30">
        <f>D30*基准地价修正!$C$33+E30*基准地价修正!$C$40</f>
        <v>65067574.739999995</v>
      </c>
      <c r="O30">
        <f t="shared" ref="O30:O46" si="1">N30/$N$47</f>
        <v>6.4407756898733071E-2</v>
      </c>
      <c r="P30">
        <f ca="1">ROUND(结果表!$F$118*M30,3)</f>
        <v>17764.478999999999</v>
      </c>
      <c r="Q30">
        <f ca="1">ROUND(O30*结果表!$D$118,3)</f>
        <v>12052.044</v>
      </c>
      <c r="R30" s="3158">
        <f t="shared" ref="R30:R45" ca="1" si="2">ROUND(P30+Q30,0)</f>
        <v>29817</v>
      </c>
      <c r="S30" s="3158">
        <f t="shared" ref="S30:S46" ca="1" si="3">ROUND(R30/H30*10000,0)</f>
        <v>15070</v>
      </c>
    </row>
    <row r="31" spans="2:28" ht="15" thickBot="1">
      <c r="B31" s="3191" t="s">
        <v>3550</v>
      </c>
      <c r="C31" s="3192">
        <v>6489.91</v>
      </c>
      <c r="D31" s="3192">
        <v>17658.11</v>
      </c>
      <c r="E31" s="3192">
        <v>1842.18</v>
      </c>
      <c r="F31" s="3192">
        <v>0</v>
      </c>
      <c r="G31" s="3192">
        <v>294.92</v>
      </c>
      <c r="H31" s="3192">
        <v>19795.21</v>
      </c>
      <c r="J31" s="1405" t="s">
        <v>3582</v>
      </c>
      <c r="K31">
        <v>14000</v>
      </c>
      <c r="L31">
        <f>ROUND((H31*K31)/10000,0)</f>
        <v>27713</v>
      </c>
      <c r="M31">
        <f t="shared" si="0"/>
        <v>7.7188105795583675E-2</v>
      </c>
      <c r="N31">
        <f>D31*基准地价修正!$C$33+E31*基准地价修正!$C$40</f>
        <v>65076367.420000002</v>
      </c>
      <c r="O31">
        <f t="shared" si="1"/>
        <v>6.4416460416548083E-2</v>
      </c>
      <c r="P31">
        <f ca="1">ROUND(结果表!$F$118*M31,3)</f>
        <v>45240.489000000001</v>
      </c>
      <c r="Q31">
        <f ca="1">ROUND(O31*结果表!$D$118,3)</f>
        <v>12053.672</v>
      </c>
      <c r="R31" s="3158">
        <f t="shared" ca="1" si="2"/>
        <v>57294</v>
      </c>
      <c r="S31" s="3158">
        <f t="shared" ca="1" si="3"/>
        <v>28943</v>
      </c>
    </row>
    <row r="32" spans="2:28" ht="15" thickBot="1">
      <c r="B32" s="3191" t="s">
        <v>3551</v>
      </c>
      <c r="C32" s="3192">
        <v>4402.47</v>
      </c>
      <c r="D32" s="3192">
        <v>11307.49</v>
      </c>
      <c r="E32" s="3192">
        <v>1828.26</v>
      </c>
      <c r="F32" s="3192">
        <v>0</v>
      </c>
      <c r="G32" s="3192">
        <v>292.44</v>
      </c>
      <c r="H32" s="3192">
        <v>13428.19</v>
      </c>
      <c r="J32" s="1405" t="s">
        <v>3582</v>
      </c>
      <c r="K32">
        <f>K31</f>
        <v>14000</v>
      </c>
      <c r="L32">
        <f t="shared" ref="L32:L46" si="4">ROUND((H32*K32)/10000,0)</f>
        <v>18799</v>
      </c>
      <c r="M32">
        <f t="shared" si="0"/>
        <v>5.23602352993605E-2</v>
      </c>
      <c r="N32">
        <f>D32*基准地价修正!$C$33+E32*基准地价修正!$C$40</f>
        <v>42264918.740000002</v>
      </c>
      <c r="O32">
        <f t="shared" si="1"/>
        <v>4.1836331266811071E-2</v>
      </c>
      <c r="P32">
        <f ca="1">ROUND(结果表!$F$118*M32,3)</f>
        <v>30688.7</v>
      </c>
      <c r="Q32">
        <f ca="1">ROUND(O32*结果表!$D$118,3)</f>
        <v>7828.4560000000001</v>
      </c>
      <c r="R32" s="3158">
        <f t="shared" ca="1" si="2"/>
        <v>38517</v>
      </c>
      <c r="S32" s="3158">
        <f t="shared" ca="1" si="3"/>
        <v>28684</v>
      </c>
    </row>
    <row r="33" spans="2:19" ht="15" thickBot="1">
      <c r="B33" s="3191" t="s">
        <v>3552</v>
      </c>
      <c r="C33" s="3192">
        <v>6486.33</v>
      </c>
      <c r="D33" s="3192">
        <v>17658.11</v>
      </c>
      <c r="E33" s="3192">
        <v>1831.24</v>
      </c>
      <c r="F33" s="3192">
        <v>0</v>
      </c>
      <c r="G33" s="3192">
        <v>294.92</v>
      </c>
      <c r="H33" s="3192">
        <v>19784.27</v>
      </c>
      <c r="J33" s="1405" t="s">
        <v>3583</v>
      </c>
      <c r="K33">
        <f>K31</f>
        <v>14000</v>
      </c>
      <c r="L33">
        <f t="shared" si="4"/>
        <v>27698</v>
      </c>
      <c r="M33">
        <f t="shared" si="0"/>
        <v>7.7146326789812605E-2</v>
      </c>
      <c r="N33">
        <f>D33*基准地价修正!$C$33+E33*基准地价修正!$C$40</f>
        <v>65066368.259999998</v>
      </c>
      <c r="O33">
        <f t="shared" si="1"/>
        <v>6.4406562653045368E-2</v>
      </c>
      <c r="P33">
        <f ca="1">ROUND(结果表!$F$118*M33,3)</f>
        <v>45216.002</v>
      </c>
      <c r="Q33">
        <f ca="1">ROUND(O33*结果表!$D$118,3)</f>
        <v>12051.82</v>
      </c>
      <c r="R33" s="3158">
        <f t="shared" ca="1" si="2"/>
        <v>57268</v>
      </c>
      <c r="S33" s="3158">
        <f t="shared" ca="1" si="3"/>
        <v>28946</v>
      </c>
    </row>
    <row r="34" spans="2:19" ht="15" thickBot="1">
      <c r="B34" s="3191" t="s">
        <v>3563</v>
      </c>
      <c r="C34" s="3192">
        <v>7212.96</v>
      </c>
      <c r="D34" s="3192">
        <v>17658.11</v>
      </c>
      <c r="E34" s="3192">
        <v>1834.45</v>
      </c>
      <c r="F34" s="3192">
        <v>0</v>
      </c>
      <c r="G34" s="3192">
        <v>294.92</v>
      </c>
      <c r="H34" s="3192">
        <f>SUM(D34:G34)</f>
        <v>19787.48</v>
      </c>
      <c r="J34" s="1405" t="s">
        <v>3583</v>
      </c>
      <c r="K34">
        <f>K31</f>
        <v>14000</v>
      </c>
      <c r="L34">
        <f t="shared" si="4"/>
        <v>27702</v>
      </c>
      <c r="M34">
        <f t="shared" si="0"/>
        <v>7.7157467858018233E-2</v>
      </c>
      <c r="N34">
        <f>D34*基准地价修正!$C$33+E34*基准地价修正!$C$40</f>
        <v>65069302.199999996</v>
      </c>
      <c r="O34">
        <f t="shared" si="1"/>
        <v>6.4409466841422305E-2</v>
      </c>
      <c r="P34">
        <f ca="1">ROUND(结果表!$F$118*M34,3)</f>
        <v>45222.531999999999</v>
      </c>
      <c r="Q34">
        <f ca="1">ROUND(O34*结果表!$D$118,3)</f>
        <v>12052.364</v>
      </c>
      <c r="R34" s="3158">
        <f t="shared" ca="1" si="2"/>
        <v>57275</v>
      </c>
      <c r="S34" s="3158">
        <f t="shared" ca="1" si="3"/>
        <v>28945</v>
      </c>
    </row>
    <row r="35" spans="2:19" ht="15" thickBot="1">
      <c r="B35" s="3191" t="s">
        <v>3553</v>
      </c>
      <c r="C35" s="3192">
        <v>4613.8</v>
      </c>
      <c r="D35" s="3192">
        <v>11958.17</v>
      </c>
      <c r="E35" s="3192">
        <v>1822.18</v>
      </c>
      <c r="F35" s="3192">
        <v>0</v>
      </c>
      <c r="G35" s="3192">
        <v>292.44</v>
      </c>
      <c r="H35" s="3192">
        <v>14072.79</v>
      </c>
      <c r="J35" s="1405" t="s">
        <v>3584</v>
      </c>
      <c r="K35">
        <f>K31</f>
        <v>14000</v>
      </c>
      <c r="L35">
        <f t="shared" si="4"/>
        <v>19702</v>
      </c>
      <c r="M35">
        <f t="shared" si="0"/>
        <v>5.487533144677912E-2</v>
      </c>
      <c r="N35">
        <f>D35*基准地价修正!$C$33+E35*基准地价修正!$C$40</f>
        <v>44595302.82</v>
      </c>
      <c r="O35">
        <f t="shared" si="1"/>
        <v>4.4143084083480097E-2</v>
      </c>
      <c r="P35">
        <f ca="1">ROUND(结果表!$F$118*M35,3)</f>
        <v>32162.815999999999</v>
      </c>
      <c r="Q35">
        <f ca="1">ROUND(O35*结果表!$D$118,3)</f>
        <v>8260.098</v>
      </c>
      <c r="R35" s="3158">
        <f t="shared" ca="1" si="2"/>
        <v>40423</v>
      </c>
      <c r="S35" s="3158">
        <f t="shared" ca="1" si="3"/>
        <v>28724</v>
      </c>
    </row>
    <row r="36" spans="2:19" ht="15" thickBot="1">
      <c r="B36" s="3191" t="s">
        <v>3554</v>
      </c>
      <c r="C36" s="3192">
        <v>6488.02</v>
      </c>
      <c r="D36" s="3192">
        <v>17658.11</v>
      </c>
      <c r="E36" s="3192">
        <v>1836.4</v>
      </c>
      <c r="F36" s="3192">
        <v>0</v>
      </c>
      <c r="G36" s="3192">
        <v>294.92</v>
      </c>
      <c r="H36" s="3192">
        <v>19789.43</v>
      </c>
      <c r="J36" s="1405" t="s">
        <v>3583</v>
      </c>
      <c r="K36">
        <f>K31</f>
        <v>14000</v>
      </c>
      <c r="L36">
        <f t="shared" si="4"/>
        <v>27705</v>
      </c>
      <c r="M36">
        <f t="shared" si="0"/>
        <v>7.7165823659172447E-2</v>
      </c>
      <c r="N36">
        <f>D36*基准地价修正!$C$33+E36*基准地价修正!$C$40</f>
        <v>65071084.5</v>
      </c>
      <c r="O36">
        <f t="shared" si="1"/>
        <v>6.4411231068006433E-2</v>
      </c>
      <c r="P36">
        <f ca="1">ROUND(结果表!$F$118*M36,3)</f>
        <v>45227.428999999996</v>
      </c>
      <c r="Q36">
        <f ca="1">ROUND(O36*结果表!$D$118,3)</f>
        <v>12052.694</v>
      </c>
      <c r="R36" s="3158">
        <f t="shared" ca="1" si="2"/>
        <v>57280</v>
      </c>
      <c r="S36" s="3158">
        <f t="shared" ca="1" si="3"/>
        <v>28945</v>
      </c>
    </row>
    <row r="37" spans="2:19" ht="15" thickBot="1">
      <c r="B37" s="3191" t="s">
        <v>3566</v>
      </c>
      <c r="C37" s="3192">
        <v>6635.28</v>
      </c>
      <c r="D37" s="3192">
        <v>17658.11</v>
      </c>
      <c r="E37" s="3192">
        <v>1833.48</v>
      </c>
      <c r="F37" s="3192">
        <v>0</v>
      </c>
      <c r="G37" s="3192">
        <v>361.2</v>
      </c>
      <c r="H37" s="3192">
        <f t="shared" ref="H37" si="5">SUM(D37:G37)</f>
        <v>19852.79</v>
      </c>
      <c r="J37" s="1405" t="s">
        <v>3581</v>
      </c>
      <c r="K37">
        <f>K29</f>
        <v>5500</v>
      </c>
      <c r="L37">
        <f t="shared" si="4"/>
        <v>10919</v>
      </c>
      <c r="M37">
        <f t="shared" si="0"/>
        <v>3.041233093428998E-2</v>
      </c>
      <c r="N37">
        <f>D37*基准地价修正!$C$33+E37*基准地价修正!$C$40</f>
        <v>65068415.619999997</v>
      </c>
      <c r="O37">
        <f t="shared" si="1"/>
        <v>6.4408589251788148E-2</v>
      </c>
      <c r="P37">
        <f ca="1">ROUND(结果表!$F$118*M37,3)</f>
        <v>17824.88</v>
      </c>
      <c r="Q37">
        <f ca="1">ROUND(O37*结果表!$D$118,3)</f>
        <v>12052.2</v>
      </c>
      <c r="R37" s="3158">
        <f t="shared" ca="1" si="2"/>
        <v>29877</v>
      </c>
      <c r="S37" s="3158">
        <f t="shared" ca="1" si="3"/>
        <v>15049</v>
      </c>
    </row>
    <row r="38" spans="2:19" ht="15" thickBot="1">
      <c r="B38" s="3191" t="s">
        <v>3555</v>
      </c>
      <c r="C38" s="3192">
        <v>6610.79</v>
      </c>
      <c r="D38" s="3192">
        <v>18018.59</v>
      </c>
      <c r="E38" s="3192">
        <v>1848.39</v>
      </c>
      <c r="F38" s="3192">
        <v>0</v>
      </c>
      <c r="G38" s="3192">
        <v>296.91000000000003</v>
      </c>
      <c r="H38" s="3192">
        <v>20163.89</v>
      </c>
      <c r="J38" s="1405" t="s">
        <v>3585</v>
      </c>
      <c r="K38">
        <f>K31</f>
        <v>14000</v>
      </c>
      <c r="L38">
        <f t="shared" si="4"/>
        <v>28229</v>
      </c>
      <c r="M38">
        <f t="shared" si="0"/>
        <v>7.8625303594108603E-2</v>
      </c>
      <c r="N38">
        <f>D38*基准地价修正!$C$33+E38*基准地价修正!$C$40</f>
        <v>66376166.560000002</v>
      </c>
      <c r="O38">
        <f t="shared" si="1"/>
        <v>6.5703078941378973E-2</v>
      </c>
      <c r="P38">
        <f ca="1">ROUND(结果表!$F$118*M38,3)</f>
        <v>46082.841</v>
      </c>
      <c r="Q38">
        <f ca="1">ROUND(O38*结果表!$D$118,3)</f>
        <v>12294.425999999999</v>
      </c>
      <c r="R38" s="3158">
        <f t="shared" ca="1" si="2"/>
        <v>58377</v>
      </c>
      <c r="S38" s="3158">
        <f t="shared" ca="1" si="3"/>
        <v>28951</v>
      </c>
    </row>
    <row r="39" spans="2:19" ht="15" thickBot="1">
      <c r="B39" s="3191" t="s">
        <v>3556</v>
      </c>
      <c r="C39" s="3192">
        <v>6486.31</v>
      </c>
      <c r="D39" s="3192">
        <v>17658.11</v>
      </c>
      <c r="E39" s="3192">
        <v>1831.19</v>
      </c>
      <c r="F39" s="3192">
        <v>0</v>
      </c>
      <c r="G39" s="3192">
        <v>294.92</v>
      </c>
      <c r="H39" s="3192">
        <v>19784.22</v>
      </c>
      <c r="J39" s="1405" t="s">
        <v>3586</v>
      </c>
      <c r="K39">
        <f>K31</f>
        <v>14000</v>
      </c>
      <c r="L39">
        <f t="shared" si="4"/>
        <v>27698</v>
      </c>
      <c r="M39">
        <f t="shared" si="0"/>
        <v>7.7146326789812605E-2</v>
      </c>
      <c r="N39">
        <f>D39*基准地价修正!$C$33+E39*基准地价修正!$C$40</f>
        <v>65066322.560000002</v>
      </c>
      <c r="O39">
        <f t="shared" si="1"/>
        <v>6.4406517416466288E-2</v>
      </c>
      <c r="P39">
        <f ca="1">ROUND(结果表!$F$118*M39,3)</f>
        <v>45216.002</v>
      </c>
      <c r="Q39">
        <f ca="1">ROUND(O39*结果表!$D$118,3)</f>
        <v>12051.812</v>
      </c>
      <c r="R39" s="3158">
        <f t="shared" ca="1" si="2"/>
        <v>57268</v>
      </c>
      <c r="S39" s="3158">
        <f t="shared" ca="1" si="3"/>
        <v>28946</v>
      </c>
    </row>
    <row r="40" spans="2:19" ht="15" thickBot="1">
      <c r="B40" s="3191" t="s">
        <v>3557</v>
      </c>
      <c r="C40" s="3192">
        <v>4613.79</v>
      </c>
      <c r="D40" s="3192">
        <v>11958.17</v>
      </c>
      <c r="E40" s="3192">
        <v>1822.15</v>
      </c>
      <c r="F40" s="3192">
        <v>0</v>
      </c>
      <c r="G40" s="3192">
        <v>292.44</v>
      </c>
      <c r="H40" s="3192">
        <v>14072.76</v>
      </c>
      <c r="J40" s="1405" t="s">
        <v>3462</v>
      </c>
      <c r="K40">
        <f>K31</f>
        <v>14000</v>
      </c>
      <c r="L40">
        <f t="shared" si="4"/>
        <v>19702</v>
      </c>
      <c r="M40">
        <f t="shared" si="0"/>
        <v>5.487533144677912E-2</v>
      </c>
      <c r="N40">
        <f>D40*基准地价修正!$C$33+E40*基准地价修正!$C$40</f>
        <v>44595275.399999999</v>
      </c>
      <c r="O40">
        <f t="shared" si="1"/>
        <v>4.414305694153265E-2</v>
      </c>
      <c r="P40">
        <f ca="1">ROUND(结果表!$F$118*M40,3)</f>
        <v>32162.815999999999</v>
      </c>
      <c r="Q40">
        <f ca="1">ROUND(O40*结果表!$D$118,3)</f>
        <v>8260.0930000000008</v>
      </c>
      <c r="R40" s="3158">
        <f t="shared" ca="1" si="2"/>
        <v>40423</v>
      </c>
      <c r="S40" s="3158">
        <f t="shared" ca="1" si="3"/>
        <v>28724</v>
      </c>
    </row>
    <row r="41" spans="2:19" ht="15" thickBot="1">
      <c r="B41" s="3191" t="s">
        <v>3558</v>
      </c>
      <c r="C41" s="3192">
        <v>6606.67</v>
      </c>
      <c r="D41" s="3192">
        <v>18018.59</v>
      </c>
      <c r="E41" s="3192">
        <v>1837.92</v>
      </c>
      <c r="F41" s="3192">
        <v>0</v>
      </c>
      <c r="G41" s="3192">
        <v>294.83999999999997</v>
      </c>
      <c r="H41" s="3192">
        <v>20151.349999999999</v>
      </c>
      <c r="J41" s="1405" t="s">
        <v>3586</v>
      </c>
      <c r="K41">
        <f>K31</f>
        <v>14000</v>
      </c>
      <c r="L41">
        <f t="shared" si="4"/>
        <v>28212</v>
      </c>
      <c r="M41">
        <f t="shared" si="0"/>
        <v>7.8577954054234719E-2</v>
      </c>
      <c r="N41">
        <f>D41*基准地价修正!$C$33+E41*基准地价修正!$C$40</f>
        <v>66366596.980000004</v>
      </c>
      <c r="O41">
        <f t="shared" si="1"/>
        <v>6.5693606401719618E-2</v>
      </c>
      <c r="P41">
        <f ca="1">ROUND(结果表!$F$118*M41,3)</f>
        <v>46055.089</v>
      </c>
      <c r="Q41">
        <f ca="1">ROUND(O41*结果表!$D$118,3)</f>
        <v>12292.653</v>
      </c>
      <c r="R41" s="3158">
        <f t="shared" ca="1" si="2"/>
        <v>58348</v>
      </c>
      <c r="S41" s="3158">
        <f t="shared" ca="1" si="3"/>
        <v>28955</v>
      </c>
    </row>
    <row r="42" spans="2:19" ht="15" thickBot="1">
      <c r="B42" s="3191" t="s">
        <v>3559</v>
      </c>
      <c r="C42" s="3192">
        <v>4538.87</v>
      </c>
      <c r="D42" s="3192">
        <v>11728.85</v>
      </c>
      <c r="E42" s="3192">
        <v>1822.93</v>
      </c>
      <c r="F42" s="3192">
        <v>0</v>
      </c>
      <c r="G42" s="3192">
        <v>292.44</v>
      </c>
      <c r="H42" s="3192">
        <v>13844.22</v>
      </c>
      <c r="J42" s="1405" t="s">
        <v>3581</v>
      </c>
      <c r="K42">
        <v>5500</v>
      </c>
      <c r="L42">
        <f t="shared" si="4"/>
        <v>7614</v>
      </c>
      <c r="M42">
        <f t="shared" si="0"/>
        <v>2.1207023329396824E-2</v>
      </c>
      <c r="N42">
        <f>D42*基准地价修正!$C$33+E42*基准地价修正!$C$40</f>
        <v>43772729.520000003</v>
      </c>
      <c r="O42">
        <f t="shared" si="1"/>
        <v>4.3328852089288078E-2</v>
      </c>
      <c r="P42">
        <f ca="1">ROUND(结果表!$F$118*M42,3)</f>
        <v>12429.584999999999</v>
      </c>
      <c r="Q42">
        <f ca="1">ROUND(O42*结果表!$D$118,3)</f>
        <v>8107.7380000000003</v>
      </c>
      <c r="R42" s="3158">
        <f t="shared" ca="1" si="2"/>
        <v>20537</v>
      </c>
      <c r="S42" s="3158">
        <f t="shared" ca="1" si="3"/>
        <v>14834</v>
      </c>
    </row>
    <row r="43" spans="2:19" ht="15" thickBot="1">
      <c r="B43" s="3191" t="s">
        <v>3567</v>
      </c>
      <c r="C43" s="3192">
        <v>6607.41</v>
      </c>
      <c r="D43" s="3192">
        <v>17658.11</v>
      </c>
      <c r="E43" s="3192">
        <v>1834.61</v>
      </c>
      <c r="F43" s="3192">
        <v>0</v>
      </c>
      <c r="G43" s="3192">
        <v>294.92</v>
      </c>
      <c r="H43" s="3192">
        <f t="shared" ref="H43" si="6">SUM(D43:G43)</f>
        <v>19787.64</v>
      </c>
      <c r="J43" s="1405" t="s">
        <v>3581</v>
      </c>
      <c r="K43">
        <f>K29</f>
        <v>5500</v>
      </c>
      <c r="L43">
        <f t="shared" si="4"/>
        <v>10883</v>
      </c>
      <c r="M43">
        <f t="shared" si="0"/>
        <v>3.0312061320439405E-2</v>
      </c>
      <c r="N43">
        <f>D43*基准地价修正!$C$33+E43*基准地价修正!$C$40</f>
        <v>65069448.439999998</v>
      </c>
      <c r="O43">
        <f t="shared" si="1"/>
        <v>6.4409611598475358E-2</v>
      </c>
      <c r="P43">
        <f ca="1">ROUND(结果表!$F$118*M43,3)</f>
        <v>17766.111000000001</v>
      </c>
      <c r="Q43">
        <f ca="1">ROUND(O43*结果表!$D$118,3)</f>
        <v>12052.391</v>
      </c>
      <c r="R43" s="3158">
        <f t="shared" ca="1" si="2"/>
        <v>29819</v>
      </c>
      <c r="S43" s="3158">
        <f t="shared" ca="1" si="3"/>
        <v>15070</v>
      </c>
    </row>
    <row r="44" spans="2:19" ht="15" thickBot="1">
      <c r="B44" s="3191" t="s">
        <v>3560</v>
      </c>
      <c r="C44" s="3192">
        <v>4615.87</v>
      </c>
      <c r="D44" s="3192">
        <v>11958.17</v>
      </c>
      <c r="E44" s="3192">
        <v>1828.5</v>
      </c>
      <c r="F44" s="3192">
        <v>0</v>
      </c>
      <c r="G44" s="3192">
        <v>292.44</v>
      </c>
      <c r="H44" s="3192">
        <v>14079.11</v>
      </c>
      <c r="J44" s="1405" t="s">
        <v>3587</v>
      </c>
      <c r="K44">
        <f>K31</f>
        <v>14000</v>
      </c>
      <c r="L44">
        <f t="shared" si="4"/>
        <v>19711</v>
      </c>
      <c r="M44">
        <f t="shared" si="0"/>
        <v>5.4900398850241762E-2</v>
      </c>
      <c r="N44">
        <f>D44*基准地价修正!$C$33+E44*基准地价修正!$C$40</f>
        <v>44601079.299999997</v>
      </c>
      <c r="O44">
        <f t="shared" si="1"/>
        <v>4.4148801987075811E-2</v>
      </c>
      <c r="P44">
        <f ca="1">ROUND(结果表!$F$118*M44,3)</f>
        <v>32177.508000000002</v>
      </c>
      <c r="Q44">
        <f ca="1">ROUND(O44*结果表!$D$118,3)</f>
        <v>8261.1679999999997</v>
      </c>
      <c r="R44" s="3158">
        <f t="shared" ca="1" si="2"/>
        <v>40439</v>
      </c>
      <c r="S44" s="3158">
        <f t="shared" ca="1" si="3"/>
        <v>28723</v>
      </c>
    </row>
    <row r="45" spans="2:19" ht="15" thickBot="1">
      <c r="B45" s="3191" t="s">
        <v>3561</v>
      </c>
      <c r="C45" s="3192">
        <v>4577.83</v>
      </c>
      <c r="D45" s="3192">
        <v>11836</v>
      </c>
      <c r="E45" s="3192">
        <v>1834.64</v>
      </c>
      <c r="F45" s="3192">
        <v>0</v>
      </c>
      <c r="G45" s="3192">
        <v>292.44</v>
      </c>
      <c r="H45" s="3192">
        <v>13963.08</v>
      </c>
      <c r="J45" s="1405" t="s">
        <v>3581</v>
      </c>
      <c r="K45">
        <f>K42</f>
        <v>5500</v>
      </c>
      <c r="L45">
        <f t="shared" si="4"/>
        <v>7680</v>
      </c>
      <c r="M45">
        <f t="shared" si="0"/>
        <v>2.1390850954789545E-2</v>
      </c>
      <c r="N45">
        <f>D45*基准地价修正!$C$33+E45*基准地价修正!$C$40</f>
        <v>44168100.960000001</v>
      </c>
      <c r="O45">
        <f t="shared" si="1"/>
        <v>4.3720214264595464E-2</v>
      </c>
      <c r="P45">
        <f ca="1">ROUND(结果表!$F$118*M45,3)</f>
        <v>12537.326999999999</v>
      </c>
      <c r="Q45">
        <f ca="1">ROUND(O45*结果表!$D$118,3)</f>
        <v>8180.97</v>
      </c>
      <c r="R45" s="3158">
        <f t="shared" ca="1" si="2"/>
        <v>20718</v>
      </c>
      <c r="S45" s="3158">
        <f t="shared" ca="1" si="3"/>
        <v>14838</v>
      </c>
    </row>
    <row r="46" spans="2:19" ht="15" thickBot="1">
      <c r="B46" s="3193" t="s">
        <v>3495</v>
      </c>
      <c r="C46" s="3192">
        <v>16272.2</v>
      </c>
      <c r="D46" s="3192">
        <v>0</v>
      </c>
      <c r="E46" s="3192">
        <v>6948.57</v>
      </c>
      <c r="F46" s="3192">
        <v>39209.79</v>
      </c>
      <c r="G46" s="3192">
        <v>3474.28</v>
      </c>
      <c r="H46" s="3192">
        <v>49632.639999999999</v>
      </c>
      <c r="J46" s="1405"/>
      <c r="K46">
        <v>5500</v>
      </c>
      <c r="L46">
        <f t="shared" si="4"/>
        <v>27298</v>
      </c>
      <c r="M46">
        <f t="shared" si="0"/>
        <v>7.603221996925065E-2</v>
      </c>
      <c r="N46">
        <f>E46*基准地价修正!C40+F46*基准地价修正!C42</f>
        <v>27877167.690000001</v>
      </c>
      <c r="O46">
        <f t="shared" si="1"/>
        <v>2.7594479228360686E-2</v>
      </c>
      <c r="P46">
        <f ca="1">ROUND(结果表!$F$118*M46,3)</f>
        <v>44563.016000000003</v>
      </c>
      <c r="Q46">
        <f ca="1">ROUND(O46*结果表!$D$118,3)</f>
        <v>5163.5069999999996</v>
      </c>
      <c r="R46" s="3158">
        <f ca="1">R47-SUM(R29:R45)</f>
        <v>49726</v>
      </c>
      <c r="S46" s="3158">
        <f t="shared" ca="1" si="3"/>
        <v>10019</v>
      </c>
    </row>
    <row r="47" spans="2:19" ht="15" thickBot="1">
      <c r="B47" s="3194" t="s">
        <v>3562</v>
      </c>
      <c r="C47" s="3190">
        <f>SUM(C29:C46)</f>
        <v>116233.68</v>
      </c>
      <c r="D47" s="3195">
        <f>SUM(D29:D46)</f>
        <v>265707.02</v>
      </c>
      <c r="E47" s="3195">
        <f>SUM(E29:E46)</f>
        <v>38107.230000000003</v>
      </c>
      <c r="F47" s="3195">
        <f>F46</f>
        <v>39209.79</v>
      </c>
      <c r="G47" s="3195">
        <f>SUM(G29:G46)</f>
        <v>8541.23</v>
      </c>
      <c r="H47" s="3195">
        <f>SUM(H29:H46)</f>
        <v>351565.27</v>
      </c>
      <c r="L47">
        <f t="shared" ref="L47:Q47" si="7">SUM(L29:L46)</f>
        <v>359032</v>
      </c>
      <c r="M47">
        <f t="shared" si="7"/>
        <v>1</v>
      </c>
      <c r="N47">
        <f t="shared" si="7"/>
        <v>1010244384.7299998</v>
      </c>
      <c r="O47">
        <f t="shared" si="7"/>
        <v>1.0000000000000002</v>
      </c>
      <c r="P47">
        <f t="shared" ca="1" si="7"/>
        <v>586106.99799999991</v>
      </c>
      <c r="Q47">
        <f t="shared" ca="1" si="7"/>
        <v>187121.00000000003</v>
      </c>
      <c r="R47" s="3158">
        <f ca="1">ROUND(P47+Q47,0)</f>
        <v>773228</v>
      </c>
      <c r="S47" s="3158">
        <f ca="1">ROUND(R47/H47*10000,0)</f>
        <v>21994</v>
      </c>
    </row>
    <row r="50" spans="2:15" ht="15" thickBot="1"/>
    <row r="51" spans="2:15" ht="15" thickBot="1">
      <c r="B51" s="3387" t="s">
        <v>3537</v>
      </c>
      <c r="C51" s="3387" t="s">
        <v>3588</v>
      </c>
      <c r="D51" s="3400" t="s">
        <v>3589</v>
      </c>
      <c r="E51" s="3402" t="s">
        <v>3590</v>
      </c>
      <c r="F51" s="3403"/>
      <c r="G51" s="3404" t="s">
        <v>3591</v>
      </c>
      <c r="H51" s="3405"/>
      <c r="I51" s="3398" t="s">
        <v>3592</v>
      </c>
    </row>
    <row r="52" spans="2:15" ht="15" thickBot="1">
      <c r="B52" s="3388"/>
      <c r="C52" s="3388"/>
      <c r="D52" s="3401"/>
      <c r="E52" s="3197" t="s">
        <v>3593</v>
      </c>
      <c r="F52" s="3198" t="s">
        <v>3594</v>
      </c>
      <c r="G52" s="3198" t="s">
        <v>3595</v>
      </c>
      <c r="H52" s="3199" t="s">
        <v>3594</v>
      </c>
      <c r="I52" s="3399"/>
    </row>
    <row r="53" spans="2:15" ht="34.799999999999997" thickBot="1">
      <c r="B53" s="3191" t="s">
        <v>3547</v>
      </c>
      <c r="C53" s="3192">
        <f t="shared" ref="C53:C67" si="8">C29</f>
        <v>6488.41</v>
      </c>
      <c r="D53" s="3192">
        <f>H29</f>
        <v>19790.61</v>
      </c>
      <c r="E53" s="3192">
        <f ca="1">R29</f>
        <v>29822</v>
      </c>
      <c r="F53" s="3192">
        <f ca="1">S29</f>
        <v>15069</v>
      </c>
      <c r="G53" s="3192">
        <f>U29</f>
        <v>0</v>
      </c>
      <c r="H53" s="3192">
        <f>V29</f>
        <v>0</v>
      </c>
      <c r="I53" s="3191" t="s">
        <v>3596</v>
      </c>
    </row>
    <row r="54" spans="2:15" ht="34.799999999999997" thickBot="1">
      <c r="B54" s="3191" t="s">
        <v>3549</v>
      </c>
      <c r="C54" s="3192">
        <f t="shared" si="8"/>
        <v>6486.76</v>
      </c>
      <c r="D54" s="3192">
        <f t="shared" ref="D54:D70" si="9">H30</f>
        <v>19785.59</v>
      </c>
      <c r="E54" s="3192">
        <f t="shared" ref="E54:E70" ca="1" si="10">R30</f>
        <v>29817</v>
      </c>
      <c r="F54" s="3192">
        <f t="shared" ref="F54:F70" ca="1" si="11">S30</f>
        <v>15070</v>
      </c>
      <c r="G54" s="3192">
        <f t="shared" ref="G54:G70" si="12">U30</f>
        <v>0</v>
      </c>
      <c r="H54" s="3192">
        <f t="shared" ref="H54:H70" si="13">V30</f>
        <v>0</v>
      </c>
      <c r="I54" s="3191" t="s">
        <v>3596</v>
      </c>
    </row>
    <row r="55" spans="2:15" ht="34.200000000000003" thickBot="1">
      <c r="B55" s="3200" t="s">
        <v>3550</v>
      </c>
      <c r="C55" s="3192">
        <f t="shared" si="8"/>
        <v>6489.91</v>
      </c>
      <c r="D55" s="3192">
        <f t="shared" si="9"/>
        <v>19795.21</v>
      </c>
      <c r="E55" s="3192">
        <f t="shared" ca="1" si="10"/>
        <v>57294</v>
      </c>
      <c r="F55" s="3192">
        <f t="shared" ca="1" si="11"/>
        <v>28943</v>
      </c>
      <c r="G55" s="3192">
        <f t="shared" si="12"/>
        <v>0</v>
      </c>
      <c r="H55" s="3192">
        <f t="shared" si="13"/>
        <v>0</v>
      </c>
      <c r="I55" s="3191" t="s">
        <v>3597</v>
      </c>
    </row>
    <row r="56" spans="2:15" ht="34.200000000000003" thickBot="1">
      <c r="B56" s="3200" t="s">
        <v>3551</v>
      </c>
      <c r="C56" s="3192">
        <f t="shared" si="8"/>
        <v>4402.47</v>
      </c>
      <c r="D56" s="3192">
        <f t="shared" si="9"/>
        <v>13428.19</v>
      </c>
      <c r="E56" s="3192">
        <f t="shared" ca="1" si="10"/>
        <v>38517</v>
      </c>
      <c r="F56" s="3192">
        <f t="shared" ca="1" si="11"/>
        <v>28684</v>
      </c>
      <c r="G56" s="3192">
        <f t="shared" si="12"/>
        <v>0</v>
      </c>
      <c r="H56" s="3192">
        <f t="shared" si="13"/>
        <v>0</v>
      </c>
      <c r="I56" s="3191" t="s">
        <v>3598</v>
      </c>
    </row>
    <row r="57" spans="2:15" ht="34.799999999999997" thickBot="1">
      <c r="B57" s="3191" t="s">
        <v>3552</v>
      </c>
      <c r="C57" s="3192">
        <f t="shared" si="8"/>
        <v>6486.33</v>
      </c>
      <c r="D57" s="3192">
        <f t="shared" si="9"/>
        <v>19784.27</v>
      </c>
      <c r="E57" s="3192">
        <f t="shared" ca="1" si="10"/>
        <v>57268</v>
      </c>
      <c r="F57" s="3192">
        <f t="shared" ca="1" si="11"/>
        <v>28946</v>
      </c>
      <c r="G57" s="3192">
        <f t="shared" si="12"/>
        <v>0</v>
      </c>
      <c r="H57" s="3192">
        <f t="shared" si="13"/>
        <v>0</v>
      </c>
      <c r="I57" s="3191" t="s">
        <v>3596</v>
      </c>
      <c r="K57" s="3201"/>
    </row>
    <row r="58" spans="2:15" ht="34.200000000000003" thickBot="1">
      <c r="B58" s="3191" t="s">
        <v>3563</v>
      </c>
      <c r="C58" s="3192">
        <f t="shared" si="8"/>
        <v>7212.96</v>
      </c>
      <c r="D58" s="3192">
        <f t="shared" si="9"/>
        <v>19787.48</v>
      </c>
      <c r="E58" s="3192">
        <f t="shared" ca="1" si="10"/>
        <v>57275</v>
      </c>
      <c r="F58" s="3192">
        <f t="shared" ca="1" si="11"/>
        <v>28945</v>
      </c>
      <c r="G58" s="3192">
        <f t="shared" si="12"/>
        <v>0</v>
      </c>
      <c r="H58" s="3192">
        <f t="shared" si="13"/>
        <v>0</v>
      </c>
      <c r="I58" s="3191" t="s">
        <v>3612</v>
      </c>
      <c r="K58" s="3201"/>
    </row>
    <row r="59" spans="2:15" ht="34.200000000000003" thickBot="1">
      <c r="B59" s="3200" t="s">
        <v>3553</v>
      </c>
      <c r="C59" s="3192">
        <f t="shared" si="8"/>
        <v>4613.8</v>
      </c>
      <c r="D59" s="3192">
        <f t="shared" si="9"/>
        <v>14072.79</v>
      </c>
      <c r="E59" s="3192">
        <f t="shared" ca="1" si="10"/>
        <v>40423</v>
      </c>
      <c r="F59" s="3192">
        <f t="shared" ca="1" si="11"/>
        <v>28724</v>
      </c>
      <c r="G59" s="3192">
        <f t="shared" si="12"/>
        <v>0</v>
      </c>
      <c r="H59" s="3192">
        <f t="shared" si="13"/>
        <v>0</v>
      </c>
      <c r="I59" s="3191" t="s">
        <v>3599</v>
      </c>
    </row>
    <row r="60" spans="2:15" ht="34.200000000000003" thickBot="1">
      <c r="B60" s="3191" t="s">
        <v>3554</v>
      </c>
      <c r="C60" s="3192">
        <f t="shared" si="8"/>
        <v>6488.02</v>
      </c>
      <c r="D60" s="3192">
        <f t="shared" si="9"/>
        <v>19789.43</v>
      </c>
      <c r="E60" s="3192">
        <f t="shared" ca="1" si="10"/>
        <v>57280</v>
      </c>
      <c r="F60" s="3192">
        <f t="shared" ca="1" si="11"/>
        <v>28945</v>
      </c>
      <c r="G60" s="3192">
        <f t="shared" si="12"/>
        <v>0</v>
      </c>
      <c r="H60" s="3192">
        <f t="shared" si="13"/>
        <v>0</v>
      </c>
      <c r="I60" s="3191" t="s">
        <v>3600</v>
      </c>
      <c r="L60" s="1405" t="s">
        <v>3601</v>
      </c>
      <c r="N60">
        <f ca="1">E55+E56+E59+E62+E63+E64+E65+E68</f>
        <v>391089</v>
      </c>
      <c r="O60">
        <f ca="1">(N60-N64)/N64</f>
        <v>-8.9631140099722062E-2</v>
      </c>
    </row>
    <row r="61" spans="2:15" ht="34.200000000000003" thickBot="1">
      <c r="B61" s="3191" t="s">
        <v>3566</v>
      </c>
      <c r="C61" s="3192">
        <f t="shared" si="8"/>
        <v>6635.28</v>
      </c>
      <c r="D61" s="3192">
        <f t="shared" si="9"/>
        <v>19852.79</v>
      </c>
      <c r="E61" s="3192">
        <f t="shared" ca="1" si="10"/>
        <v>29877</v>
      </c>
      <c r="F61" s="3192">
        <f t="shared" ca="1" si="11"/>
        <v>15049</v>
      </c>
      <c r="G61" s="3192">
        <f t="shared" si="12"/>
        <v>0</v>
      </c>
      <c r="H61" s="3192">
        <f t="shared" si="13"/>
        <v>0</v>
      </c>
      <c r="I61" s="3191" t="s">
        <v>3613</v>
      </c>
      <c r="L61" s="1405"/>
    </row>
    <row r="62" spans="2:15" ht="34.200000000000003" thickBot="1">
      <c r="B62" s="3200" t="s">
        <v>3555</v>
      </c>
      <c r="C62" s="3192">
        <f t="shared" si="8"/>
        <v>6610.79</v>
      </c>
      <c r="D62" s="3192">
        <f t="shared" si="9"/>
        <v>20163.89</v>
      </c>
      <c r="E62" s="3192">
        <f t="shared" ca="1" si="10"/>
        <v>58377</v>
      </c>
      <c r="F62" s="3192">
        <f t="shared" ca="1" si="11"/>
        <v>28951</v>
      </c>
      <c r="G62" s="3192">
        <f t="shared" si="12"/>
        <v>0</v>
      </c>
      <c r="H62" s="3192">
        <f t="shared" si="13"/>
        <v>0</v>
      </c>
      <c r="I62" s="3191" t="s">
        <v>3602</v>
      </c>
      <c r="M62" s="1405" t="s">
        <v>3603</v>
      </c>
      <c r="N62">
        <v>479226</v>
      </c>
    </row>
    <row r="63" spans="2:15" ht="34.200000000000003" thickBot="1">
      <c r="B63" s="3200" t="s">
        <v>3556</v>
      </c>
      <c r="C63" s="3192">
        <f t="shared" si="8"/>
        <v>6486.31</v>
      </c>
      <c r="D63" s="3192">
        <f t="shared" si="9"/>
        <v>19784.22</v>
      </c>
      <c r="E63" s="3192">
        <f t="shared" ca="1" si="10"/>
        <v>57268</v>
      </c>
      <c r="F63" s="3192">
        <f t="shared" ca="1" si="11"/>
        <v>28946</v>
      </c>
      <c r="G63" s="3192">
        <f t="shared" si="12"/>
        <v>0</v>
      </c>
      <c r="H63" s="3192">
        <f t="shared" si="13"/>
        <v>0</v>
      </c>
      <c r="I63" s="3191" t="s">
        <v>3604</v>
      </c>
      <c r="M63" s="1405" t="s">
        <v>3605</v>
      </c>
      <c r="N63">
        <v>460967</v>
      </c>
      <c r="O63">
        <f>(N63-N62)/N62</f>
        <v>-3.8101021230066819E-2</v>
      </c>
    </row>
    <row r="64" spans="2:15" ht="34.200000000000003" thickBot="1">
      <c r="B64" s="3200" t="s">
        <v>3557</v>
      </c>
      <c r="C64" s="3192">
        <f t="shared" si="8"/>
        <v>4613.79</v>
      </c>
      <c r="D64" s="3192">
        <f t="shared" si="9"/>
        <v>14072.76</v>
      </c>
      <c r="E64" s="3192">
        <f t="shared" ca="1" si="10"/>
        <v>40423</v>
      </c>
      <c r="F64" s="3192">
        <f t="shared" ca="1" si="11"/>
        <v>28724</v>
      </c>
      <c r="G64" s="3192">
        <f t="shared" si="12"/>
        <v>0</v>
      </c>
      <c r="H64" s="3192">
        <f t="shared" si="13"/>
        <v>0</v>
      </c>
      <c r="I64" s="3191" t="s">
        <v>3602</v>
      </c>
      <c r="M64" s="1405" t="s">
        <v>3611</v>
      </c>
      <c r="N64">
        <v>429594</v>
      </c>
      <c r="O64">
        <f>(N64-N63)/N63</f>
        <v>-6.8059101844600595E-2</v>
      </c>
    </row>
    <row r="65" spans="2:12" ht="34.200000000000003" thickBot="1">
      <c r="B65" s="3200" t="s">
        <v>3558</v>
      </c>
      <c r="C65" s="3192">
        <f t="shared" si="8"/>
        <v>6606.67</v>
      </c>
      <c r="D65" s="3192">
        <f t="shared" si="9"/>
        <v>20151.349999999999</v>
      </c>
      <c r="E65" s="3192">
        <f t="shared" ca="1" si="10"/>
        <v>58348</v>
      </c>
      <c r="F65" s="3192">
        <f t="shared" ca="1" si="11"/>
        <v>28955</v>
      </c>
      <c r="G65" s="3192">
        <f t="shared" si="12"/>
        <v>0</v>
      </c>
      <c r="H65" s="3192">
        <f t="shared" si="13"/>
        <v>0</v>
      </c>
      <c r="I65" s="3191" t="s">
        <v>3606</v>
      </c>
      <c r="L65" s="1405"/>
    </row>
    <row r="66" spans="2:12" ht="34.200000000000003" thickBot="1">
      <c r="B66" s="3191" t="s">
        <v>3559</v>
      </c>
      <c r="C66" s="3192">
        <f t="shared" si="8"/>
        <v>4538.87</v>
      </c>
      <c r="D66" s="3192">
        <f t="shared" si="9"/>
        <v>13844.22</v>
      </c>
      <c r="E66" s="3192">
        <f t="shared" ca="1" si="10"/>
        <v>20537</v>
      </c>
      <c r="F66" s="3192">
        <f t="shared" ca="1" si="11"/>
        <v>14834</v>
      </c>
      <c r="G66" s="3192">
        <f t="shared" si="12"/>
        <v>0</v>
      </c>
      <c r="H66" s="3192">
        <f t="shared" si="13"/>
        <v>0</v>
      </c>
      <c r="I66" s="3191" t="s">
        <v>3600</v>
      </c>
    </row>
    <row r="67" spans="2:12" ht="34.200000000000003" thickBot="1">
      <c r="B67" s="3191" t="s">
        <v>3567</v>
      </c>
      <c r="C67" s="3192">
        <f t="shared" si="8"/>
        <v>6607.41</v>
      </c>
      <c r="D67" s="3192">
        <f t="shared" si="9"/>
        <v>19787.64</v>
      </c>
      <c r="E67" s="3191">
        <f t="shared" ca="1" si="10"/>
        <v>29819</v>
      </c>
      <c r="F67" s="3192">
        <f t="shared" ca="1" si="11"/>
        <v>15070</v>
      </c>
      <c r="G67" s="3192">
        <f t="shared" si="12"/>
        <v>0</v>
      </c>
      <c r="H67" s="3191">
        <f t="shared" si="13"/>
        <v>0</v>
      </c>
      <c r="I67" s="3191" t="s">
        <v>3614</v>
      </c>
    </row>
    <row r="68" spans="2:12" ht="34.200000000000003" thickBot="1">
      <c r="B68" s="3200" t="s">
        <v>3560</v>
      </c>
      <c r="C68" s="3192">
        <f t="shared" ref="C68:C70" si="14">C44</f>
        <v>4615.87</v>
      </c>
      <c r="D68" s="3192">
        <f t="shared" si="9"/>
        <v>14079.11</v>
      </c>
      <c r="E68" s="3192">
        <f t="shared" ca="1" si="10"/>
        <v>40439</v>
      </c>
      <c r="F68" s="3192">
        <f t="shared" ca="1" si="11"/>
        <v>28723</v>
      </c>
      <c r="G68" s="3192">
        <f t="shared" si="12"/>
        <v>0</v>
      </c>
      <c r="H68" s="3192">
        <f t="shared" si="13"/>
        <v>0</v>
      </c>
      <c r="I68" s="3204" t="s">
        <v>3607</v>
      </c>
    </row>
    <row r="69" spans="2:12" ht="34.200000000000003" thickBot="1">
      <c r="B69" s="3191" t="s">
        <v>3561</v>
      </c>
      <c r="C69" s="3192">
        <f t="shared" si="14"/>
        <v>4577.83</v>
      </c>
      <c r="D69" s="3192">
        <f t="shared" si="9"/>
        <v>13963.08</v>
      </c>
      <c r="E69" s="3192">
        <f t="shared" ca="1" si="10"/>
        <v>20718</v>
      </c>
      <c r="F69" s="3192">
        <f t="shared" ca="1" si="11"/>
        <v>14838</v>
      </c>
      <c r="G69" s="3192">
        <f t="shared" si="12"/>
        <v>0</v>
      </c>
      <c r="H69" s="3192">
        <f t="shared" si="13"/>
        <v>0</v>
      </c>
      <c r="I69" s="3202" t="s">
        <v>3600</v>
      </c>
    </row>
    <row r="70" spans="2:12" ht="34.200000000000003" thickBot="1">
      <c r="B70" s="3193" t="s">
        <v>3495</v>
      </c>
      <c r="C70" s="3192">
        <f t="shared" si="14"/>
        <v>16272.2</v>
      </c>
      <c r="D70" s="3192">
        <f t="shared" si="9"/>
        <v>49632.639999999999</v>
      </c>
      <c r="E70" s="3192">
        <f t="shared" ca="1" si="10"/>
        <v>49726</v>
      </c>
      <c r="F70" s="3192">
        <f t="shared" ca="1" si="11"/>
        <v>10019</v>
      </c>
      <c r="G70" s="3192">
        <f t="shared" si="12"/>
        <v>0</v>
      </c>
      <c r="H70" s="3192">
        <f t="shared" si="13"/>
        <v>0</v>
      </c>
      <c r="I70" s="3203" t="s">
        <v>3608</v>
      </c>
    </row>
    <row r="71" spans="2:12" ht="15" thickBot="1">
      <c r="B71" s="3194" t="s">
        <v>3609</v>
      </c>
      <c r="C71" s="3195">
        <f>SUM(C53:C70)</f>
        <v>116233.68</v>
      </c>
      <c r="D71" s="3195">
        <f>SUM(D53:D70)</f>
        <v>351565.27</v>
      </c>
      <c r="E71" s="3195">
        <f ca="1">SUM(E53:E70)</f>
        <v>773228</v>
      </c>
      <c r="F71" s="3195">
        <f ca="1">ROUND(E71/D71*10000,0)</f>
        <v>21994</v>
      </c>
      <c r="G71" s="3194">
        <f t="shared" ref="G71:H71" si="15">U47</f>
        <v>0</v>
      </c>
      <c r="H71" s="3195">
        <f t="shared" si="15"/>
        <v>0</v>
      </c>
      <c r="I71" s="3195" t="s">
        <v>3610</v>
      </c>
    </row>
  </sheetData>
  <mergeCells count="22">
    <mergeCell ref="I51:I52"/>
    <mergeCell ref="B27:B28"/>
    <mergeCell ref="C27:C28"/>
    <mergeCell ref="D27:F27"/>
    <mergeCell ref="H27:H28"/>
    <mergeCell ref="B51:B52"/>
    <mergeCell ref="C51:C52"/>
    <mergeCell ref="D51:D52"/>
    <mergeCell ref="E51:F51"/>
    <mergeCell ref="G51:H51"/>
    <mergeCell ref="C4:C18"/>
    <mergeCell ref="I4:I18"/>
    <mergeCell ref="J4:J18"/>
    <mergeCell ref="C20:C22"/>
    <mergeCell ref="I20:I22"/>
    <mergeCell ref="J20:J22"/>
    <mergeCell ref="J2:J3"/>
    <mergeCell ref="B2:B3"/>
    <mergeCell ref="C2:C3"/>
    <mergeCell ref="D2:F2"/>
    <mergeCell ref="H2:H3"/>
    <mergeCell ref="I2:I3"/>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tabSelected="1" view="pageBreakPreview" topLeftCell="A8" zoomScaleNormal="70" zoomScaleSheetLayoutView="100" workbookViewId="0">
      <selection activeCell="C35" sqref="C35"/>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4"/>
      <c r="C1" s="190"/>
      <c r="D1" s="190"/>
      <c r="E1" s="190"/>
      <c r="F1" s="190"/>
      <c r="G1" s="1062">
        <f>MATCH(B1,'数据-取费表'!A6:A16,0)+5</f>
        <v>7</v>
      </c>
    </row>
    <row r="2" spans="1:9" s="192" customFormat="1" ht="18" customHeight="1">
      <c r="A2" s="193" t="s">
        <v>1461</v>
      </c>
      <c r="B2" s="194">
        <f ca="1">IF(D2="——",C52,C52-E2)</f>
        <v>654058</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18604</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110083</v>
      </c>
      <c r="D5" s="203" t="s">
        <v>1468</v>
      </c>
      <c r="E5" s="204" t="s">
        <v>1469</v>
      </c>
      <c r="F5" s="204" t="s">
        <v>1470</v>
      </c>
      <c r="G5" s="205"/>
    </row>
    <row r="6" spans="1:9" s="206" customFormat="1" ht="13.5" customHeight="1">
      <c r="A6" s="732" t="s">
        <v>1471</v>
      </c>
      <c r="B6" s="207" t="s">
        <v>1472</v>
      </c>
      <c r="C6" s="208">
        <f>基准地价修正!B2</f>
        <v>101025</v>
      </c>
      <c r="D6" s="209"/>
      <c r="E6" s="210"/>
      <c r="F6" s="210"/>
      <c r="G6" s="211"/>
    </row>
    <row r="7" spans="1:9" s="206" customFormat="1" ht="13.5" customHeight="1">
      <c r="A7" s="732" t="s">
        <v>1473</v>
      </c>
      <c r="B7" s="207" t="s">
        <v>1474</v>
      </c>
      <c r="C7" s="212">
        <f>ROUND(C6*F7,0)</f>
        <v>3081</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5977</v>
      </c>
      <c r="D8" s="214"/>
      <c r="E8" s="212"/>
      <c r="F8" s="213"/>
      <c r="G8" s="1714" t="s">
        <v>3520</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0</v>
      </c>
      <c r="F9" s="213"/>
      <c r="G9" s="1715" t="s">
        <v>3521</v>
      </c>
      <c r="H9" s="1070"/>
      <c r="I9" s="1716" t="s">
        <v>1478</v>
      </c>
    </row>
    <row r="10" spans="1:9" s="206" customFormat="1" ht="13.5" customHeight="1">
      <c r="A10" s="733" t="s">
        <v>356</v>
      </c>
      <c r="B10" s="216" t="s">
        <v>1479</v>
      </c>
      <c r="C10" s="217">
        <f ca="1">ROUND(D10*E10/10000,0)</f>
        <v>5977</v>
      </c>
      <c r="D10" s="795">
        <f ca="1">IF(B1="",'数据-汇总表'!E6,IF(INDIRECT("'数据-取费表'!c"&amp;$G$1)="住宅",INDIRECT("'数据-取费表'!s"&amp;$G$1),INDIRECT("'数据-取费表'!k"&amp;$G$1)+INDIRECT("'数据-取费表'!s"&amp;$G$1)))</f>
        <v>351565.27</v>
      </c>
      <c r="E10" s="217">
        <f>'数据-取费表'!B28</f>
        <v>170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351565.27</v>
      </c>
      <c r="E19" s="203">
        <f>'数据-取费表'!B31</f>
        <v>200</v>
      </c>
      <c r="F19" s="223"/>
      <c r="G19" s="1714" t="s">
        <v>3522</v>
      </c>
    </row>
    <row r="20" spans="1:7" s="206" customFormat="1" ht="13.5" customHeight="1">
      <c r="A20" s="247" t="s">
        <v>1492</v>
      </c>
      <c r="B20" s="202" t="s">
        <v>1493</v>
      </c>
      <c r="C20" s="224">
        <f ca="1">ROUND((C5+C19)*F20,0)</f>
        <v>2202</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11194</v>
      </c>
      <c r="D22" s="227">
        <f ca="1">C26</f>
        <v>1E-3</v>
      </c>
      <c r="E22" s="228" t="s">
        <v>1497</v>
      </c>
      <c r="F22" s="229">
        <f ca="1">'数据-取费表'!B40</f>
        <v>3.2500000000000001E-2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11086</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108</v>
      </c>
      <c r="D25" s="230"/>
      <c r="E25" s="233"/>
      <c r="F25" s="231"/>
      <c r="G25" s="234" t="s">
        <v>1509</v>
      </c>
    </row>
    <row r="26" spans="1:7" s="206" customFormat="1">
      <c r="A26" s="734" t="s">
        <v>350</v>
      </c>
      <c r="B26" s="207" t="s">
        <v>1510</v>
      </c>
      <c r="C26" s="230">
        <f ca="1">ROUND(IF('数据-取费表'!B22&lt;=1,F21*F22*'数据-取费表'!B23/2,F21*(POWER((1+F22),'数据-取费表'!B23/2)-1)),4)</f>
        <v>1E-3</v>
      </c>
      <c r="D26" s="230"/>
      <c r="E26" s="233"/>
      <c r="F26" s="231"/>
      <c r="G26" s="235"/>
    </row>
    <row r="27" spans="1:7" s="206" customFormat="1" ht="26.4">
      <c r="A27" s="247" t="s">
        <v>1511</v>
      </c>
      <c r="B27" s="236" t="s">
        <v>1512</v>
      </c>
      <c r="C27" s="237">
        <f ca="1">C28</f>
        <v>22457</v>
      </c>
      <c r="D27" s="227">
        <f ca="1">C29</f>
        <v>4.0000000000000001E-3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ROUND((C5+C19+C20)*F27*'数据-取费表'!B21/'数据-取费表'!B20,0)</f>
        <v>22457</v>
      </c>
      <c r="D28" s="227"/>
      <c r="E28" s="228"/>
      <c r="F28" s="238"/>
      <c r="G28" s="239"/>
    </row>
    <row r="29" spans="1:7" s="206" customFormat="1" ht="13.5" customHeight="1">
      <c r="A29" s="734"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158179</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412722</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359018</v>
      </c>
      <c r="D34" s="209"/>
      <c r="E34" s="212"/>
      <c r="F34" s="249">
        <f ca="1">IF('数据-取费表'!B24=0,1,IF(B1="",'数据-取费表'!N16,INDIRECT("'数据-取费表'!n"&amp;$G$1)))</f>
        <v>1</v>
      </c>
      <c r="G34" s="211" t="s">
        <v>1525</v>
      </c>
    </row>
    <row r="35" spans="1:7" ht="13.5" customHeight="1">
      <c r="A35" s="734" t="s">
        <v>351</v>
      </c>
      <c r="B35" s="207" t="s">
        <v>1526</v>
      </c>
      <c r="C35" s="212">
        <f ca="1">ROUND(C34*F35,0)</f>
        <v>35902</v>
      </c>
      <c r="D35" s="212"/>
      <c r="E35" s="212"/>
      <c r="F35" s="251">
        <f>'数据-取费表'!B33</f>
        <v>0.1</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7031</v>
      </c>
      <c r="D37" s="209">
        <f ca="1">D19</f>
        <v>351565.27</v>
      </c>
      <c r="E37" s="241">
        <f>'数据-取费表'!B35</f>
        <v>200</v>
      </c>
      <c r="F37" s="251"/>
      <c r="G37" s="253" t="s">
        <v>1531</v>
      </c>
    </row>
    <row r="38" spans="1:7" ht="13.5" customHeight="1">
      <c r="A38" s="734" t="s">
        <v>354</v>
      </c>
      <c r="B38" s="207" t="s">
        <v>1532</v>
      </c>
      <c r="C38" s="212">
        <f ca="1">ROUND(C34*F38,0)</f>
        <v>10771</v>
      </c>
      <c r="D38" s="212"/>
      <c r="E38" s="212"/>
      <c r="F38" s="251">
        <f>'数据-取费表'!B36</f>
        <v>0.03</v>
      </c>
      <c r="G38" s="211" t="s">
        <v>1527</v>
      </c>
    </row>
    <row r="39" spans="1:7" s="206" customFormat="1" ht="13.5" customHeight="1">
      <c r="A39" s="247" t="s">
        <v>1533</v>
      </c>
      <c r="B39" s="202" t="s">
        <v>1534</v>
      </c>
      <c r="C39" s="224">
        <f ca="1">ROUND(C33*F20,0)</f>
        <v>8254</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20689</v>
      </c>
      <c r="D41" s="227">
        <f ca="1">C44</f>
        <v>1E-3</v>
      </c>
      <c r="E41" s="228" t="s">
        <v>1538</v>
      </c>
      <c r="F41" s="229">
        <f ca="1">F22</f>
        <v>3.2500000000000001E-2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20283</v>
      </c>
      <c r="D42" s="230"/>
      <c r="E42" s="230"/>
      <c r="F42" s="231"/>
      <c r="G42" s="3406" t="s">
        <v>1543</v>
      </c>
    </row>
    <row r="43" spans="1:7" ht="13.5" customHeight="1">
      <c r="A43" s="734" t="s">
        <v>347</v>
      </c>
      <c r="B43" s="207" t="s">
        <v>1544</v>
      </c>
      <c r="C43" s="230">
        <f ca="1">ROUND(IF('数据-取费表'!B22&lt;=1,C39*F22*'数据-取费表'!B21/2,C39*(POWER((1+F22),'数据-取费表'!B21/2)-1)),0)</f>
        <v>406</v>
      </c>
      <c r="D43" s="230"/>
      <c r="E43" s="230"/>
      <c r="F43" s="231"/>
      <c r="G43" s="3407"/>
    </row>
    <row r="44" spans="1:7" ht="13.5" customHeight="1">
      <c r="A44" s="734" t="s">
        <v>348</v>
      </c>
      <c r="B44" s="207" t="s">
        <v>1545</v>
      </c>
      <c r="C44" s="230">
        <f ca="1">ROUND(IF('数据-取费表'!B22&lt;=1,C40*F22*'数据-取费表'!B21/2,C40*(POWER((1+F22),'数据-取费表'!B21/2)-1)),4)</f>
        <v>1E-3</v>
      </c>
      <c r="D44" s="230"/>
      <c r="E44" s="230"/>
      <c r="F44" s="231"/>
      <c r="G44" s="3408"/>
    </row>
    <row r="45" spans="1:7" s="206" customFormat="1" ht="13.5" customHeight="1">
      <c r="A45" s="247" t="s">
        <v>1546</v>
      </c>
      <c r="B45" s="236" t="s">
        <v>1512</v>
      </c>
      <c r="C45" s="237">
        <f ca="1">C46</f>
        <v>84195</v>
      </c>
      <c r="D45" s="227">
        <f ca="1">C47</f>
        <v>4.0000000000000001E-3</v>
      </c>
      <c r="E45" s="228" t="s">
        <v>1538</v>
      </c>
      <c r="F45" s="238">
        <f ca="1">F27</f>
        <v>0.2</v>
      </c>
      <c r="G45" s="239" t="s">
        <v>1547</v>
      </c>
    </row>
    <row r="46" spans="1:7" s="206" customFormat="1" ht="13.5" customHeight="1">
      <c r="A46" s="734" t="s">
        <v>346</v>
      </c>
      <c r="B46" s="240" t="s">
        <v>1548</v>
      </c>
      <c r="C46" s="241">
        <f ca="1">ROUND((C33+C39)*F27,0)</f>
        <v>84195</v>
      </c>
      <c r="D46" s="255"/>
      <c r="E46" s="228"/>
      <c r="F46" s="238"/>
      <c r="G46" s="239"/>
    </row>
    <row r="47" spans="1:7" s="206" customFormat="1" ht="13.5" customHeight="1">
      <c r="A47" s="734"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569976</v>
      </c>
      <c r="D49" s="224"/>
      <c r="E49" s="224"/>
      <c r="F49" s="256"/>
      <c r="G49" s="226" t="s">
        <v>1553</v>
      </c>
    </row>
    <row r="50" spans="1:7" s="250" customFormat="1" ht="24">
      <c r="A50" s="247" t="s">
        <v>1554</v>
      </c>
      <c r="B50" s="202" t="s">
        <v>1555</v>
      </c>
      <c r="C50" s="224"/>
      <c r="D50" s="224"/>
      <c r="E50" s="224"/>
      <c r="F50" s="256">
        <f>IF('数据-取费表'!B24=0,'数据-取费表'!N16,1)</f>
        <v>0.87</v>
      </c>
      <c r="G50" s="239" t="s">
        <v>1556</v>
      </c>
    </row>
    <row r="51" spans="1:7" ht="16.5" customHeight="1">
      <c r="A51" s="247" t="s">
        <v>1557</v>
      </c>
      <c r="B51" s="202" t="s">
        <v>1558</v>
      </c>
      <c r="C51" s="224">
        <f ca="1">ROUND(C49*F50,0)</f>
        <v>495879</v>
      </c>
      <c r="D51" s="224"/>
      <c r="E51" s="224"/>
      <c r="F51" s="256"/>
      <c r="G51" s="226" t="s">
        <v>1559</v>
      </c>
    </row>
    <row r="52" spans="1:7" s="200" customFormat="1" ht="16.8" thickBot="1">
      <c r="A52" s="257" t="s">
        <v>1560</v>
      </c>
      <c r="B52" s="258"/>
      <c r="C52" s="259">
        <f ca="1">C31+C51</f>
        <v>654058</v>
      </c>
      <c r="D52" s="258"/>
      <c r="E52" s="258"/>
      <c r="F52" s="258"/>
      <c r="G52" s="260"/>
    </row>
    <row r="55" spans="1:7" ht="15">
      <c r="B55" s="262" t="s">
        <v>1561</v>
      </c>
      <c r="C55" s="263"/>
    </row>
    <row r="56" spans="1:7">
      <c r="B56" s="265" t="s">
        <v>802</v>
      </c>
      <c r="C56" s="267">
        <f ca="1">1-C57</f>
        <v>0.24199999999999999</v>
      </c>
    </row>
    <row r="57" spans="1:7">
      <c r="B57" s="265" t="s">
        <v>803</v>
      </c>
      <c r="C57" s="266">
        <f ca="1">ROUND(C51/C52,3)</f>
        <v>0.75800000000000001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514570.71860000002</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14637</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59766096</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59766096</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1479</v>
      </c>
      <c r="C10" s="217">
        <f ca="1">ROUND(D10*E10,0)</f>
        <v>59766096</v>
      </c>
      <c r="D10" s="795">
        <f ca="1">IF(B1="",'数据-汇总表'!E6,IF(INDIRECT("'数据-取费表'!c"&amp;$G$1)="住宅",INDIRECT("'数据-取费表'!s"&amp;$G$1),INDIRECT("'数据-取费表'!k"&amp;$G$1)+INDIRECT("'数据-取费表'!s"&amp;$G$1)))</f>
        <v>351565.27</v>
      </c>
      <c r="E10" s="217">
        <f>'数据-取费表'!B28</f>
        <v>170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70313054</v>
      </c>
      <c r="D19" s="204">
        <f ca="1">D9+D10</f>
        <v>351565.27</v>
      </c>
      <c r="E19" s="203">
        <f>'数据-取费表'!B31</f>
        <v>200</v>
      </c>
      <c r="F19" s="223"/>
      <c r="G19" s="1714"/>
    </row>
    <row r="20" spans="1:7" s="206" customFormat="1" ht="13.5" customHeight="1">
      <c r="A20" s="247" t="s">
        <v>1573</v>
      </c>
      <c r="B20" s="202" t="s">
        <v>1574</v>
      </c>
      <c r="C20" s="224">
        <f ca="1">ROUND((C5+C19)*F20,0)</f>
        <v>2601583</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13227223</v>
      </c>
      <c r="D22" s="227">
        <f ca="1">C26</f>
        <v>1E-3</v>
      </c>
      <c r="E22" s="228" t="s">
        <v>1578</v>
      </c>
      <c r="F22" s="229">
        <f ca="1">'数据-取费表'!B40</f>
        <v>3.2500000000000001E-2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6018630</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7080741</v>
      </c>
      <c r="D24" s="230"/>
      <c r="E24" s="230"/>
      <c r="F24" s="231"/>
      <c r="G24" s="232" t="s">
        <v>1585</v>
      </c>
    </row>
    <row r="25" spans="1:7" s="206" customFormat="1" ht="24">
      <c r="A25" s="734" t="s">
        <v>1475</v>
      </c>
      <c r="B25" s="207" t="s">
        <v>1586</v>
      </c>
      <c r="C25" s="230">
        <f ca="1">ROUND(IF('数据-取费表'!B22&lt;=1,C20*F22*'数据-取费表'!B22/2,C20*(POWER((1+F22),'数据-取费表'!B22/2)-1)),0)</f>
        <v>127852</v>
      </c>
      <c r="D25" s="230"/>
      <c r="E25" s="233"/>
      <c r="F25" s="231"/>
      <c r="G25" s="234" t="s">
        <v>1587</v>
      </c>
    </row>
    <row r="26" spans="1:7" s="206" customFormat="1">
      <c r="A26" s="734" t="s">
        <v>350</v>
      </c>
      <c r="B26" s="207" t="s">
        <v>1510</v>
      </c>
      <c r="C26" s="230">
        <f ca="1">ROUND(IF('数据-取费表'!B22&lt;=1,F21*F22*'数据-取费表'!B22/2,F21*(POWER((1+F22),'数据-取费表'!B22/2)-1)),4)</f>
        <v>1E-3</v>
      </c>
      <c r="D26" s="230"/>
      <c r="E26" s="233"/>
      <c r="F26" s="231"/>
      <c r="G26" s="235"/>
    </row>
    <row r="27" spans="1:7" s="206" customFormat="1" ht="26.4">
      <c r="A27" s="247" t="s">
        <v>1511</v>
      </c>
      <c r="B27" s="236" t="s">
        <v>1512</v>
      </c>
      <c r="C27" s="237">
        <f ca="1">C28</f>
        <v>26536147</v>
      </c>
      <c r="D27" s="227">
        <f ca="1">C29</f>
        <v>4.0000000000000001E-3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ROUND((C5+C19+C20)*F27,0)</f>
        <v>26536147</v>
      </c>
      <c r="D28" s="227"/>
      <c r="E28" s="228"/>
      <c r="F28" s="238"/>
      <c r="G28" s="239"/>
    </row>
    <row r="29" spans="1:7" s="206" customFormat="1" ht="13.5" customHeight="1">
      <c r="A29" s="734"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186911016</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4127221581</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3590184537</v>
      </c>
      <c r="D34" s="209"/>
      <c r="E34" s="212"/>
      <c r="F34" s="249"/>
      <c r="G34" s="211"/>
    </row>
    <row r="35" spans="1:7" ht="13.5" customHeight="1">
      <c r="A35" s="734" t="s">
        <v>351</v>
      </c>
      <c r="B35" s="207" t="s">
        <v>1526</v>
      </c>
      <c r="C35" s="212">
        <f ca="1">ROUND(C34*F35,0)</f>
        <v>359018454</v>
      </c>
      <c r="D35" s="212"/>
      <c r="E35" s="212"/>
      <c r="F35" s="251">
        <f>'数据-取费表'!B33</f>
        <v>0.1</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70313054</v>
      </c>
      <c r="D37" s="209">
        <f ca="1">D19</f>
        <v>351565.27</v>
      </c>
      <c r="E37" s="241">
        <f>'数据-取费表'!B35</f>
        <v>200</v>
      </c>
      <c r="F37" s="251"/>
      <c r="G37" s="253"/>
    </row>
    <row r="38" spans="1:7" ht="13.5" customHeight="1">
      <c r="A38" s="734" t="s">
        <v>354</v>
      </c>
      <c r="B38" s="207" t="s">
        <v>1532</v>
      </c>
      <c r="C38" s="212">
        <f ca="1">ROUND(C34*F38,0)</f>
        <v>107705536</v>
      </c>
      <c r="D38" s="212"/>
      <c r="E38" s="212"/>
      <c r="F38" s="251">
        <f>'数据-取费表'!B36</f>
        <v>0.03</v>
      </c>
      <c r="G38" s="211" t="s">
        <v>1527</v>
      </c>
    </row>
    <row r="39" spans="1:7" s="206" customFormat="1" ht="13.5" customHeight="1">
      <c r="A39" s="247" t="s">
        <v>1533</v>
      </c>
      <c r="B39" s="202" t="s">
        <v>1534</v>
      </c>
      <c r="C39" s="224">
        <f ca="1">ROUND(C33*F20,0)</f>
        <v>82544432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206884631</v>
      </c>
      <c r="D41" s="227">
        <f ca="1">C44</f>
        <v>1E-3</v>
      </c>
      <c r="E41" s="228" t="s">
        <v>1538</v>
      </c>
      <c r="F41" s="229">
        <f ca="1">F22</f>
        <v>3.2500000000000001E-2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202828070</v>
      </c>
      <c r="D42" s="230"/>
      <c r="E42" s="230"/>
      <c r="F42" s="231"/>
      <c r="G42" s="3406" t="s">
        <v>1590</v>
      </c>
    </row>
    <row r="43" spans="1:7" ht="13.5" customHeight="1">
      <c r="A43" s="734" t="s">
        <v>347</v>
      </c>
      <c r="B43" s="207" t="s">
        <v>1544</v>
      </c>
      <c r="C43" s="230">
        <f ca="1">ROUND(IF('数据-取费表'!B22&lt;=1,C39*F22*'数据-取费表'!B20/2,C39*(POWER((1+F22),'数据-取费表'!B20/2)-1)),0)</f>
        <v>4056561</v>
      </c>
      <c r="D43" s="230"/>
      <c r="E43" s="230"/>
      <c r="F43" s="231"/>
      <c r="G43" s="3407"/>
    </row>
    <row r="44" spans="1:7" ht="13.5" customHeight="1">
      <c r="A44" s="734" t="s">
        <v>348</v>
      </c>
      <c r="B44" s="207" t="s">
        <v>1545</v>
      </c>
      <c r="C44" s="230">
        <f ca="1">ROUND(IF('数据-取费表'!B22&lt;=1,C40*F22*'数据-取费表'!B20/2,C40*(POWER((1+F22),'数据-取费表'!B20/2)-1)),4)</f>
        <v>1E-3</v>
      </c>
      <c r="D44" s="230"/>
      <c r="E44" s="230"/>
      <c r="F44" s="231"/>
      <c r="G44" s="3408"/>
    </row>
    <row r="45" spans="1:7" s="206" customFormat="1" ht="13.5" customHeight="1">
      <c r="A45" s="247" t="s">
        <v>1546</v>
      </c>
      <c r="B45" s="236" t="s">
        <v>1512</v>
      </c>
      <c r="C45" s="237">
        <f ca="1">C46</f>
        <v>841953203</v>
      </c>
      <c r="D45" s="227">
        <f ca="1">C47</f>
        <v>4.0000000000000001E-3</v>
      </c>
      <c r="E45" s="228" t="s">
        <v>1538</v>
      </c>
      <c r="F45" s="238">
        <f ca="1">F27</f>
        <v>0.2</v>
      </c>
      <c r="G45" s="239" t="s">
        <v>1547</v>
      </c>
    </row>
    <row r="46" spans="1:7" s="206" customFormat="1" ht="13.5" customHeight="1">
      <c r="A46" s="734" t="s">
        <v>346</v>
      </c>
      <c r="B46" s="240" t="s">
        <v>1548</v>
      </c>
      <c r="C46" s="241">
        <f ca="1">ROUND((C33+C39)*F27,0)</f>
        <v>841953203</v>
      </c>
      <c r="D46" s="255"/>
      <c r="E46" s="228"/>
      <c r="F46" s="238"/>
      <c r="G46" s="239"/>
    </row>
    <row r="47" spans="1:7" s="206" customFormat="1" ht="13.5" customHeight="1">
      <c r="A47" s="734"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5699765713</v>
      </c>
      <c r="D49" s="224"/>
      <c r="E49" s="224"/>
      <c r="F49" s="256"/>
      <c r="G49" s="226" t="s">
        <v>1553</v>
      </c>
    </row>
    <row r="50" spans="1:7" s="250" customFormat="1">
      <c r="A50" s="247" t="s">
        <v>1554</v>
      </c>
      <c r="B50" s="202" t="s">
        <v>1555</v>
      </c>
      <c r="C50" s="224"/>
      <c r="D50" s="224"/>
      <c r="E50" s="224"/>
      <c r="F50" s="256">
        <f>IF('数据-取费表'!B24=0,'数据-取费表'!N16,1)</f>
        <v>0.87</v>
      </c>
      <c r="G50" s="239"/>
    </row>
    <row r="51" spans="1:7" ht="16.5" customHeight="1">
      <c r="A51" s="247" t="s">
        <v>1557</v>
      </c>
      <c r="B51" s="202" t="s">
        <v>1592</v>
      </c>
      <c r="C51" s="224">
        <f ca="1">ROUND(C49*F50,0)</f>
        <v>4958796170</v>
      </c>
      <c r="D51" s="224"/>
      <c r="E51" s="224"/>
      <c r="F51" s="256"/>
      <c r="G51" s="226" t="s">
        <v>1559</v>
      </c>
    </row>
    <row r="52" spans="1:7" s="200" customFormat="1" ht="16.8" thickBot="1">
      <c r="A52" s="257" t="s">
        <v>1560</v>
      </c>
      <c r="B52" s="258"/>
      <c r="C52" s="259">
        <f ca="1">C31+C51</f>
        <v>5145707186</v>
      </c>
      <c r="D52" s="258"/>
      <c r="E52" s="258"/>
      <c r="F52" s="258"/>
      <c r="G52" s="260"/>
    </row>
    <row r="55" spans="1:7" ht="15">
      <c r="B55" s="262" t="s">
        <v>1561</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0.1</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351565.27</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0.03</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351565.27</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1626</v>
      </c>
      <c r="C20" s="21">
        <f ca="1">ROUND(D20*E20/10000,0)</f>
        <v>5977</v>
      </c>
      <c r="D20" s="796">
        <f ca="1">IF(C1="",'数据-汇总表'!E6,IF(INDIRECT("'数据-取费表'!c"&amp;$K$1)="住宅",INDIRECT("'数据-取费表'!s"&amp;$K$1),INDIRECT("'数据-取费表'!k"&amp;$K$1)+INDIRECT("'数据-取费表'!s"&amp;$K$1)))</f>
        <v>351565.27</v>
      </c>
      <c r="E20" s="21">
        <f>'数据-取费表'!B28</f>
        <v>170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85" zoomScaleNormal="70" zoomScaleSheetLayoutView="85" workbookViewId="0">
      <selection activeCell="C39" sqref="C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3500</v>
      </c>
      <c r="D1" s="1271" t="s">
        <v>43</v>
      </c>
      <c r="E1" s="1272" t="s">
        <v>678</v>
      </c>
      <c r="F1" s="999">
        <f ca="1">J53</f>
        <v>36.08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852675</v>
      </c>
      <c r="C2" s="1289" t="s">
        <v>805</v>
      </c>
      <c r="D2" s="1289"/>
      <c r="E2" s="1295"/>
      <c r="F2" s="1296"/>
      <c r="G2" s="2478"/>
      <c r="H2" s="2468"/>
      <c r="I2" s="2468"/>
      <c r="J2" s="2468"/>
      <c r="K2" s="2469"/>
      <c r="L2" s="2468"/>
      <c r="M2" s="2468"/>
    </row>
    <row r="3" spans="1:37" ht="18" customHeight="1" thickBot="1">
      <c r="A3" s="1297" t="s">
        <v>806</v>
      </c>
      <c r="B3" s="1298">
        <f ca="1">IF(ISERROR(B2*10000/F43),0,ROUND(B2*10000/F43,0))</f>
        <v>24858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77222</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77126</v>
      </c>
      <c r="D6" s="147" t="s">
        <v>2108</v>
      </c>
      <c r="E6" s="294" t="s">
        <v>696</v>
      </c>
      <c r="F6" s="295">
        <f ca="1">INDIRECT("'数据-取费表'!u"&amp;$G$1)</f>
        <v>7.7</v>
      </c>
      <c r="G6" s="1292"/>
      <c r="H6" s="1006" t="s">
        <v>398</v>
      </c>
      <c r="I6" s="3411" t="s">
        <v>694</v>
      </c>
      <c r="J6" s="293">
        <f ca="1">ROUND(M6*M8*M7*(1-M9)/10000,0)</f>
        <v>0</v>
      </c>
      <c r="K6" s="147" t="s">
        <v>2107</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343024.03999999992</v>
      </c>
      <c r="G7" s="1292"/>
      <c r="H7" s="296"/>
      <c r="I7" s="3412"/>
      <c r="J7" s="298"/>
      <c r="K7" s="299"/>
      <c r="L7" s="294" t="s">
        <v>697</v>
      </c>
      <c r="M7" s="295">
        <f ca="1">F7</f>
        <v>343024.03999999992</v>
      </c>
    </row>
    <row r="8" spans="1:37" ht="18" customHeight="1">
      <c r="A8" s="296"/>
      <c r="B8" s="3412"/>
      <c r="C8" s="298"/>
      <c r="D8" s="299"/>
      <c r="E8" s="294" t="s">
        <v>698</v>
      </c>
      <c r="F8" s="295">
        <f ca="1">INDIRECT("'数据-取费表'!ai"&amp;$G$1)</f>
        <v>365</v>
      </c>
      <c r="G8" s="1292"/>
      <c r="H8" s="296"/>
      <c r="I8" s="3412"/>
      <c r="J8" s="298"/>
      <c r="K8" s="299"/>
      <c r="L8" s="294" t="s">
        <v>698</v>
      </c>
      <c r="M8" s="295">
        <f ca="1">INDIRECT("'数据-取费表'!ai"&amp;$G$1)</f>
        <v>365</v>
      </c>
    </row>
    <row r="9" spans="1:37" ht="18" customHeight="1">
      <c r="A9" s="296"/>
      <c r="B9" s="3413"/>
      <c r="C9" s="298"/>
      <c r="D9" s="299"/>
      <c r="E9" s="294" t="s">
        <v>699</v>
      </c>
      <c r="F9" s="304">
        <f ca="1">INDIRECT("'数据-取费表'!w"&amp;$G$1)</f>
        <v>0.2</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96</v>
      </c>
      <c r="D10" s="150" t="s">
        <v>2116</v>
      </c>
      <c r="E10" s="305" t="s">
        <v>701</v>
      </c>
      <c r="F10" s="1053" t="s">
        <v>3504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495879</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359018</v>
      </c>
      <c r="D14" s="1257" t="s">
        <v>708</v>
      </c>
      <c r="E14" s="1255"/>
      <c r="F14" s="311"/>
      <c r="G14" s="1292"/>
      <c r="H14" s="928" t="s">
        <v>398</v>
      </c>
      <c r="I14" s="294" t="s">
        <v>709</v>
      </c>
      <c r="J14" s="21">
        <f ca="1">C29</f>
        <v>569976</v>
      </c>
      <c r="K14" s="12"/>
      <c r="L14" s="759"/>
      <c r="M14" s="760"/>
    </row>
    <row r="15" spans="1:37" s="1304" customFormat="1" ht="18" customHeight="1" thickBot="1">
      <c r="A15" s="928" t="s">
        <v>399</v>
      </c>
      <c r="B15" s="294" t="s">
        <v>710</v>
      </c>
      <c r="C15" s="21">
        <f ca="1">ROUND(C14*F15,0)</f>
        <v>35902</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5717</v>
      </c>
      <c r="K16" s="1024" t="s">
        <v>715</v>
      </c>
      <c r="L16" s="1025"/>
      <c r="M16" s="1009"/>
    </row>
    <row r="17" spans="1:37" s="1304" customFormat="1" ht="18" customHeight="1">
      <c r="A17" s="928" t="s">
        <v>681</v>
      </c>
      <c r="B17" s="294" t="s">
        <v>716</v>
      </c>
      <c r="C17" s="21">
        <f ca="1">ROUND(F17*(F43+INDIRECT("'数据-取费表'!S"&amp;$G$1))/10000,0)</f>
        <v>7031</v>
      </c>
      <c r="D17" s="294" t="s">
        <v>717</v>
      </c>
      <c r="E17" s="294" t="s">
        <v>718</v>
      </c>
      <c r="F17" s="23">
        <f>'数据-取费表'!B35</f>
        <v>200</v>
      </c>
      <c r="G17" s="1303"/>
      <c r="H17" s="928" t="s">
        <v>398</v>
      </c>
      <c r="I17" s="294" t="s">
        <v>719</v>
      </c>
      <c r="J17" s="2140">
        <f ca="1">ROUND(IF(AND(项目基本情况!B11="自然人",项目基本情况!B10="北京市"),J6*M17/(1+'数据-取费表'!C42),J18+J19+J20),2)</f>
        <v>17.440000000000001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10771</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412722</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8254</v>
      </c>
      <c r="D20" s="315" t="s">
        <v>729</v>
      </c>
      <c r="E20" s="294" t="s">
        <v>712</v>
      </c>
      <c r="F20" s="314">
        <f>'数据-取费表'!B37</f>
        <v>0.02</v>
      </c>
      <c r="G20" s="1303"/>
      <c r="H20" s="928" t="s">
        <v>680</v>
      </c>
      <c r="I20" s="147" t="s">
        <v>730</v>
      </c>
      <c r="J20" s="22">
        <f ca="1">ROUND(M20*M21/10000,2)</f>
        <v>17.440000000000001</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116233.68000000001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5699.76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20689</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-5717</v>
      </c>
      <c r="K25" s="1032" t="s">
        <v>753</v>
      </c>
      <c r="L25" s="1033"/>
      <c r="M25" s="1034"/>
    </row>
    <row r="26" spans="1:37">
      <c r="A26" s="928" t="s">
        <v>397</v>
      </c>
      <c r="B26" s="294" t="s">
        <v>754</v>
      </c>
      <c r="C26" s="21">
        <f ca="1">ROUND((C19+C20)*F26,0)</f>
        <v>84195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569976</v>
      </c>
      <c r="D29" s="1029"/>
      <c r="E29" s="1027"/>
      <c r="F29" s="1030"/>
      <c r="G29" s="1303"/>
      <c r="H29" s="325" t="s">
        <v>396</v>
      </c>
      <c r="I29" s="326" t="s">
        <v>768</v>
      </c>
      <c r="J29" s="327">
        <f ca="1">ROUND(J26/(1+F40)^F41,0)</f>
        <v>0</v>
      </c>
      <c r="K29" s="328" t="s">
        <v>769</v>
      </c>
      <c r="L29" s="329"/>
      <c r="M29" s="330">
        <f ca="1">INDIRECT("'数据-取费表'!k"&amp;$G$1)</f>
        <v>343024.03999999992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20088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12871.77</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4039.93</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8814.4</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17.440000000000001</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116233.68000000001</v>
      </c>
      <c r="G35" s="1292"/>
      <c r="H35" s="2470"/>
      <c r="I35" s="1305"/>
      <c r="J35" s="1306"/>
      <c r="K35" s="2474"/>
      <c r="L35" s="2473"/>
      <c r="M35" s="2473"/>
    </row>
    <row r="36" spans="1:18" ht="18" customHeight="1">
      <c r="A36" s="1039" t="s">
        <v>402</v>
      </c>
      <c r="B36" s="294" t="s">
        <v>738</v>
      </c>
      <c r="C36" s="21">
        <f ca="1">ROUND(C29*F36,2)</f>
        <v>5699.76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ROUND(C13*F37,2)</f>
        <v>743.82</v>
      </c>
      <c r="D37" s="1256" t="s">
        <v>743</v>
      </c>
      <c r="E37" s="294" t="s">
        <v>744</v>
      </c>
      <c r="F37" s="321">
        <f ca="1">INDIRECT("'数据-取费表'!Al"&amp;$G$1)</f>
        <v>1.5E-3</v>
      </c>
      <c r="G37" s="1292"/>
      <c r="H37" s="2473"/>
      <c r="I37" s="1305"/>
      <c r="J37" s="1306"/>
      <c r="K37" s="2330"/>
      <c r="L37" s="2473"/>
      <c r="M37" s="2473"/>
    </row>
    <row r="38" spans="1:18" ht="18" customHeight="1" thickBot="1">
      <c r="A38" s="1026" t="s">
        <v>684</v>
      </c>
      <c r="B38" s="1027" t="s">
        <v>728</v>
      </c>
      <c r="C38" s="1028">
        <f ca="1">ROUND(C5*F38,2)</f>
        <v>772.22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57134</v>
      </c>
      <c r="D39" s="1032" t="s">
        <v>773</v>
      </c>
      <c r="E39" s="1033"/>
      <c r="F39" s="1034"/>
      <c r="G39" s="1292"/>
      <c r="H39" s="2473"/>
      <c r="I39" s="1305"/>
      <c r="J39" s="1306"/>
      <c r="K39" s="2471"/>
      <c r="L39" s="2473"/>
      <c r="M39" s="2473"/>
    </row>
    <row r="40" spans="1:18" ht="18" customHeight="1">
      <c r="A40" s="291" t="s">
        <v>395</v>
      </c>
      <c r="B40" s="292" t="s">
        <v>774</v>
      </c>
      <c r="C40" s="293">
        <f ca="1">ROUND(C39*(1-((1+F42)/(1+F40))^F41)/(F40-F42),0)</f>
        <v>835899</v>
      </c>
      <c r="D40" s="316" t="s">
        <v>758</v>
      </c>
      <c r="E40" s="294" t="s">
        <v>759</v>
      </c>
      <c r="F40" s="304">
        <f ca="1">INDIRECT("'数据-取费表'!I"&amp;$G$1)</f>
        <v>0.06</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36.08</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f ca="1">ROUND(C40*10000/F43,0)</f>
        <v>24369</v>
      </c>
      <c r="D43" s="328" t="s">
        <v>777</v>
      </c>
      <c r="E43" s="329" t="s">
        <v>778</v>
      </c>
      <c r="F43" s="330">
        <f ca="1">INDIRECT("'数据-取费表'!k"&amp;$G$1)</f>
        <v>343024.03999999992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f ca="1">C68-C40</f>
        <v>-930427</v>
      </c>
      <c r="D46" s="1313" t="str">
        <f>C2</f>
        <v>万元</v>
      </c>
      <c r="E46" s="1307"/>
      <c r="F46" s="1307"/>
      <c r="I46" s="1314" t="s">
        <v>810</v>
      </c>
      <c r="J46" s="1315"/>
      <c r="K46" s="1316"/>
      <c r="L46" s="1317">
        <f ca="1">IF(M47="住宅",0,IF(L48&gt;J51,L60,J60))</f>
        <v>16776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3505</v>
      </c>
      <c r="K47" s="1323" t="s">
        <v>816</v>
      </c>
      <c r="L47" s="1324">
        <f ca="1">INDIRECT("'数据-取费表'!d"&amp;$G$1)</f>
        <v>50</v>
      </c>
      <c r="M47" s="1288" t="str">
        <f>IF(ISNUMBER(FIND("住宅",C1)),"住宅","非住宅")</f>
        <v>非住宅</v>
      </c>
      <c r="O47" s="1325" t="s">
        <v>403</v>
      </c>
      <c r="P47" s="1326" t="s">
        <v>817</v>
      </c>
      <c r="Q47" s="1327">
        <f ca="1">C40+J29</f>
        <v>835899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3506</v>
      </c>
      <c r="K48" s="1330" t="s">
        <v>820</v>
      </c>
      <c r="L48" s="1331">
        <f ca="1">INDIRECT("'数据-取费表'!f"&amp;$G$1)</f>
        <v>36.08</v>
      </c>
      <c r="O48" s="1325" t="s">
        <v>404</v>
      </c>
      <c r="P48" s="1326" t="s">
        <v>821</v>
      </c>
      <c r="Q48" s="1327">
        <f ca="1">J60</f>
        <v>16776</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v>2017</v>
      </c>
      <c r="K49" s="1330" t="s">
        <v>824</v>
      </c>
      <c r="L49" s="1333"/>
      <c r="O49" s="1334" t="s">
        <v>405</v>
      </c>
      <c r="P49" s="1326" t="s">
        <v>825</v>
      </c>
      <c r="Q49" s="1327">
        <f ca="1">C29</f>
        <v>569976</v>
      </c>
      <c r="R49" s="1327" t="s">
        <v>818</v>
      </c>
    </row>
    <row r="50" spans="1:18" s="1292" customFormat="1" ht="13.8" thickBot="1">
      <c r="A50" s="922"/>
      <c r="B50" s="925"/>
      <c r="C50" s="1055"/>
      <c r="D50" s="899"/>
      <c r="E50" s="993" t="s">
        <v>697</v>
      </c>
      <c r="F50" s="994">
        <f ca="1">F7</f>
        <v>343024.03999999992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367313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36.08</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36.08</v>
      </c>
      <c r="K53" s="3409" t="s">
        <v>837</v>
      </c>
      <c r="L53" s="3410"/>
      <c r="O53" s="1325" t="s">
        <v>409</v>
      </c>
      <c r="P53" s="1326" t="s">
        <v>838</v>
      </c>
      <c r="Q53" s="1327">
        <f ca="1">Q47+Q48</f>
        <v>852675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0.26500000000000001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495879</v>
      </c>
      <c r="D56" s="1352"/>
      <c r="E56" s="1353"/>
      <c r="F56" s="1345"/>
      <c r="I56" s="1354" t="s">
        <v>842</v>
      </c>
      <c r="J56" s="1355" t="s">
        <v>3497</v>
      </c>
      <c r="K56" s="1328" t="s">
        <v>843</v>
      </c>
      <c r="L56" s="1331" t="str">
        <f ca="1">IF(L48&lt;J51,"——",L48-J53)</f>
        <v>——</v>
      </c>
      <c r="O56" s="1325" t="s">
        <v>403</v>
      </c>
      <c r="P56" s="1326" t="s">
        <v>817</v>
      </c>
      <c r="Q56" s="1327">
        <f ca="1">C40+J29</f>
        <v>835899</v>
      </c>
      <c r="R56" s="1327" t="s">
        <v>818</v>
      </c>
    </row>
    <row r="57" spans="1:18" s="1292" customFormat="1" ht="24.6" thickBot="1">
      <c r="A57" s="1356"/>
      <c r="B57" s="896" t="s">
        <v>767</v>
      </c>
      <c r="C57" s="230">
        <f ca="1">C29</f>
        <v>569976</v>
      </c>
      <c r="D57" s="1357"/>
      <c r="E57" s="1358"/>
      <c r="F57" s="1359"/>
      <c r="I57" s="1360" t="s">
        <v>844</v>
      </c>
      <c r="J57" s="1361">
        <f ca="1">IF(OR(M47="住宅",J51&lt;L48,J56="是"),"——",J51-L48)</f>
        <v>15.920000000000002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6461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227990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16776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17.440000000000001</v>
      </c>
      <c r="D62" s="911" t="s">
        <v>786</v>
      </c>
      <c r="E62" s="896" t="s">
        <v>787</v>
      </c>
      <c r="F62" s="317">
        <f t="shared" si="0"/>
        <v>1.5</v>
      </c>
      <c r="I62" s="1367" t="s">
        <v>858</v>
      </c>
      <c r="J62" s="610" t="s">
        <v>859</v>
      </c>
      <c r="K62" s="610" t="s">
        <v>860</v>
      </c>
      <c r="L62" s="610" t="s">
        <v>861</v>
      </c>
      <c r="M62" s="1368" t="s">
        <v>862</v>
      </c>
      <c r="O62" s="1325" t="s">
        <v>409</v>
      </c>
      <c r="P62" s="1326" t="s">
        <v>863</v>
      </c>
      <c r="Q62" s="1327">
        <f ca="1">Q56+Q57</f>
        <v>835899</v>
      </c>
      <c r="R62" s="1327" t="s">
        <v>410</v>
      </c>
    </row>
    <row r="63" spans="1:18" s="1292" customFormat="1" ht="13.8" thickBot="1">
      <c r="A63" s="318"/>
      <c r="B63" s="902"/>
      <c r="C63" s="26"/>
      <c r="D63" s="912"/>
      <c r="E63" s="896" t="s">
        <v>788</v>
      </c>
      <c r="F63" s="295">
        <f t="shared" ca="1" si="0"/>
        <v>116233.68000000001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5699.76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743.82</v>
      </c>
      <c r="D65" s="910" t="s">
        <v>743</v>
      </c>
      <c r="E65" s="896" t="s">
        <v>744</v>
      </c>
      <c r="F65" s="321">
        <f t="shared" ca="1" si="0"/>
        <v>1.5E-3</v>
      </c>
      <c r="I65" s="1367" t="s">
        <v>867</v>
      </c>
      <c r="J65" s="610">
        <v>40</v>
      </c>
      <c r="K65" s="610">
        <v>30</v>
      </c>
      <c r="L65" s="610">
        <v>50</v>
      </c>
      <c r="M65" s="1369">
        <v>0.02</v>
      </c>
      <c r="O65" s="1325" t="s">
        <v>403</v>
      </c>
      <c r="P65" s="1326" t="s">
        <v>868</v>
      </c>
      <c r="Q65" s="1327">
        <f ca="1">C40+J29</f>
        <v>835899</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-6461</v>
      </c>
      <c r="D67" s="909" t="s">
        <v>753</v>
      </c>
      <c r="E67" s="914"/>
      <c r="F67" s="915"/>
      <c r="O67" s="1334" t="s">
        <v>405</v>
      </c>
      <c r="P67" s="1326" t="s">
        <v>850</v>
      </c>
      <c r="Q67" s="1370">
        <f ca="1">L51</f>
        <v>367313</v>
      </c>
      <c r="R67" s="1327" t="s">
        <v>870</v>
      </c>
    </row>
    <row r="68" spans="1:18" s="1292" customFormat="1" ht="16.2" thickBot="1">
      <c r="A68" s="893" t="s">
        <v>395</v>
      </c>
      <c r="B68" s="894" t="s">
        <v>774</v>
      </c>
      <c r="C68" s="293">
        <f ca="1">ROUND(C67*(1-((1+F70)/(1+F68))^F69)/(F68-F70),0)</f>
        <v>-94528</v>
      </c>
      <c r="D68" s="911" t="s">
        <v>758</v>
      </c>
      <c r="E68" s="896" t="s">
        <v>759</v>
      </c>
      <c r="F68" s="304">
        <f ca="1">F40</f>
        <v>0.06</v>
      </c>
      <c r="O68" s="1334" t="s">
        <v>406</v>
      </c>
      <c r="P68" s="1371" t="s">
        <v>871</v>
      </c>
      <c r="Q68" s="1327">
        <f ca="1">ROUND(Q69-Q70*Q71,0)</f>
        <v>19943</v>
      </c>
      <c r="R68" s="1327" t="s">
        <v>414</v>
      </c>
    </row>
    <row r="69" spans="1:18" s="1292" customFormat="1" ht="13.8" thickBot="1">
      <c r="A69" s="897"/>
      <c r="B69" s="898"/>
      <c r="C69" s="298"/>
      <c r="D69" s="916" t="s">
        <v>762</v>
      </c>
      <c r="E69" s="896" t="s">
        <v>763</v>
      </c>
      <c r="F69" s="324">
        <f ca="1">F41</f>
        <v>36.08</v>
      </c>
      <c r="O69" s="1334" t="s">
        <v>411</v>
      </c>
      <c r="P69" s="1371" t="s">
        <v>872</v>
      </c>
      <c r="Q69" s="1327">
        <f ca="1">C39</f>
        <v>57134</v>
      </c>
      <c r="R69" s="1327" t="s">
        <v>818</v>
      </c>
    </row>
    <row r="70" spans="1:18" s="1292" customFormat="1" ht="13.8" thickBot="1">
      <c r="A70" s="900"/>
      <c r="B70" s="901"/>
      <c r="C70" s="302"/>
      <c r="D70" s="912"/>
      <c r="E70" s="896" t="s">
        <v>766</v>
      </c>
      <c r="F70" s="991"/>
      <c r="O70" s="1334" t="s">
        <v>412</v>
      </c>
      <c r="P70" s="1371" t="s">
        <v>873</v>
      </c>
      <c r="Q70" s="1327">
        <f ca="1">C13</f>
        <v>495879</v>
      </c>
      <c r="R70" s="1327" t="s">
        <v>818</v>
      </c>
    </row>
    <row r="71" spans="1:18" s="1292" customFormat="1" ht="13.8" thickBot="1">
      <c r="A71" s="917" t="s">
        <v>396</v>
      </c>
      <c r="B71" s="918" t="s">
        <v>776</v>
      </c>
      <c r="C71" s="327">
        <f ca="1">ROUND(C68*10000/F71,0)</f>
        <v>-2756</v>
      </c>
      <c r="D71" s="919" t="s">
        <v>777</v>
      </c>
      <c r="E71" s="920" t="s">
        <v>778</v>
      </c>
      <c r="F71" s="330">
        <f ca="1">F43</f>
        <v>343024.03999999992</v>
      </c>
      <c r="O71" s="1334" t="s">
        <v>413</v>
      </c>
      <c r="P71" s="1371" t="s">
        <v>874</v>
      </c>
      <c r="Q71" s="1337">
        <f ca="1">C76</f>
        <v>7.4999999999999997E-2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37191</v>
      </c>
      <c r="D75" s="1292"/>
      <c r="E75" s="1292"/>
      <c r="F75" s="1292"/>
      <c r="K75" s="1309"/>
      <c r="L75" s="1292"/>
      <c r="O75" s="1325" t="s">
        <v>409</v>
      </c>
      <c r="P75" s="1326" t="s">
        <v>838</v>
      </c>
      <c r="Q75" s="1327">
        <f ca="1">Q65+Q66</f>
        <v>835899</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0.34899999999999998</v>
      </c>
    </row>
    <row r="80" spans="1:18">
      <c r="B80" s="331" t="s">
        <v>800</v>
      </c>
      <c r="C80" s="266">
        <f ca="1">ROUND(C75/C39,3)</f>
        <v>0.65100000000000002</v>
      </c>
    </row>
    <row r="81" spans="2:3">
      <c r="B81" s="262" t="s">
        <v>801</v>
      </c>
      <c r="C81" s="230"/>
    </row>
    <row r="82" spans="2:3">
      <c r="B82" s="265" t="s">
        <v>802</v>
      </c>
      <c r="C82" s="267">
        <f ca="1">1-C83</f>
        <v>0.40700000000000003</v>
      </c>
    </row>
    <row r="83" spans="2:3">
      <c r="B83" s="265" t="s">
        <v>803</v>
      </c>
      <c r="C83" s="266">
        <f ca="1">ROUND(C13/C40,3)</f>
        <v>0.59299999999999997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1" t="s">
        <v>694</v>
      </c>
      <c r="C6" s="1011">
        <f ca="1">ROUND(F6*F8*F7*(1-F9),0)</f>
        <v>0</v>
      </c>
      <c r="D6" s="147" t="s">
        <v>2105</v>
      </c>
      <c r="E6" s="294" t="s">
        <v>696</v>
      </c>
      <c r="F6" s="295">
        <f ca="1">INDIRECT("'数据-取费表'!u"&amp;$G$1)</f>
        <v>0</v>
      </c>
      <c r="G6" s="1292"/>
      <c r="H6" s="1006" t="s">
        <v>398</v>
      </c>
      <c r="I6" s="3411" t="s">
        <v>694</v>
      </c>
      <c r="J6" s="293">
        <f ca="1">ROUND(M6*M8*M7*(1-M9),0)</f>
        <v>0</v>
      </c>
      <c r="K6" s="1284" t="s">
        <v>2106</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0</v>
      </c>
      <c r="G7" s="1292"/>
      <c r="H7" s="296"/>
      <c r="I7" s="3412"/>
      <c r="J7" s="298"/>
      <c r="K7" s="299"/>
      <c r="L7" s="294" t="s">
        <v>697</v>
      </c>
      <c r="M7" s="295">
        <f ca="1">F7</f>
        <v>0</v>
      </c>
    </row>
    <row r="8" spans="1:37" ht="18" customHeight="1">
      <c r="A8" s="296"/>
      <c r="B8" s="3412"/>
      <c r="C8" s="298"/>
      <c r="D8" s="299"/>
      <c r="E8" s="294" t="s">
        <v>698</v>
      </c>
      <c r="F8" s="295">
        <f ca="1">INDIRECT("'数据-取费表'!ai"&amp;$G$1)</f>
        <v>0</v>
      </c>
      <c r="G8" s="1292"/>
      <c r="H8" s="296"/>
      <c r="I8" s="3412"/>
      <c r="J8" s="298"/>
      <c r="K8" s="299"/>
      <c r="L8" s="294" t="s">
        <v>698</v>
      </c>
      <c r="M8" s="295">
        <f ca="1">INDIRECT("'数据-取费表'!ai"&amp;$G$1)</f>
        <v>0</v>
      </c>
    </row>
    <row r="9" spans="1:37" ht="18" customHeight="1">
      <c r="A9" s="296"/>
      <c r="B9" s="3413"/>
      <c r="C9" s="298"/>
      <c r="D9" s="299"/>
      <c r="E9" s="294" t="s">
        <v>699</v>
      </c>
      <c r="F9" s="304">
        <f ca="1">INDIRECT("'数据-取费表'!w"&amp;$G$1)</f>
        <v>0</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t="e">
        <f ca="1">ROUND((C68-C40)/10000,4)</f>
        <v>#DIV/0!</v>
      </c>
      <c r="D45" s="3130"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3356</v>
      </c>
      <c r="E2" s="3139"/>
      <c r="F2" s="2597"/>
      <c r="G2" s="2598"/>
      <c r="H2" s="2599"/>
      <c r="I2" s="2600"/>
      <c r="J2" s="3420" t="s">
        <v>2316</v>
      </c>
      <c r="K2" s="3421"/>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22" t="s">
        <v>2326</v>
      </c>
      <c r="K3" s="3423"/>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22" t="s">
        <v>2328</v>
      </c>
      <c r="K4" s="3423"/>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28" t="s">
        <v>2332</v>
      </c>
      <c r="B6" s="3429"/>
      <c r="C6" s="3430"/>
      <c r="D6" s="2621"/>
      <c r="E6" s="2622"/>
      <c r="F6" s="2623"/>
      <c r="G6" s="2624"/>
      <c r="H6" s="2599"/>
      <c r="I6" s="2600"/>
      <c r="J6" s="3414">
        <v>1</v>
      </c>
      <c r="K6" s="3415"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14"/>
      <c r="K7" s="3416"/>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31" t="s">
        <v>2346</v>
      </c>
      <c r="C8" s="3432"/>
      <c r="D8" s="2640" t="s">
        <v>2347</v>
      </c>
      <c r="E8" s="2641" t="s">
        <v>2348</v>
      </c>
      <c r="F8" s="2642" t="s">
        <v>2349</v>
      </c>
      <c r="G8" s="2643"/>
      <c r="H8" s="2599"/>
      <c r="I8" s="2600"/>
      <c r="J8" s="3414"/>
      <c r="K8" s="3416"/>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31" t="s">
        <v>2352</v>
      </c>
      <c r="C9" s="3432"/>
      <c r="D9" s="2640">
        <f>ROUND(D6*E9,0)</f>
        <v>0</v>
      </c>
      <c r="E9" s="2644"/>
      <c r="F9" s="2645" t="s">
        <v>2353</v>
      </c>
      <c r="G9" s="2624"/>
      <c r="H9" s="2599"/>
      <c r="I9" s="2600"/>
      <c r="J9" s="3414"/>
      <c r="K9" s="3416"/>
      <c r="L9" s="2634" t="s">
        <v>2354</v>
      </c>
      <c r="M9" s="2635"/>
      <c r="N9" s="2611"/>
      <c r="O9" s="2636"/>
      <c r="P9" s="2636"/>
      <c r="Q9" s="2637">
        <v>365</v>
      </c>
      <c r="R9" s="2638">
        <f t="shared" si="0"/>
        <v>0</v>
      </c>
      <c r="S9" s="2592"/>
      <c r="T9" s="2592"/>
      <c r="U9" s="2592"/>
      <c r="V9" s="2600"/>
    </row>
    <row r="10" spans="1:22" s="2604" customFormat="1" ht="13.2" customHeight="1">
      <c r="A10" s="2639">
        <v>2</v>
      </c>
      <c r="B10" s="3431" t="s">
        <v>2355</v>
      </c>
      <c r="C10" s="3432"/>
      <c r="D10" s="2640">
        <f>ROUND(D6*E10,0)</f>
        <v>0</v>
      </c>
      <c r="E10" s="2644"/>
      <c r="F10" s="2645" t="s">
        <v>2356</v>
      </c>
      <c r="G10" s="2624"/>
      <c r="H10" s="2599"/>
      <c r="I10" s="2600"/>
      <c r="J10" s="3414"/>
      <c r="K10" s="3416"/>
      <c r="L10" s="2634" t="s">
        <v>2357</v>
      </c>
      <c r="M10" s="2635"/>
      <c r="N10" s="2611"/>
      <c r="O10" s="2636"/>
      <c r="P10" s="2636"/>
      <c r="Q10" s="2637">
        <v>365</v>
      </c>
      <c r="R10" s="2638">
        <f t="shared" si="0"/>
        <v>0</v>
      </c>
      <c r="S10" s="2592"/>
      <c r="T10" s="2592"/>
      <c r="U10" s="2592"/>
      <c r="V10" s="2600"/>
    </row>
    <row r="11" spans="1:22" s="2604" customFormat="1" ht="13.2" customHeight="1">
      <c r="A11" s="2639">
        <v>3</v>
      </c>
      <c r="B11" s="3431" t="s">
        <v>2358</v>
      </c>
      <c r="C11" s="3432"/>
      <c r="D11" s="2640">
        <f>D12+D14+D15+D16</f>
        <v>0</v>
      </c>
      <c r="E11" s="2646" t="e">
        <f>D11/D6</f>
        <v>#DIV/0!</v>
      </c>
      <c r="F11" s="2642"/>
      <c r="G11" s="2643"/>
      <c r="H11" s="2599"/>
      <c r="I11" s="2600"/>
      <c r="J11" s="3414"/>
      <c r="K11" s="3416"/>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24" t="s">
        <v>2361</v>
      </c>
      <c r="C12" s="3425"/>
      <c r="D12" s="2648">
        <f>ROUND(D13*1.2%*(1-30%),0)</f>
        <v>0</v>
      </c>
      <c r="E12" s="2649">
        <v>1.2E-2</v>
      </c>
      <c r="F12" s="2642" t="s">
        <v>2362</v>
      </c>
      <c r="G12" s="2643"/>
      <c r="H12" s="2599"/>
      <c r="I12" s="2600"/>
      <c r="J12" s="3414"/>
      <c r="K12" s="3416"/>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14"/>
      <c r="K13" s="3416"/>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24" t="s">
        <v>2367</v>
      </c>
      <c r="C14" s="3425"/>
      <c r="D14" s="2648">
        <f>ROUND(E14*B5/10000,0)</f>
        <v>0</v>
      </c>
      <c r="E14" s="2637"/>
      <c r="F14" s="2642" t="s">
        <v>2368</v>
      </c>
      <c r="G14" s="2643"/>
      <c r="H14" s="2599"/>
      <c r="I14" s="2600"/>
      <c r="J14" s="3414"/>
      <c r="K14" s="3417"/>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24" t="s">
        <v>2371</v>
      </c>
      <c r="C15" s="3425"/>
      <c r="D15" s="2648">
        <f>ROUND(D6*E15,0)</f>
        <v>0</v>
      </c>
      <c r="E15" s="2649">
        <v>5.5E-2</v>
      </c>
      <c r="F15" s="2642" t="s">
        <v>2372</v>
      </c>
      <c r="G15" s="2624"/>
      <c r="H15" s="2599"/>
      <c r="I15" s="2600"/>
      <c r="J15" s="3414">
        <v>2</v>
      </c>
      <c r="K15" s="3415"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24" t="s">
        <v>2380</v>
      </c>
      <c r="C16" s="3425"/>
      <c r="D16" s="2659">
        <f>D6*E16</f>
        <v>0</v>
      </c>
      <c r="E16" s="2660"/>
      <c r="F16" s="2645" t="s">
        <v>2381</v>
      </c>
      <c r="G16" s="2624"/>
      <c r="H16" s="2599"/>
      <c r="I16" s="2600"/>
      <c r="J16" s="3414"/>
      <c r="K16" s="3416"/>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26" t="s">
        <v>2383</v>
      </c>
      <c r="C17" s="3427"/>
      <c r="D17" s="2662">
        <f>ROUND(D6*E17,0)</f>
        <v>0</v>
      </c>
      <c r="E17" s="2663"/>
      <c r="F17" s="2664" t="s">
        <v>2384</v>
      </c>
      <c r="G17" s="2624"/>
      <c r="H17" s="2599"/>
      <c r="I17" s="2600"/>
      <c r="J17" s="3414"/>
      <c r="K17" s="3416"/>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14"/>
      <c r="K18" s="3416"/>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14"/>
      <c r="K19" s="3417"/>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14">
        <v>3</v>
      </c>
      <c r="K20" s="3415"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14"/>
      <c r="K21" s="3416"/>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14"/>
      <c r="K22" s="3416"/>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14"/>
      <c r="K23" s="3416"/>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14"/>
      <c r="K24" s="3417"/>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18">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1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20" t="s">
        <v>2316</v>
      </c>
      <c r="K32" s="3421"/>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22" t="s">
        <v>2326</v>
      </c>
      <c r="K33" s="3423"/>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22" t="s">
        <v>2328</v>
      </c>
      <c r="K34" s="3423"/>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14">
        <v>1</v>
      </c>
      <c r="K36" s="3415"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14"/>
      <c r="K37" s="3416"/>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14"/>
      <c r="K38" s="3416"/>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14"/>
      <c r="K39" s="3416"/>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14"/>
      <c r="K40" s="3417"/>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18">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1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1657</v>
      </c>
      <c r="B1" s="1726"/>
      <c r="C1" s="1726"/>
      <c r="D1" s="1726"/>
      <c r="E1" s="1727"/>
      <c r="F1" s="2479"/>
      <c r="G1" s="459"/>
      <c r="H1" s="459"/>
      <c r="I1" s="459"/>
      <c r="J1" s="459"/>
      <c r="K1" s="459"/>
      <c r="L1" s="459"/>
      <c r="M1" s="459"/>
      <c r="N1" s="459"/>
      <c r="O1" s="459"/>
      <c r="P1" s="459"/>
      <c r="Q1" s="459"/>
      <c r="R1" s="459"/>
      <c r="S1" s="459"/>
    </row>
    <row r="2" spans="1:22" ht="15.6">
      <c r="A2" s="1728" t="s">
        <v>1461</v>
      </c>
      <c r="B2" s="811">
        <f ca="1">SUMIF(B6:B13,"&lt;&gt;#ref!",B6:B13)</f>
        <v>852675</v>
      </c>
      <c r="C2" s="1729" t="s">
        <v>1650</v>
      </c>
      <c r="D2" s="1730" t="s">
        <v>1651</v>
      </c>
      <c r="E2" s="2392">
        <f>SUM(E6:E13)</f>
        <v>351565.2699999999</v>
      </c>
      <c r="F2" s="2479"/>
      <c r="G2" s="459"/>
      <c r="H2" s="459"/>
      <c r="I2" s="459"/>
      <c r="J2" s="459"/>
      <c r="K2" s="459"/>
      <c r="L2" s="459"/>
      <c r="M2" s="459"/>
      <c r="N2" s="459"/>
      <c r="O2" s="459"/>
      <c r="P2" s="459"/>
      <c r="Q2" s="459"/>
      <c r="R2" s="459"/>
      <c r="S2" s="459"/>
    </row>
    <row r="3" spans="1:22" ht="15.6">
      <c r="A3" s="1728" t="s">
        <v>686</v>
      </c>
      <c r="B3" s="2386">
        <f ca="1">ROUND(B2*10000/E2,0)</f>
        <v>24254</v>
      </c>
      <c r="C3" s="1729"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433" t="s">
        <v>1653</v>
      </c>
      <c r="C5" s="3434"/>
      <c r="D5" s="2480"/>
      <c r="E5" s="1731" t="s">
        <v>1654</v>
      </c>
      <c r="F5" s="129" t="s">
        <v>1655</v>
      </c>
      <c r="G5" s="459"/>
      <c r="H5" s="459"/>
      <c r="I5" s="459"/>
      <c r="J5" s="459"/>
      <c r="K5" s="459"/>
      <c r="L5" s="459"/>
      <c r="M5" s="459"/>
      <c r="N5" s="459"/>
      <c r="O5" s="459"/>
      <c r="P5" s="459"/>
      <c r="Q5" s="459"/>
      <c r="R5" s="459"/>
      <c r="S5" s="459"/>
    </row>
    <row r="6" spans="1:22" ht="14.4">
      <c r="A6" s="2389" t="str">
        <f>'数据-取费表'!AN6</f>
        <v>收益法</v>
      </c>
      <c r="B6" s="2387">
        <f ca="1">IF(F6="是",'数据-取费表'!AO6,0)</f>
        <v>852675</v>
      </c>
      <c r="C6" s="1729" t="s">
        <v>1650</v>
      </c>
      <c r="D6" s="2479"/>
      <c r="E6" s="2391">
        <f>IF(OR(A6=0,F6="否"),0,'数据-取费表'!K6+'数据-取费表'!S6)</f>
        <v>351565.2699999999</v>
      </c>
      <c r="F6" s="1732"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1650</v>
      </c>
      <c r="D7" s="2479"/>
      <c r="E7" s="2391">
        <f>IF(OR(A7=0,F7="否"),0,'数据-取费表'!K7+'数据-取费表'!S7)</f>
        <v>0</v>
      </c>
      <c r="F7" s="1732"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1650</v>
      </c>
      <c r="D8" s="2479"/>
      <c r="E8" s="2391">
        <f>IF(OR(A8=0,F8="否"),0,'数据-取费表'!K8+'数据-取费表'!S8)</f>
        <v>0</v>
      </c>
      <c r="F8" s="1732"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1650</v>
      </c>
      <c r="D9" s="2479"/>
      <c r="E9" s="2391">
        <f>IF(OR(A9=0,F9="否"),0,'数据-取费表'!K9+'数据-取费表'!S9)</f>
        <v>0</v>
      </c>
      <c r="F9" s="1732"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1650</v>
      </c>
      <c r="D10" s="2479"/>
      <c r="E10" s="2391">
        <f>IF(OR(A10=0,F10="否"),0,'数据-取费表'!K10+'数据-取费表'!S10)</f>
        <v>0</v>
      </c>
      <c r="F10" s="1732"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1650</v>
      </c>
      <c r="D11" s="2479"/>
      <c r="E11" s="2391">
        <f>IF(OR(A11=0,F11="否"),0,'数据-取费表'!K11+'数据-取费表'!S11)</f>
        <v>0</v>
      </c>
      <c r="F11" s="1732"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1650</v>
      </c>
      <c r="D12" s="2479"/>
      <c r="E12" s="2391">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1650</v>
      </c>
      <c r="D13" s="2481"/>
      <c r="E13" s="2391">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c r="E1" s="3124"/>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351565.27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1665</v>
      </c>
      <c r="B4" s="346"/>
      <c r="C4" s="3453" t="s">
        <v>1666</v>
      </c>
      <c r="D4" s="3454"/>
      <c r="E4" s="3455" t="s">
        <v>1667</v>
      </c>
      <c r="F4" s="3456"/>
      <c r="G4" s="3453" t="s">
        <v>1668</v>
      </c>
      <c r="H4" s="3454"/>
      <c r="I4" s="3453" t="s">
        <v>1669</v>
      </c>
      <c r="J4" s="3454"/>
      <c r="K4" s="1744" t="s">
        <v>1670</v>
      </c>
      <c r="L4" s="2486"/>
      <c r="M4" s="2487"/>
      <c r="N4" s="2487"/>
      <c r="O4" s="2487"/>
      <c r="P4" s="3457" t="s">
        <v>1671</v>
      </c>
      <c r="Q4" s="3458"/>
      <c r="R4" s="3463" t="s">
        <v>1667</v>
      </c>
      <c r="S4" s="3464"/>
      <c r="T4" s="3463" t="s">
        <v>1668</v>
      </c>
      <c r="U4" s="3464"/>
      <c r="V4" s="3439" t="s">
        <v>1669</v>
      </c>
      <c r="W4" s="3439"/>
      <c r="X4" s="1265"/>
      <c r="Y4" s="3463" t="s">
        <v>1671</v>
      </c>
      <c r="Z4" s="3464"/>
      <c r="AA4" s="3450" t="s">
        <v>1667</v>
      </c>
      <c r="AB4" s="3450" t="s">
        <v>1668</v>
      </c>
      <c r="AC4" s="3450" t="s">
        <v>1669</v>
      </c>
    </row>
    <row r="5" spans="1:29">
      <c r="A5" s="348"/>
      <c r="B5" s="349"/>
      <c r="C5" s="3471" t="s">
        <v>1672</v>
      </c>
      <c r="D5" s="3472"/>
      <c r="E5" s="3478" t="s">
        <v>1673</v>
      </c>
      <c r="F5" s="3479"/>
      <c r="G5" s="3471" t="s">
        <v>1674</v>
      </c>
      <c r="H5" s="3472"/>
      <c r="I5" s="3471" t="s">
        <v>1675</v>
      </c>
      <c r="J5" s="3472"/>
      <c r="K5" s="1745"/>
      <c r="L5" s="2486"/>
      <c r="M5" s="2487"/>
      <c r="N5" s="2487"/>
      <c r="O5" s="2487"/>
      <c r="P5" s="3459"/>
      <c r="Q5" s="3460"/>
      <c r="R5" s="3465"/>
      <c r="S5" s="3466"/>
      <c r="T5" s="3465"/>
      <c r="U5" s="3466"/>
      <c r="V5" s="3439"/>
      <c r="W5" s="3439"/>
      <c r="X5" s="1265"/>
      <c r="Y5" s="3465"/>
      <c r="Z5" s="3466"/>
      <c r="AA5" s="3451"/>
      <c r="AB5" s="3451"/>
      <c r="AC5" s="3451"/>
    </row>
    <row r="6" spans="1:29" ht="15" thickBot="1">
      <c r="A6" s="350"/>
      <c r="B6" s="351"/>
      <c r="C6" s="3469" t="s">
        <v>1676</v>
      </c>
      <c r="D6" s="3470"/>
      <c r="E6" s="3476" t="s">
        <v>1676</v>
      </c>
      <c r="F6" s="3477"/>
      <c r="G6" s="3469" t="s">
        <v>1676</v>
      </c>
      <c r="H6" s="3470"/>
      <c r="I6" s="3469" t="s">
        <v>1676</v>
      </c>
      <c r="J6" s="3470"/>
      <c r="K6" s="1745" t="s">
        <v>1677</v>
      </c>
      <c r="L6" s="2486"/>
      <c r="M6" s="2487"/>
      <c r="N6" s="2487"/>
      <c r="O6" s="2487"/>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73" t="s">
        <v>1679</v>
      </c>
      <c r="Q7" s="3475"/>
      <c r="R7" s="664" t="s">
        <v>20</v>
      </c>
      <c r="S7" s="665">
        <f t="shared" ref="S7:S15" si="0">F7</f>
        <v>0</v>
      </c>
      <c r="T7" s="664" t="s">
        <v>20</v>
      </c>
      <c r="U7" s="665">
        <f t="shared" ref="U7:U15" si="1">H7</f>
        <v>0</v>
      </c>
      <c r="V7" s="664" t="s">
        <v>20</v>
      </c>
      <c r="W7" s="665">
        <f t="shared" ref="W7:W15" si="2">J7</f>
        <v>0</v>
      </c>
      <c r="X7" s="666"/>
      <c r="Y7" s="3473" t="s">
        <v>1679</v>
      </c>
      <c r="Z7" s="3474"/>
      <c r="AA7" s="50" t="e">
        <f>D7/F7</f>
        <v>#DIV/0!</v>
      </c>
      <c r="AB7" s="50" t="e">
        <f>D7/H7</f>
        <v>#DIV/0!</v>
      </c>
      <c r="AC7" s="50" t="e">
        <f>D7/J7</f>
        <v>#DIV/0!</v>
      </c>
    </row>
    <row r="8" spans="1:29" s="102" customFormat="1" ht="1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73" t="s">
        <v>1682</v>
      </c>
      <c r="Q8" s="3474"/>
      <c r="R8" s="664" t="s">
        <v>20</v>
      </c>
      <c r="S8" s="665">
        <f t="shared" si="0"/>
        <v>100</v>
      </c>
      <c r="T8" s="664" t="s">
        <v>20</v>
      </c>
      <c r="U8" s="665">
        <f t="shared" si="1"/>
        <v>100</v>
      </c>
      <c r="V8" s="664" t="s">
        <v>20</v>
      </c>
      <c r="W8" s="665">
        <f t="shared" si="2"/>
        <v>100</v>
      </c>
      <c r="X8" s="666"/>
      <c r="Y8" s="3473" t="s">
        <v>1682</v>
      </c>
      <c r="Z8" s="3474"/>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49"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49"/>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49"/>
      <c r="Q11" s="530" t="str">
        <f t="shared" si="6"/>
        <v>容积率</v>
      </c>
      <c r="R11" s="664" t="s">
        <v>18</v>
      </c>
      <c r="S11" s="665" t="e">
        <f t="shared" si="0"/>
        <v>#N/A</v>
      </c>
      <c r="T11" s="664" t="s">
        <v>18</v>
      </c>
      <c r="U11" s="665" t="e">
        <f t="shared" si="1"/>
        <v>#N/A</v>
      </c>
      <c r="V11" s="664" t="s">
        <v>18</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49"/>
      <c r="Q12" s="530">
        <f t="shared" si="6"/>
        <v>111</v>
      </c>
      <c r="R12" s="664" t="s">
        <v>18</v>
      </c>
      <c r="S12" s="665">
        <f t="shared" si="0"/>
        <v>100</v>
      </c>
      <c r="T12" s="664" t="s">
        <v>18</v>
      </c>
      <c r="U12" s="665">
        <f t="shared" si="1"/>
        <v>100</v>
      </c>
      <c r="V12" s="664" t="s">
        <v>18</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49"/>
      <c r="Q13" s="530">
        <f t="shared" si="6"/>
        <v>111</v>
      </c>
      <c r="R13" s="664" t="s">
        <v>18</v>
      </c>
      <c r="S13" s="665">
        <f t="shared" si="0"/>
        <v>100</v>
      </c>
      <c r="T13" s="664" t="s">
        <v>18</v>
      </c>
      <c r="U13" s="665">
        <f t="shared" si="1"/>
        <v>100</v>
      </c>
      <c r="V13" s="664" t="s">
        <v>18</v>
      </c>
      <c r="W13" s="665">
        <f t="shared" si="2"/>
        <v>100</v>
      </c>
      <c r="X13" s="666"/>
      <c r="Y13" s="329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49"/>
      <c r="Q14" s="530">
        <f t="shared" si="6"/>
        <v>111</v>
      </c>
      <c r="R14" s="664" t="s">
        <v>18</v>
      </c>
      <c r="S14" s="665">
        <f t="shared" si="0"/>
        <v>100</v>
      </c>
      <c r="T14" s="664" t="s">
        <v>18</v>
      </c>
      <c r="U14" s="665">
        <f t="shared" si="1"/>
        <v>100</v>
      </c>
      <c r="V14" s="664" t="s">
        <v>18</v>
      </c>
      <c r="W14" s="665">
        <f t="shared" si="2"/>
        <v>100</v>
      </c>
      <c r="X14" s="666"/>
      <c r="Y14" s="3294"/>
      <c r="Z14" s="50">
        <f t="shared" si="7"/>
        <v>111</v>
      </c>
      <c r="AA14" s="50">
        <f t="shared" si="3"/>
        <v>1</v>
      </c>
      <c r="AB14" s="50">
        <f t="shared" si="4"/>
        <v>1</v>
      </c>
      <c r="AC14" s="50">
        <f t="shared" si="5"/>
        <v>1</v>
      </c>
    </row>
    <row r="15" spans="1:29" ht="96.6">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7" t="s">
        <v>1690</v>
      </c>
      <c r="Q15" s="1263" t="str">
        <f t="shared" si="6"/>
        <v>居住社区成熟度</v>
      </c>
      <c r="R15" s="667" t="s">
        <v>18</v>
      </c>
      <c r="S15" s="668">
        <f t="shared" si="0"/>
        <v>100</v>
      </c>
      <c r="T15" s="667" t="s">
        <v>18</v>
      </c>
      <c r="U15" s="668">
        <f t="shared" si="1"/>
        <v>100</v>
      </c>
      <c r="V15" s="667" t="s">
        <v>18</v>
      </c>
      <c r="W15" s="668">
        <f t="shared" si="2"/>
        <v>100</v>
      </c>
      <c r="X15" s="1265"/>
      <c r="Y15" s="3440"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8"/>
      <c r="Q16" s="1263"/>
      <c r="R16" s="667"/>
      <c r="S16" s="668"/>
      <c r="T16" s="667"/>
      <c r="U16" s="668"/>
      <c r="V16" s="667"/>
      <c r="W16" s="668"/>
      <c r="X16" s="1265"/>
      <c r="Y16" s="3441"/>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8"/>
      <c r="Q17" s="1263" t="str">
        <f>B17</f>
        <v>交通便捷度</v>
      </c>
      <c r="R17" s="667" t="s">
        <v>18</v>
      </c>
      <c r="S17" s="668">
        <f>F17</f>
        <v>100</v>
      </c>
      <c r="T17" s="667" t="s">
        <v>18</v>
      </c>
      <c r="U17" s="668">
        <f>H17</f>
        <v>100</v>
      </c>
      <c r="V17" s="667" t="s">
        <v>18</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8"/>
      <c r="Q18" s="1263"/>
      <c r="R18" s="667"/>
      <c r="S18" s="668"/>
      <c r="T18" s="667"/>
      <c r="U18" s="668"/>
      <c r="V18" s="667"/>
      <c r="W18" s="668"/>
      <c r="X18" s="1265"/>
      <c r="Y18" s="3441"/>
      <c r="Z18" s="1264"/>
      <c r="AA18" s="1264">
        <v>1</v>
      </c>
      <c r="AB18" s="1264">
        <v>1</v>
      </c>
      <c r="AC18" s="1264">
        <v>1</v>
      </c>
    </row>
    <row r="19" spans="1:2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8"/>
      <c r="Q19" s="1263" t="str">
        <f>B19</f>
        <v>公共配套设施</v>
      </c>
      <c r="R19" s="667" t="s">
        <v>18</v>
      </c>
      <c r="S19" s="668">
        <f>F19</f>
        <v>100</v>
      </c>
      <c r="T19" s="667" t="s">
        <v>18</v>
      </c>
      <c r="U19" s="668">
        <f>H19</f>
        <v>100</v>
      </c>
      <c r="V19" s="667" t="s">
        <v>18</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8"/>
      <c r="Q20" s="1263"/>
      <c r="R20" s="667"/>
      <c r="S20" s="668"/>
      <c r="T20" s="667"/>
      <c r="U20" s="668"/>
      <c r="V20" s="667"/>
      <c r="W20" s="668"/>
      <c r="X20" s="1265"/>
      <c r="Y20" s="3441"/>
      <c r="Z20" s="1264"/>
      <c r="AA20" s="1264">
        <v>1</v>
      </c>
      <c r="AB20" s="1264">
        <v>1</v>
      </c>
      <c r="AC20" s="1264">
        <v>1</v>
      </c>
    </row>
    <row r="21" spans="1:2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8"/>
      <c r="Q22" s="1263"/>
      <c r="R22" s="667"/>
      <c r="S22" s="668"/>
      <c r="T22" s="667"/>
      <c r="U22" s="668"/>
      <c r="V22" s="667"/>
      <c r="W22" s="668"/>
      <c r="X22" s="1265"/>
      <c r="Y22" s="3441"/>
      <c r="Z22" s="1264"/>
      <c r="AA22" s="1264">
        <v>1</v>
      </c>
      <c r="AB22" s="1264">
        <v>1</v>
      </c>
      <c r="AC22" s="1264">
        <v>1</v>
      </c>
    </row>
    <row r="23" spans="1:29" ht="55.2">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8"/>
      <c r="Q23" s="1263" t="str">
        <f>B23</f>
        <v>自然及人文环境</v>
      </c>
      <c r="R23" s="667" t="s">
        <v>18</v>
      </c>
      <c r="S23" s="668">
        <f>F23</f>
        <v>100</v>
      </c>
      <c r="T23" s="667" t="s">
        <v>18</v>
      </c>
      <c r="U23" s="668">
        <f>H23</f>
        <v>100</v>
      </c>
      <c r="V23" s="667" t="s">
        <v>18</v>
      </c>
      <c r="W23" s="668">
        <f>J23</f>
        <v>100</v>
      </c>
      <c r="X23" s="1265"/>
      <c r="Y23" s="344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8"/>
      <c r="Q24" s="1263"/>
      <c r="R24" s="667"/>
      <c r="S24" s="668"/>
      <c r="T24" s="667"/>
      <c r="U24" s="668"/>
      <c r="V24" s="667"/>
      <c r="W24" s="668"/>
      <c r="X24" s="1265"/>
      <c r="Y24" s="3441"/>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1"/>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8"/>
      <c r="Q26" s="1263" t="str">
        <f t="shared" si="11"/>
        <v>朝向</v>
      </c>
      <c r="R26" s="667" t="s">
        <v>18</v>
      </c>
      <c r="S26" s="668">
        <f t="shared" si="12"/>
        <v>100</v>
      </c>
      <c r="T26" s="667" t="s">
        <v>18</v>
      </c>
      <c r="U26" s="668">
        <f t="shared" si="13"/>
        <v>100</v>
      </c>
      <c r="V26" s="667" t="s">
        <v>18</v>
      </c>
      <c r="W26" s="668">
        <f t="shared" si="14"/>
        <v>100</v>
      </c>
      <c r="X26" s="1265"/>
      <c r="Y26" s="344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48"/>
      <c r="Q27" s="530">
        <f t="shared" si="11"/>
        <v>111</v>
      </c>
      <c r="R27" s="664" t="s">
        <v>18</v>
      </c>
      <c r="S27" s="665">
        <f t="shared" si="12"/>
        <v>100</v>
      </c>
      <c r="T27" s="664" t="s">
        <v>18</v>
      </c>
      <c r="U27" s="665">
        <f t="shared" si="13"/>
        <v>100</v>
      </c>
      <c r="V27" s="664" t="s">
        <v>18</v>
      </c>
      <c r="W27" s="665">
        <f t="shared" si="14"/>
        <v>100</v>
      </c>
      <c r="X27" s="666"/>
      <c r="Y27" s="344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8"/>
      <c r="Q28" s="1263">
        <f t="shared" si="11"/>
        <v>111</v>
      </c>
      <c r="R28" s="667" t="s">
        <v>18</v>
      </c>
      <c r="S28" s="668">
        <f t="shared" si="12"/>
        <v>100</v>
      </c>
      <c r="T28" s="667" t="s">
        <v>18</v>
      </c>
      <c r="U28" s="668">
        <f t="shared" si="13"/>
        <v>100</v>
      </c>
      <c r="V28" s="667" t="s">
        <v>18</v>
      </c>
      <c r="W28" s="668">
        <f t="shared" si="14"/>
        <v>100</v>
      </c>
      <c r="X28" s="1265"/>
      <c r="Y28" s="344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8"/>
      <c r="Q29" s="1263">
        <f t="shared" si="11"/>
        <v>111</v>
      </c>
      <c r="R29" s="667" t="s">
        <v>18</v>
      </c>
      <c r="S29" s="668">
        <f t="shared" si="12"/>
        <v>100</v>
      </c>
      <c r="T29" s="667" t="s">
        <v>18</v>
      </c>
      <c r="U29" s="668">
        <f t="shared" si="13"/>
        <v>100</v>
      </c>
      <c r="V29" s="667" t="s">
        <v>18</v>
      </c>
      <c r="W29" s="668">
        <f t="shared" si="14"/>
        <v>100</v>
      </c>
      <c r="X29" s="1265"/>
      <c r="Y29" s="344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8"/>
      <c r="Q30" s="1263">
        <f t="shared" si="11"/>
        <v>111</v>
      </c>
      <c r="R30" s="667" t="s">
        <v>18</v>
      </c>
      <c r="S30" s="668">
        <f t="shared" si="12"/>
        <v>100</v>
      </c>
      <c r="T30" s="667" t="s">
        <v>18</v>
      </c>
      <c r="U30" s="668">
        <f t="shared" si="13"/>
        <v>100</v>
      </c>
      <c r="V30" s="667" t="s">
        <v>18</v>
      </c>
      <c r="W30" s="668">
        <f t="shared" si="14"/>
        <v>100</v>
      </c>
      <c r="X30" s="1265"/>
      <c r="Y30" s="344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8"/>
      <c r="Q31" s="1263">
        <f t="shared" si="11"/>
        <v>111</v>
      </c>
      <c r="R31" s="667" t="s">
        <v>18</v>
      </c>
      <c r="S31" s="668">
        <f t="shared" si="12"/>
        <v>100</v>
      </c>
      <c r="T31" s="667" t="s">
        <v>18</v>
      </c>
      <c r="U31" s="668">
        <f t="shared" si="13"/>
        <v>100</v>
      </c>
      <c r="V31" s="667" t="s">
        <v>18</v>
      </c>
      <c r="W31" s="668">
        <f t="shared" si="14"/>
        <v>100</v>
      </c>
      <c r="X31" s="1265"/>
      <c r="Y31" s="3441"/>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2" t="s">
        <v>1695</v>
      </c>
      <c r="Q32" s="1263" t="str">
        <f t="shared" si="11"/>
        <v>建筑类型</v>
      </c>
      <c r="R32" s="667" t="s">
        <v>18</v>
      </c>
      <c r="S32" s="668">
        <f t="shared" si="12"/>
        <v>100</v>
      </c>
      <c r="T32" s="667" t="s">
        <v>18</v>
      </c>
      <c r="U32" s="668">
        <f t="shared" si="13"/>
        <v>100</v>
      </c>
      <c r="V32" s="667" t="s">
        <v>18</v>
      </c>
      <c r="W32" s="668">
        <f t="shared" si="14"/>
        <v>100</v>
      </c>
      <c r="X32" s="1265"/>
      <c r="Y32" s="3445"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3"/>
      <c r="Q33" s="531" t="str">
        <f t="shared" si="11"/>
        <v>项目建筑规模</v>
      </c>
      <c r="R33" s="669" t="s">
        <v>18</v>
      </c>
      <c r="S33" s="670" t="e">
        <f t="shared" si="12"/>
        <v>#N/A</v>
      </c>
      <c r="T33" s="669" t="s">
        <v>18</v>
      </c>
      <c r="U33" s="670" t="e">
        <f t="shared" si="13"/>
        <v>#N/A</v>
      </c>
      <c r="V33" s="669" t="s">
        <v>18</v>
      </c>
      <c r="W33" s="670" t="e">
        <f t="shared" si="14"/>
        <v>#N/A</v>
      </c>
      <c r="X33" s="671"/>
      <c r="Y33" s="3445"/>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3"/>
      <c r="Q34" s="1263" t="str">
        <f t="shared" si="11"/>
        <v>建筑结构</v>
      </c>
      <c r="R34" s="667" t="s">
        <v>18</v>
      </c>
      <c r="S34" s="668">
        <f t="shared" si="12"/>
        <v>100</v>
      </c>
      <c r="T34" s="667" t="s">
        <v>18</v>
      </c>
      <c r="U34" s="668">
        <f t="shared" si="13"/>
        <v>100</v>
      </c>
      <c r="V34" s="667" t="s">
        <v>18</v>
      </c>
      <c r="W34" s="668">
        <f t="shared" si="14"/>
        <v>100</v>
      </c>
      <c r="X34" s="1265"/>
      <c r="Y34" s="3445"/>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3"/>
      <c r="Q35" s="1263" t="str">
        <f t="shared" si="11"/>
        <v>建筑品质</v>
      </c>
      <c r="R35" s="667" t="s">
        <v>18</v>
      </c>
      <c r="S35" s="668">
        <f t="shared" si="12"/>
        <v>100</v>
      </c>
      <c r="T35" s="667" t="s">
        <v>18</v>
      </c>
      <c r="U35" s="668">
        <f t="shared" si="13"/>
        <v>100</v>
      </c>
      <c r="V35" s="667" t="s">
        <v>18</v>
      </c>
      <c r="W35" s="668">
        <f t="shared" si="14"/>
        <v>100</v>
      </c>
      <c r="X35" s="1265"/>
      <c r="Y35" s="3445"/>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3"/>
      <c r="Q36" s="1263" t="str">
        <f t="shared" si="11"/>
        <v>公共部分装修</v>
      </c>
      <c r="R36" s="667" t="s">
        <v>18</v>
      </c>
      <c r="S36" s="668">
        <f t="shared" si="12"/>
        <v>100</v>
      </c>
      <c r="T36" s="667" t="s">
        <v>18</v>
      </c>
      <c r="U36" s="668">
        <f t="shared" si="13"/>
        <v>100</v>
      </c>
      <c r="V36" s="667" t="s">
        <v>18</v>
      </c>
      <c r="W36" s="668">
        <f t="shared" si="14"/>
        <v>100</v>
      </c>
      <c r="X36" s="1265"/>
      <c r="Y36" s="3445"/>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43"/>
      <c r="Q37" s="530" t="str">
        <f t="shared" si="11"/>
        <v>成新度</v>
      </c>
      <c r="R37" s="664" t="s">
        <v>18</v>
      </c>
      <c r="S37" s="665" t="e">
        <f t="shared" si="12"/>
        <v>#N/A</v>
      </c>
      <c r="T37" s="664" t="s">
        <v>18</v>
      </c>
      <c r="U37" s="665" t="e">
        <f t="shared" si="13"/>
        <v>#N/A</v>
      </c>
      <c r="V37" s="664" t="s">
        <v>18</v>
      </c>
      <c r="W37" s="665" t="e">
        <f t="shared" si="14"/>
        <v>#N/A</v>
      </c>
      <c r="X37" s="666"/>
      <c r="Y37" s="3445"/>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3" t="s">
        <v>1695</v>
      </c>
      <c r="Q38" s="1263" t="str">
        <f t="shared" si="11"/>
        <v>物业管理</v>
      </c>
      <c r="R38" s="667" t="s">
        <v>18</v>
      </c>
      <c r="S38" s="668">
        <f t="shared" si="12"/>
        <v>100</v>
      </c>
      <c r="T38" s="667" t="s">
        <v>18</v>
      </c>
      <c r="U38" s="668">
        <f t="shared" si="13"/>
        <v>100</v>
      </c>
      <c r="V38" s="667" t="s">
        <v>18</v>
      </c>
      <c r="W38" s="668">
        <f t="shared" si="14"/>
        <v>100</v>
      </c>
      <c r="X38" s="1265"/>
      <c r="Y38" s="3445"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3"/>
      <c r="Q39" s="1263" t="str">
        <f t="shared" si="11"/>
        <v>市政基础设施</v>
      </c>
      <c r="R39" s="667" t="s">
        <v>18</v>
      </c>
      <c r="S39" s="668">
        <f t="shared" si="12"/>
        <v>100</v>
      </c>
      <c r="T39" s="667" t="s">
        <v>18</v>
      </c>
      <c r="U39" s="668">
        <f t="shared" si="13"/>
        <v>100</v>
      </c>
      <c r="V39" s="667" t="s">
        <v>18</v>
      </c>
      <c r="W39" s="668">
        <f t="shared" si="14"/>
        <v>100</v>
      </c>
      <c r="X39" s="1265"/>
      <c r="Y39" s="3445"/>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3"/>
      <c r="Q40" s="1263" t="str">
        <f t="shared" si="11"/>
        <v>房型</v>
      </c>
      <c r="R40" s="667" t="s">
        <v>18</v>
      </c>
      <c r="S40" s="668">
        <f t="shared" si="12"/>
        <v>100</v>
      </c>
      <c r="T40" s="667" t="s">
        <v>18</v>
      </c>
      <c r="U40" s="668">
        <f t="shared" si="13"/>
        <v>100</v>
      </c>
      <c r="V40" s="667" t="s">
        <v>18</v>
      </c>
      <c r="W40" s="668">
        <f t="shared" si="14"/>
        <v>100</v>
      </c>
      <c r="X40" s="1265"/>
      <c r="Y40" s="3445"/>
      <c r="Z40" s="1264" t="str">
        <f t="shared" si="18"/>
        <v>房型</v>
      </c>
      <c r="AA40" s="1264">
        <f t="shared" si="15"/>
        <v>1</v>
      </c>
      <c r="AB40" s="1264">
        <f t="shared" si="16"/>
        <v>1</v>
      </c>
      <c r="AC40" s="1264">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3"/>
      <c r="Q41" s="531" t="str">
        <f t="shared" si="11"/>
        <v>单套/主力户型建筑面积</v>
      </c>
      <c r="R41" s="669" t="s">
        <v>18</v>
      </c>
      <c r="S41" s="670">
        <f t="shared" si="12"/>
        <v>100</v>
      </c>
      <c r="T41" s="669" t="s">
        <v>18</v>
      </c>
      <c r="U41" s="670">
        <f t="shared" si="13"/>
        <v>100</v>
      </c>
      <c r="V41" s="669" t="s">
        <v>18</v>
      </c>
      <c r="W41" s="670">
        <f t="shared" si="14"/>
        <v>100</v>
      </c>
      <c r="X41" s="671"/>
      <c r="Y41" s="3445"/>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3"/>
      <c r="Q42" s="1263" t="str">
        <f t="shared" si="11"/>
        <v>内部装修</v>
      </c>
      <c r="R42" s="667" t="s">
        <v>18</v>
      </c>
      <c r="S42" s="668">
        <f t="shared" si="12"/>
        <v>100</v>
      </c>
      <c r="T42" s="667" t="s">
        <v>18</v>
      </c>
      <c r="U42" s="668">
        <f t="shared" si="13"/>
        <v>100</v>
      </c>
      <c r="V42" s="667" t="s">
        <v>18</v>
      </c>
      <c r="W42" s="668">
        <f t="shared" si="14"/>
        <v>100</v>
      </c>
      <c r="X42" s="1265"/>
      <c r="Y42" s="3445"/>
      <c r="Z42" s="1264" t="str">
        <f t="shared" si="18"/>
        <v>内部装修</v>
      </c>
      <c r="AA42" s="1264">
        <f t="shared" si="15"/>
        <v>1</v>
      </c>
      <c r="AB42" s="1264">
        <f t="shared" si="16"/>
        <v>1</v>
      </c>
      <c r="AC42" s="1264">
        <f t="shared" si="17"/>
        <v>1</v>
      </c>
    </row>
    <row r="43" spans="1:29" ht="28.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3"/>
      <c r="Q43" s="1263" t="str">
        <f t="shared" si="11"/>
        <v>内部装修维护情况</v>
      </c>
      <c r="R43" s="667" t="s">
        <v>18</v>
      </c>
      <c r="S43" s="668">
        <f t="shared" si="12"/>
        <v>100</v>
      </c>
      <c r="T43" s="667" t="s">
        <v>18</v>
      </c>
      <c r="U43" s="668">
        <f t="shared" si="13"/>
        <v>100</v>
      </c>
      <c r="V43" s="667" t="s">
        <v>18</v>
      </c>
      <c r="W43" s="668">
        <f t="shared" si="14"/>
        <v>100</v>
      </c>
      <c r="X43" s="1265"/>
      <c r="Y43" s="344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43"/>
      <c r="Q44" s="530">
        <f t="shared" si="11"/>
        <v>111</v>
      </c>
      <c r="R44" s="664" t="s">
        <v>18</v>
      </c>
      <c r="S44" s="665">
        <f t="shared" si="12"/>
        <v>100</v>
      </c>
      <c r="T44" s="664" t="s">
        <v>18</v>
      </c>
      <c r="U44" s="665">
        <f t="shared" si="13"/>
        <v>100</v>
      </c>
      <c r="V44" s="664" t="s">
        <v>18</v>
      </c>
      <c r="W44" s="665">
        <f t="shared" si="14"/>
        <v>100</v>
      </c>
      <c r="X44" s="666"/>
      <c r="Y44" s="344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3"/>
      <c r="Q45" s="1263">
        <f t="shared" si="11"/>
        <v>111</v>
      </c>
      <c r="R45" s="667" t="s">
        <v>18</v>
      </c>
      <c r="S45" s="668">
        <f t="shared" si="12"/>
        <v>100</v>
      </c>
      <c r="T45" s="667" t="s">
        <v>18</v>
      </c>
      <c r="U45" s="668">
        <f t="shared" si="13"/>
        <v>100</v>
      </c>
      <c r="V45" s="667" t="s">
        <v>18</v>
      </c>
      <c r="W45" s="668">
        <f t="shared" si="14"/>
        <v>100</v>
      </c>
      <c r="X45" s="1265"/>
      <c r="Y45" s="344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4"/>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4.4">
      <c r="A47" s="416" t="s">
        <v>1707</v>
      </c>
      <c r="B47" s="417"/>
      <c r="C47" s="1081" t="s">
        <v>16</v>
      </c>
      <c r="D47" s="418"/>
      <c r="E47" s="419"/>
      <c r="F47" s="420"/>
      <c r="G47" s="421"/>
      <c r="H47" s="422"/>
      <c r="I47" s="419"/>
      <c r="J47" s="422"/>
      <c r="K47" s="1767"/>
      <c r="L47" s="2494"/>
      <c r="M47" s="2487"/>
      <c r="N47" s="2487"/>
      <c r="O47" s="2487"/>
      <c r="P47" s="3438" t="str">
        <f>A47</f>
        <v>成交单价（元/平方米）</v>
      </c>
      <c r="Q47" s="3438"/>
      <c r="R47" s="3439">
        <f>E47</f>
        <v>0</v>
      </c>
      <c r="S47" s="3439"/>
      <c r="T47" s="3439">
        <f>G47</f>
        <v>0</v>
      </c>
      <c r="U47" s="3439"/>
      <c r="V47" s="3439">
        <f>I47</f>
        <v>0</v>
      </c>
      <c r="W47" s="3439"/>
      <c r="X47" s="385"/>
      <c r="Y47" s="673"/>
      <c r="Z47" s="385"/>
      <c r="AA47" s="385"/>
      <c r="AB47" s="385"/>
      <c r="AC47" s="385"/>
    </row>
    <row r="48" spans="1:29" ht="15" thickBot="1">
      <c r="A48" s="423" t="s">
        <v>1708</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 thickBot="1">
      <c r="A49" s="427" t="s">
        <v>1709</v>
      </c>
      <c r="B49" s="428"/>
      <c r="C49" s="1084" t="e">
        <f>R49</f>
        <v>#DIV/0!</v>
      </c>
      <c r="D49" s="351"/>
      <c r="E49" s="351"/>
      <c r="F49" s="351"/>
      <c r="G49" s="351"/>
      <c r="H49" s="351"/>
      <c r="I49" s="351"/>
      <c r="J49" s="351"/>
      <c r="K49" s="1768"/>
      <c r="L49" s="2494"/>
      <c r="M49" s="2487"/>
      <c r="N49" s="2487"/>
      <c r="O49" s="2487"/>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1713</v>
      </c>
      <c r="B57" s="385"/>
      <c r="C57" s="659"/>
      <c r="D57" s="659"/>
      <c r="E57" s="659"/>
      <c r="F57" s="660"/>
      <c r="G57" s="660"/>
      <c r="H57" s="659"/>
      <c r="I57" s="659"/>
      <c r="J57" s="659"/>
      <c r="K57" s="887"/>
      <c r="L57" s="888"/>
      <c r="M57" s="886"/>
      <c r="N57" s="886"/>
      <c r="O57" s="886"/>
      <c r="P57" s="1771"/>
      <c r="Q57" s="439"/>
    </row>
    <row r="58" spans="1:29" s="442" customFormat="1" ht="14.4">
      <c r="A58" s="440" t="s">
        <v>1714</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1715</v>
      </c>
      <c r="B60" s="450"/>
      <c r="C60" s="451"/>
      <c r="D60" s="452"/>
      <c r="E60" s="452"/>
      <c r="F60" s="452"/>
      <c r="G60" s="452"/>
      <c r="H60" s="452"/>
      <c r="I60" s="452"/>
      <c r="J60" s="452"/>
      <c r="K60" s="452"/>
      <c r="L60" s="452"/>
      <c r="M60" s="453"/>
      <c r="N60" s="452"/>
      <c r="O60" s="453"/>
      <c r="P60" s="1773"/>
      <c r="Q60" s="439"/>
    </row>
    <row r="61" spans="1:29" s="102" customFormat="1" ht="14.4">
      <c r="A61" s="455" t="s">
        <v>1716</v>
      </c>
      <c r="B61" s="444"/>
      <c r="C61" s="456" t="s">
        <v>1717</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1718</v>
      </c>
      <c r="B63" s="460" t="s">
        <v>1684</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1687</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1734</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1693</v>
      </c>
      <c r="B100" s="460" t="s">
        <v>1735</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6.2"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ht="14.4">
      <c r="B147" s="1781" t="s">
        <v>1763</v>
      </c>
    </row>
    <row r="148" spans="2:11" ht="14.4">
      <c r="B148" s="178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351565.27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57" t="s">
        <v>1774</v>
      </c>
      <c r="Q4" s="3458"/>
      <c r="R4" s="3463" t="s">
        <v>1770</v>
      </c>
      <c r="S4" s="3464"/>
      <c r="T4" s="3463" t="s">
        <v>1771</v>
      </c>
      <c r="U4" s="3464"/>
      <c r="V4" s="3439" t="s">
        <v>1772</v>
      </c>
      <c r="W4" s="3439"/>
      <c r="X4" s="1265"/>
      <c r="Y4" s="3463" t="s">
        <v>1774</v>
      </c>
      <c r="Z4" s="3464"/>
      <c r="AA4" s="3450" t="s">
        <v>1770</v>
      </c>
      <c r="AB4" s="3439" t="s">
        <v>1771</v>
      </c>
      <c r="AC4" s="3450" t="s">
        <v>1772</v>
      </c>
    </row>
    <row r="5" spans="1:29">
      <c r="A5" s="348"/>
      <c r="B5" s="349"/>
      <c r="C5" s="3471" t="s">
        <v>1672</v>
      </c>
      <c r="D5" s="3472"/>
      <c r="E5" s="3478" t="s">
        <v>1673</v>
      </c>
      <c r="F5" s="3479"/>
      <c r="G5" s="3471" t="s">
        <v>1674</v>
      </c>
      <c r="H5" s="3472"/>
      <c r="I5" s="3471" t="s">
        <v>1675</v>
      </c>
      <c r="J5" s="3472"/>
      <c r="K5" s="537"/>
      <c r="L5" s="2486"/>
      <c r="M5" s="2487"/>
      <c r="N5" s="2487"/>
      <c r="O5" s="2487"/>
      <c r="P5" s="3459"/>
      <c r="Q5" s="3460"/>
      <c r="R5" s="3465"/>
      <c r="S5" s="3466"/>
      <c r="T5" s="3465"/>
      <c r="U5" s="3466"/>
      <c r="V5" s="3439"/>
      <c r="W5" s="3439"/>
      <c r="X5" s="1265"/>
      <c r="Y5" s="3465"/>
      <c r="Z5" s="3466"/>
      <c r="AA5" s="3451"/>
      <c r="AB5" s="3439"/>
      <c r="AC5" s="3451"/>
    </row>
    <row r="6" spans="1:29" ht="15" thickBot="1">
      <c r="A6" s="350"/>
      <c r="B6" s="351"/>
      <c r="C6" s="3469" t="s">
        <v>1676</v>
      </c>
      <c r="D6" s="3470"/>
      <c r="E6" s="3476" t="s">
        <v>1676</v>
      </c>
      <c r="F6" s="3477"/>
      <c r="G6" s="3469" t="s">
        <v>1676</v>
      </c>
      <c r="H6" s="3470"/>
      <c r="I6" s="3469" t="s">
        <v>1676</v>
      </c>
      <c r="J6" s="3470"/>
      <c r="K6" s="537" t="s">
        <v>1677</v>
      </c>
      <c r="L6" s="2486"/>
      <c r="M6" s="2487"/>
      <c r="N6" s="2487"/>
      <c r="O6" s="2487"/>
      <c r="P6" s="3461"/>
      <c r="Q6" s="3462"/>
      <c r="R6" s="3465"/>
      <c r="S6" s="3466"/>
      <c r="T6" s="3467"/>
      <c r="U6" s="3468"/>
      <c r="V6" s="3439"/>
      <c r="W6" s="3439"/>
      <c r="X6" s="1265"/>
      <c r="Y6" s="3467"/>
      <c r="Z6" s="3468"/>
      <c r="AA6" s="3452"/>
      <c r="AB6" s="3439"/>
      <c r="AC6" s="3452"/>
    </row>
    <row r="7" spans="1:29" s="102" customFormat="1" ht="15" thickBot="1">
      <c r="A7" s="352" t="s">
        <v>1678</v>
      </c>
      <c r="B7" s="353"/>
      <c r="C7" s="354">
        <f>'数据-取费表'!B2</f>
        <v>45993</v>
      </c>
      <c r="D7" s="355">
        <v>100</v>
      </c>
      <c r="E7" s="356"/>
      <c r="F7" s="357">
        <f>SUMIF(58:58,YEAR(E7)&amp;"-"&amp;MONTH(E7),59:59)</f>
        <v>0</v>
      </c>
      <c r="G7" s="356"/>
      <c r="H7" s="355">
        <f>SUMIF(58:58,YEAR(G7)&amp;"-"&amp;MONTH(G7),59:59)</f>
        <v>0</v>
      </c>
      <c r="I7" s="356"/>
      <c r="J7" s="355">
        <f>SUMIF(58:58,YEAR(I7)&amp;"-"&amp;MONTH(I7),59:59)</f>
        <v>0</v>
      </c>
      <c r="K7" s="38"/>
      <c r="L7" s="2488"/>
      <c r="M7" s="2439"/>
      <c r="N7" s="2439"/>
      <c r="O7" s="2439"/>
      <c r="P7" s="3473" t="s">
        <v>1679</v>
      </c>
      <c r="Q7" s="3475"/>
      <c r="R7" s="664" t="s">
        <v>14</v>
      </c>
      <c r="S7" s="665">
        <f t="shared" ref="S7:S15" si="0">F7</f>
        <v>0</v>
      </c>
      <c r="T7" s="664" t="s">
        <v>14</v>
      </c>
      <c r="U7" s="665">
        <f t="shared" ref="U7:U15" si="1">H7</f>
        <v>0</v>
      </c>
      <c r="V7" s="664" t="s">
        <v>14</v>
      </c>
      <c r="W7" s="665">
        <f t="shared" ref="W7:W15" si="2">J7</f>
        <v>0</v>
      </c>
      <c r="X7" s="666"/>
      <c r="Y7" s="3473" t="s">
        <v>1679</v>
      </c>
      <c r="Z7" s="3474"/>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73" t="s">
        <v>1682</v>
      </c>
      <c r="Q8" s="3474"/>
      <c r="R8" s="664" t="s">
        <v>14</v>
      </c>
      <c r="S8" s="665">
        <f t="shared" si="0"/>
        <v>100</v>
      </c>
      <c r="T8" s="664" t="s">
        <v>14</v>
      </c>
      <c r="U8" s="665">
        <f t="shared" si="1"/>
        <v>100</v>
      </c>
      <c r="V8" s="664" t="s">
        <v>14</v>
      </c>
      <c r="W8" s="665">
        <f t="shared" si="2"/>
        <v>100</v>
      </c>
      <c r="X8" s="666"/>
      <c r="Y8" s="3473" t="s">
        <v>1682</v>
      </c>
      <c r="Z8" s="3474"/>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49"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49"/>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49"/>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49"/>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49"/>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49"/>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69">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7" t="s">
        <v>1690</v>
      </c>
      <c r="Q15" s="1263" t="str">
        <f t="shared" si="6"/>
        <v>商业繁华度</v>
      </c>
      <c r="R15" s="667" t="s">
        <v>14</v>
      </c>
      <c r="S15" s="668">
        <f t="shared" si="0"/>
        <v>100</v>
      </c>
      <c r="T15" s="667" t="s">
        <v>14</v>
      </c>
      <c r="U15" s="668">
        <f t="shared" si="1"/>
        <v>100</v>
      </c>
      <c r="V15" s="667" t="s">
        <v>14</v>
      </c>
      <c r="W15" s="668">
        <f t="shared" si="2"/>
        <v>100</v>
      </c>
      <c r="X15" s="1265"/>
      <c r="Y15" s="3440"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8"/>
      <c r="Q16" s="1263"/>
      <c r="R16" s="667"/>
      <c r="S16" s="668"/>
      <c r="T16" s="667"/>
      <c r="U16" s="668"/>
      <c r="V16" s="667"/>
      <c r="W16" s="668"/>
      <c r="X16" s="1265"/>
      <c r="Y16" s="3441"/>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8"/>
      <c r="Q18" s="1263"/>
      <c r="R18" s="667"/>
      <c r="S18" s="668"/>
      <c r="T18" s="667"/>
      <c r="U18" s="668"/>
      <c r="V18" s="667"/>
      <c r="W18" s="668"/>
      <c r="X18" s="1265"/>
      <c r="Y18" s="3441"/>
      <c r="Z18" s="1264"/>
      <c r="AA18" s="1264">
        <v>1</v>
      </c>
      <c r="AB18" s="1264">
        <v>1</v>
      </c>
      <c r="AC18" s="1264">
        <v>1</v>
      </c>
    </row>
    <row r="19" spans="1:29" ht="41.4">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8"/>
      <c r="Q20" s="1263"/>
      <c r="R20" s="667"/>
      <c r="S20" s="668"/>
      <c r="T20" s="667"/>
      <c r="U20" s="668"/>
      <c r="V20" s="667"/>
      <c r="W20" s="668"/>
      <c r="X20" s="1265"/>
      <c r="Y20" s="3441"/>
      <c r="Z20" s="1264"/>
      <c r="AA20" s="1264">
        <v>1</v>
      </c>
      <c r="AB20" s="1264">
        <v>1</v>
      </c>
      <c r="AC20" s="1264">
        <v>1</v>
      </c>
    </row>
    <row r="21" spans="1:29" ht="27.6">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8"/>
      <c r="Q22" s="1263"/>
      <c r="R22" s="667"/>
      <c r="S22" s="668"/>
      <c r="T22" s="667"/>
      <c r="U22" s="668"/>
      <c r="V22" s="667"/>
      <c r="W22" s="668"/>
      <c r="X22" s="1265"/>
      <c r="Y22" s="3441"/>
      <c r="Z22" s="1264"/>
      <c r="AA22" s="1264">
        <v>1</v>
      </c>
      <c r="AB22" s="1264">
        <v>1</v>
      </c>
      <c r="AC22" s="1264">
        <v>1</v>
      </c>
    </row>
    <row r="23" spans="1:29" ht="55.2">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8"/>
      <c r="Q23" s="1263" t="str">
        <f>B23</f>
        <v>自然及人文环境</v>
      </c>
      <c r="R23" s="667" t="s">
        <v>14</v>
      </c>
      <c r="S23" s="668">
        <f>F23</f>
        <v>100</v>
      </c>
      <c r="T23" s="667" t="s">
        <v>14</v>
      </c>
      <c r="U23" s="668">
        <f>H23</f>
        <v>100</v>
      </c>
      <c r="V23" s="667" t="s">
        <v>14</v>
      </c>
      <c r="W23" s="668">
        <f>J23</f>
        <v>100</v>
      </c>
      <c r="X23" s="1265"/>
      <c r="Y23" s="344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8"/>
      <c r="Q24" s="1263"/>
      <c r="R24" s="667"/>
      <c r="S24" s="668"/>
      <c r="T24" s="667"/>
      <c r="U24" s="668"/>
      <c r="V24" s="667"/>
      <c r="W24" s="668"/>
      <c r="X24" s="1265"/>
      <c r="Y24" s="3441"/>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8"/>
      <c r="Q25" s="1263" t="str">
        <f t="shared" ref="Q25:Q46" si="11">B25</f>
        <v>临街状况</v>
      </c>
      <c r="R25" s="667" t="s">
        <v>14</v>
      </c>
      <c r="S25" s="668">
        <f>F25</f>
        <v>100</v>
      </c>
      <c r="T25" s="667" t="s">
        <v>14</v>
      </c>
      <c r="U25" s="668">
        <f>H25</f>
        <v>100</v>
      </c>
      <c r="V25" s="667" t="s">
        <v>14</v>
      </c>
      <c r="W25" s="668">
        <f>J25</f>
        <v>100</v>
      </c>
      <c r="X25" s="1265"/>
      <c r="Y25" s="3441"/>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8"/>
      <c r="Q26" s="1263" t="str">
        <f t="shared" si="11"/>
        <v>平面位置/可视性</v>
      </c>
      <c r="R26" s="667" t="s">
        <v>14</v>
      </c>
      <c r="S26" s="668">
        <f>F26</f>
        <v>100</v>
      </c>
      <c r="T26" s="667" t="s">
        <v>14</v>
      </c>
      <c r="U26" s="668">
        <f>H26</f>
        <v>100</v>
      </c>
      <c r="V26" s="667" t="s">
        <v>14</v>
      </c>
      <c r="W26" s="668">
        <f>J26</f>
        <v>100</v>
      </c>
      <c r="X26" s="1265"/>
      <c r="Y26" s="3441"/>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8"/>
      <c r="Q27" s="530" t="str">
        <f t="shared" si="11"/>
        <v>人流量</v>
      </c>
      <c r="R27" s="664" t="s">
        <v>14</v>
      </c>
      <c r="S27" s="665">
        <f>F27</f>
        <v>100</v>
      </c>
      <c r="T27" s="664" t="s">
        <v>14</v>
      </c>
      <c r="U27" s="665">
        <f>H27</f>
        <v>100</v>
      </c>
      <c r="V27" s="664" t="s">
        <v>14</v>
      </c>
      <c r="W27" s="665">
        <f>J27</f>
        <v>100</v>
      </c>
      <c r="X27" s="666"/>
      <c r="Y27" s="3441"/>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8"/>
      <c r="Q29" s="1263">
        <f t="shared" si="11"/>
        <v>111</v>
      </c>
      <c r="R29" s="667" t="s">
        <v>14</v>
      </c>
      <c r="S29" s="668">
        <f t="shared" si="12"/>
        <v>100</v>
      </c>
      <c r="T29" s="667" t="s">
        <v>14</v>
      </c>
      <c r="U29" s="668">
        <f t="shared" si="13"/>
        <v>100</v>
      </c>
      <c r="V29" s="667" t="s">
        <v>14</v>
      </c>
      <c r="W29" s="668">
        <f t="shared" si="14"/>
        <v>100</v>
      </c>
      <c r="X29" s="1265"/>
      <c r="Y29" s="344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2" t="s">
        <v>1695</v>
      </c>
      <c r="Q32" s="1263" t="str">
        <f t="shared" si="11"/>
        <v>商业类型</v>
      </c>
      <c r="R32" s="667" t="s">
        <v>14</v>
      </c>
      <c r="S32" s="668">
        <f t="shared" si="12"/>
        <v>100</v>
      </c>
      <c r="T32" s="667" t="s">
        <v>14</v>
      </c>
      <c r="U32" s="668">
        <f t="shared" si="13"/>
        <v>100</v>
      </c>
      <c r="V32" s="667" t="s">
        <v>14</v>
      </c>
      <c r="W32" s="668">
        <f t="shared" si="14"/>
        <v>100</v>
      </c>
      <c r="X32" s="1265"/>
      <c r="Y32" s="3445"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3"/>
      <c r="Q33" s="531" t="str">
        <f t="shared" si="11"/>
        <v>项目建筑规模</v>
      </c>
      <c r="R33" s="669" t="s">
        <v>14</v>
      </c>
      <c r="S33" s="670" t="e">
        <f t="shared" si="12"/>
        <v>#N/A</v>
      </c>
      <c r="T33" s="669" t="s">
        <v>14</v>
      </c>
      <c r="U33" s="670" t="e">
        <f t="shared" si="13"/>
        <v>#N/A</v>
      </c>
      <c r="V33" s="669" t="s">
        <v>14</v>
      </c>
      <c r="W33" s="670" t="e">
        <f t="shared" si="14"/>
        <v>#N/A</v>
      </c>
      <c r="X33" s="671"/>
      <c r="Y33" s="3445"/>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3"/>
      <c r="Q34" s="1263" t="str">
        <f t="shared" si="11"/>
        <v>建筑结构</v>
      </c>
      <c r="R34" s="667" t="s">
        <v>14</v>
      </c>
      <c r="S34" s="668">
        <f t="shared" si="12"/>
        <v>100</v>
      </c>
      <c r="T34" s="667" t="s">
        <v>14</v>
      </c>
      <c r="U34" s="668">
        <f t="shared" si="13"/>
        <v>100</v>
      </c>
      <c r="V34" s="667" t="s">
        <v>14</v>
      </c>
      <c r="W34" s="668">
        <f t="shared" si="14"/>
        <v>100</v>
      </c>
      <c r="X34" s="1265"/>
      <c r="Y34" s="3445"/>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3"/>
      <c r="Q35" s="1263" t="str">
        <f t="shared" si="11"/>
        <v>公共部分装修</v>
      </c>
      <c r="R35" s="667" t="s">
        <v>14</v>
      </c>
      <c r="S35" s="668">
        <f t="shared" si="12"/>
        <v>100</v>
      </c>
      <c r="T35" s="667" t="s">
        <v>14</v>
      </c>
      <c r="U35" s="668">
        <f t="shared" si="13"/>
        <v>100</v>
      </c>
      <c r="V35" s="667" t="s">
        <v>14</v>
      </c>
      <c r="W35" s="668">
        <f t="shared" si="14"/>
        <v>100</v>
      </c>
      <c r="X35" s="1265"/>
      <c r="Y35" s="3445"/>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3"/>
      <c r="Q36" s="1263" t="str">
        <f t="shared" si="11"/>
        <v>成新度</v>
      </c>
      <c r="R36" s="667" t="s">
        <v>14</v>
      </c>
      <c r="S36" s="668" t="e">
        <f t="shared" si="12"/>
        <v>#N/A</v>
      </c>
      <c r="T36" s="667" t="s">
        <v>14</v>
      </c>
      <c r="U36" s="668" t="e">
        <f t="shared" si="13"/>
        <v>#N/A</v>
      </c>
      <c r="V36" s="667" t="s">
        <v>14</v>
      </c>
      <c r="W36" s="668" t="e">
        <f t="shared" si="14"/>
        <v>#N/A</v>
      </c>
      <c r="X36" s="1265"/>
      <c r="Y36" s="3445"/>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43"/>
      <c r="Q37" s="530" t="str">
        <f t="shared" si="11"/>
        <v>市政基础设施</v>
      </c>
      <c r="R37" s="664" t="s">
        <v>14</v>
      </c>
      <c r="S37" s="665">
        <f t="shared" si="12"/>
        <v>100</v>
      </c>
      <c r="T37" s="664" t="s">
        <v>14</v>
      </c>
      <c r="U37" s="665">
        <f t="shared" si="13"/>
        <v>100</v>
      </c>
      <c r="V37" s="664" t="s">
        <v>14</v>
      </c>
      <c r="W37" s="665">
        <f t="shared" si="14"/>
        <v>100</v>
      </c>
      <c r="X37" s="666"/>
      <c r="Y37" s="3445"/>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3" t="s">
        <v>1695</v>
      </c>
      <c r="Q38" s="1263" t="str">
        <f t="shared" si="11"/>
        <v>业态</v>
      </c>
      <c r="R38" s="667" t="s">
        <v>14</v>
      </c>
      <c r="S38" s="668">
        <f t="shared" si="12"/>
        <v>100</v>
      </c>
      <c r="T38" s="667" t="s">
        <v>14</v>
      </c>
      <c r="U38" s="668">
        <f t="shared" si="13"/>
        <v>100</v>
      </c>
      <c r="V38" s="667" t="s">
        <v>14</v>
      </c>
      <c r="W38" s="668">
        <f t="shared" si="14"/>
        <v>100</v>
      </c>
      <c r="X38" s="1265"/>
      <c r="Y38" s="3445"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3"/>
      <c r="Q39" s="1263" t="str">
        <f t="shared" si="11"/>
        <v>层高</v>
      </c>
      <c r="R39" s="667" t="s">
        <v>14</v>
      </c>
      <c r="S39" s="668">
        <f t="shared" si="12"/>
        <v>100</v>
      </c>
      <c r="T39" s="667" t="s">
        <v>14</v>
      </c>
      <c r="U39" s="668">
        <f t="shared" si="13"/>
        <v>100</v>
      </c>
      <c r="V39" s="667" t="s">
        <v>14</v>
      </c>
      <c r="W39" s="668">
        <f t="shared" si="14"/>
        <v>100</v>
      </c>
      <c r="X39" s="1265"/>
      <c r="Y39" s="3445"/>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3"/>
      <c r="Q40" s="1263" t="str">
        <f t="shared" si="11"/>
        <v>单套建筑面积</v>
      </c>
      <c r="R40" s="667" t="s">
        <v>14</v>
      </c>
      <c r="S40" s="668">
        <f t="shared" si="12"/>
        <v>100</v>
      </c>
      <c r="T40" s="667" t="s">
        <v>14</v>
      </c>
      <c r="U40" s="668">
        <f t="shared" si="13"/>
        <v>100</v>
      </c>
      <c r="V40" s="667" t="s">
        <v>14</v>
      </c>
      <c r="W40" s="668">
        <f t="shared" si="14"/>
        <v>100</v>
      </c>
      <c r="X40" s="1265"/>
      <c r="Y40" s="3445"/>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3"/>
      <c r="Q41" s="531" t="str">
        <f t="shared" si="11"/>
        <v>进深比</v>
      </c>
      <c r="R41" s="669" t="s">
        <v>14</v>
      </c>
      <c r="S41" s="670">
        <f t="shared" si="12"/>
        <v>100</v>
      </c>
      <c r="T41" s="669" t="s">
        <v>14</v>
      </c>
      <c r="U41" s="670">
        <f t="shared" si="13"/>
        <v>100</v>
      </c>
      <c r="V41" s="669" t="s">
        <v>14</v>
      </c>
      <c r="W41" s="670">
        <f t="shared" si="14"/>
        <v>100</v>
      </c>
      <c r="X41" s="671"/>
      <c r="Y41" s="3445"/>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3"/>
      <c r="Q42" s="1263" t="str">
        <f t="shared" si="11"/>
        <v>内部装修</v>
      </c>
      <c r="R42" s="667" t="s">
        <v>14</v>
      </c>
      <c r="S42" s="668">
        <f t="shared" si="12"/>
        <v>100</v>
      </c>
      <c r="T42" s="667" t="s">
        <v>14</v>
      </c>
      <c r="U42" s="668">
        <f t="shared" si="13"/>
        <v>100</v>
      </c>
      <c r="V42" s="667" t="s">
        <v>14</v>
      </c>
      <c r="W42" s="668">
        <f t="shared" si="14"/>
        <v>100</v>
      </c>
      <c r="X42" s="1265"/>
      <c r="Y42" s="3445"/>
      <c r="Z42" s="1264" t="str">
        <f t="shared" si="15"/>
        <v>内部装修</v>
      </c>
      <c r="AA42" s="1264">
        <f t="shared" si="3"/>
        <v>1</v>
      </c>
      <c r="AB42" s="1264">
        <f t="shared" si="4"/>
        <v>1</v>
      </c>
      <c r="AC42" s="1264">
        <f t="shared" si="5"/>
        <v>1</v>
      </c>
    </row>
    <row r="43" spans="1:29" ht="28.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3"/>
      <c r="Q43" s="1263" t="str">
        <f t="shared" si="11"/>
        <v>内部装修维护情况</v>
      </c>
      <c r="R43" s="667" t="s">
        <v>14</v>
      </c>
      <c r="S43" s="668">
        <f t="shared" si="12"/>
        <v>100</v>
      </c>
      <c r="T43" s="667" t="s">
        <v>14</v>
      </c>
      <c r="U43" s="668">
        <f t="shared" si="13"/>
        <v>100</v>
      </c>
      <c r="V43" s="667" t="s">
        <v>14</v>
      </c>
      <c r="W43" s="668">
        <f t="shared" si="14"/>
        <v>100</v>
      </c>
      <c r="X43" s="1265"/>
      <c r="Y43" s="344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3"/>
      <c r="Q44" s="530">
        <f t="shared" si="11"/>
        <v>111</v>
      </c>
      <c r="R44" s="664" t="s">
        <v>14</v>
      </c>
      <c r="S44" s="665">
        <f t="shared" si="12"/>
        <v>100</v>
      </c>
      <c r="T44" s="664" t="s">
        <v>14</v>
      </c>
      <c r="U44" s="665">
        <f t="shared" si="13"/>
        <v>100</v>
      </c>
      <c r="V44" s="664" t="s">
        <v>14</v>
      </c>
      <c r="W44" s="665">
        <f t="shared" si="14"/>
        <v>100</v>
      </c>
      <c r="X44" s="666"/>
      <c r="Y44" s="344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3"/>
      <c r="Q45" s="1263">
        <f t="shared" si="11"/>
        <v>111</v>
      </c>
      <c r="R45" s="667" t="s">
        <v>14</v>
      </c>
      <c r="S45" s="668">
        <f t="shared" si="12"/>
        <v>100</v>
      </c>
      <c r="T45" s="667" t="s">
        <v>14</v>
      </c>
      <c r="U45" s="668">
        <f t="shared" si="13"/>
        <v>100</v>
      </c>
      <c r="V45" s="667" t="s">
        <v>14</v>
      </c>
      <c r="W45" s="668">
        <f t="shared" si="14"/>
        <v>100</v>
      </c>
      <c r="X45" s="1265"/>
      <c r="Y45" s="344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4.4">
      <c r="A47" s="416" t="s">
        <v>1707</v>
      </c>
      <c r="B47" s="417"/>
      <c r="C47" s="1081" t="s">
        <v>0</v>
      </c>
      <c r="D47" s="418"/>
      <c r="E47" s="419"/>
      <c r="F47" s="420"/>
      <c r="G47" s="421"/>
      <c r="H47" s="422"/>
      <c r="I47" s="419"/>
      <c r="J47" s="422"/>
      <c r="K47" s="674"/>
      <c r="L47" s="2494"/>
      <c r="M47" s="2487"/>
      <c r="N47" s="2487"/>
      <c r="O47" s="2487"/>
      <c r="P47" s="3438" t="str">
        <f>A47</f>
        <v>成交单价（元/平方米）</v>
      </c>
      <c r="Q47" s="3438"/>
      <c r="R47" s="3439">
        <f>E47</f>
        <v>0</v>
      </c>
      <c r="S47" s="3439"/>
      <c r="T47" s="3439">
        <f>G47</f>
        <v>0</v>
      </c>
      <c r="U47" s="3439"/>
      <c r="V47" s="3439">
        <f>I47</f>
        <v>0</v>
      </c>
      <c r="W47" s="3439"/>
      <c r="X47" s="385"/>
      <c r="Y47" s="673"/>
      <c r="Z47" s="385"/>
      <c r="AA47" s="385"/>
      <c r="AB47" s="385"/>
      <c r="AC47" s="385"/>
    </row>
    <row r="48" spans="1:29" ht="15" thickBot="1">
      <c r="A48" s="423" t="s">
        <v>1792</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 thickBot="1">
      <c r="A49" s="427" t="s">
        <v>1793</v>
      </c>
      <c r="B49" s="428"/>
      <c r="C49" s="351" t="e">
        <f>R49</f>
        <v>#DIV/0!</v>
      </c>
      <c r="D49" s="351"/>
      <c r="E49" s="351"/>
      <c r="F49" s="351"/>
      <c r="G49" s="351"/>
      <c r="H49" s="351"/>
      <c r="I49" s="351"/>
      <c r="J49" s="351"/>
      <c r="K49" s="675"/>
      <c r="L49" s="2494"/>
      <c r="M49" s="2487"/>
      <c r="N49" s="2487"/>
      <c r="O49" s="2487"/>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1678</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受贵公司委托，我公司对北京市通州区尹各庄甲1号房地产抵押价值进行了预评估。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估价对象为北京市通州区尹各庄甲1号房地产，为汇天网络科技有限公司所有。根据《国有土地使用证》[]，估价对象（分摊）出让国有建设用地使用权面积为116233.68平方米，建筑面积为351565.27平方米。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尹各庄甲1号房地产,属汇天网络科技有限公司开发建设的，该项目尚在开发建设中。根据《国有土地使用证》[]，估价对象（分摊）出让国有建设用地使用权面积为116233.68平方米，规划建筑面积为351565.27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2025年12月2日（评估专业人员实地查勘之日）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8" t="s">
        <v>1809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351565.27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86" t="s">
        <v>1774</v>
      </c>
      <c r="Q4" s="3487"/>
      <c r="R4" s="3490" t="s">
        <v>1770</v>
      </c>
      <c r="S4" s="3491"/>
      <c r="T4" s="3490" t="s">
        <v>1771</v>
      </c>
      <c r="U4" s="3491"/>
      <c r="V4" s="3492" t="s">
        <v>1772</v>
      </c>
      <c r="W4" s="3492"/>
      <c r="X4" s="1809"/>
      <c r="Y4" s="3490" t="s">
        <v>1774</v>
      </c>
      <c r="Z4" s="3491"/>
      <c r="AA4" s="3494" t="s">
        <v>1770</v>
      </c>
      <c r="AB4" s="3494" t="s">
        <v>1771</v>
      </c>
      <c r="AC4" s="3483" t="s">
        <v>1772</v>
      </c>
    </row>
    <row r="5" spans="1:29">
      <c r="A5" s="348"/>
      <c r="B5" s="349"/>
      <c r="C5" s="3471" t="s">
        <v>1672</v>
      </c>
      <c r="D5" s="3472"/>
      <c r="E5" s="3478" t="s">
        <v>1673</v>
      </c>
      <c r="F5" s="3479"/>
      <c r="G5" s="3471" t="s">
        <v>1674</v>
      </c>
      <c r="H5" s="3472"/>
      <c r="I5" s="3471" t="s">
        <v>1675</v>
      </c>
      <c r="J5" s="3472"/>
      <c r="K5" s="537"/>
      <c r="L5" s="2486"/>
      <c r="M5" s="2487"/>
      <c r="N5" s="2487"/>
      <c r="O5" s="2487"/>
      <c r="P5" s="3488"/>
      <c r="Q5" s="3460"/>
      <c r="R5" s="3465"/>
      <c r="S5" s="3466"/>
      <c r="T5" s="3465"/>
      <c r="U5" s="3466"/>
      <c r="V5" s="3439"/>
      <c r="W5" s="3439"/>
      <c r="X5" s="1265"/>
      <c r="Y5" s="3465"/>
      <c r="Z5" s="3466"/>
      <c r="AA5" s="3451"/>
      <c r="AB5" s="3451"/>
      <c r="AC5" s="3484"/>
    </row>
    <row r="6" spans="1:29" ht="15" thickBot="1">
      <c r="A6" s="350"/>
      <c r="B6" s="351"/>
      <c r="C6" s="3469" t="s">
        <v>1676</v>
      </c>
      <c r="D6" s="3470"/>
      <c r="E6" s="3476" t="s">
        <v>1676</v>
      </c>
      <c r="F6" s="3477"/>
      <c r="G6" s="3469" t="s">
        <v>1676</v>
      </c>
      <c r="H6" s="3470"/>
      <c r="I6" s="3469" t="s">
        <v>1676</v>
      </c>
      <c r="J6" s="3470"/>
      <c r="K6" s="537" t="s">
        <v>1677</v>
      </c>
      <c r="L6" s="2486"/>
      <c r="M6" s="2487"/>
      <c r="N6" s="2487"/>
      <c r="O6" s="2487"/>
      <c r="P6" s="3489"/>
      <c r="Q6" s="3462"/>
      <c r="R6" s="3465"/>
      <c r="S6" s="3466"/>
      <c r="T6" s="3467"/>
      <c r="U6" s="3468"/>
      <c r="V6" s="3439"/>
      <c r="W6" s="3439"/>
      <c r="X6" s="1265"/>
      <c r="Y6" s="3467"/>
      <c r="Z6" s="3468"/>
      <c r="AA6" s="3452"/>
      <c r="AB6" s="3452"/>
      <c r="AC6" s="3485"/>
    </row>
    <row r="7" spans="1:29" s="102" customFormat="1" ht="15" thickBot="1">
      <c r="A7" s="352" t="s">
        <v>1678</v>
      </c>
      <c r="B7" s="353"/>
      <c r="C7" s="354">
        <f>'数据-取费表'!B2</f>
        <v>45993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93" t="s">
        <v>1679</v>
      </c>
      <c r="Q7" s="3475"/>
      <c r="R7" s="664" t="s">
        <v>14</v>
      </c>
      <c r="S7" s="665">
        <f t="shared" ref="S7:S15" si="0">F7</f>
        <v>0</v>
      </c>
      <c r="T7" s="664" t="s">
        <v>14</v>
      </c>
      <c r="U7" s="665">
        <f t="shared" ref="U7:U15" si="1">H7</f>
        <v>0</v>
      </c>
      <c r="V7" s="664" t="s">
        <v>14</v>
      </c>
      <c r="W7" s="665">
        <f t="shared" ref="W7:W15" si="2">J7</f>
        <v>0</v>
      </c>
      <c r="X7" s="666"/>
      <c r="Y7" s="3473" t="s">
        <v>1679</v>
      </c>
      <c r="Z7" s="3474"/>
      <c r="AA7" s="50" t="e">
        <f>D7/F7</f>
        <v>#DIV/0!</v>
      </c>
      <c r="AB7" s="50" t="e">
        <f>D7/H7</f>
        <v>#DIV/0!</v>
      </c>
      <c r="AC7" s="802"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93" t="s">
        <v>1682</v>
      </c>
      <c r="Q8" s="3474"/>
      <c r="R8" s="664" t="s">
        <v>14</v>
      </c>
      <c r="S8" s="665">
        <f t="shared" si="0"/>
        <v>100</v>
      </c>
      <c r="T8" s="664" t="s">
        <v>14</v>
      </c>
      <c r="U8" s="665">
        <f t="shared" si="1"/>
        <v>100</v>
      </c>
      <c r="V8" s="664" t="s">
        <v>14</v>
      </c>
      <c r="W8" s="665">
        <f t="shared" si="2"/>
        <v>100</v>
      </c>
      <c r="X8" s="666"/>
      <c r="Y8" s="3473" t="s">
        <v>1682</v>
      </c>
      <c r="Z8" s="3474"/>
      <c r="AA8" s="50">
        <f t="shared" ref="AA8:AA47" si="3">D8/F8</f>
        <v>1</v>
      </c>
      <c r="AB8" s="50">
        <f t="shared" ref="AB8:AB47" si="4">D8/H8</f>
        <v>1</v>
      </c>
      <c r="AC8" s="802">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49"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802">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49"/>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49"/>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49"/>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49"/>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49"/>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802">
        <f t="shared" si="5"/>
        <v>1</v>
      </c>
    </row>
    <row r="15" spans="1:29" ht="69">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7" t="s">
        <v>1690</v>
      </c>
      <c r="Q15" s="1263" t="str">
        <f t="shared" si="6"/>
        <v>办公集聚程度</v>
      </c>
      <c r="R15" s="667" t="s">
        <v>14</v>
      </c>
      <c r="S15" s="668">
        <f t="shared" si="0"/>
        <v>100</v>
      </c>
      <c r="T15" s="667" t="s">
        <v>14</v>
      </c>
      <c r="U15" s="668">
        <f t="shared" si="1"/>
        <v>100</v>
      </c>
      <c r="V15" s="667" t="s">
        <v>14</v>
      </c>
      <c r="W15" s="668">
        <f t="shared" si="2"/>
        <v>100</v>
      </c>
      <c r="X15" s="1265"/>
      <c r="Y15" s="3440"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8"/>
      <c r="Q16" s="1263"/>
      <c r="R16" s="667"/>
      <c r="S16" s="668"/>
      <c r="T16" s="667"/>
      <c r="U16" s="668"/>
      <c r="V16" s="667"/>
      <c r="W16" s="668"/>
      <c r="X16" s="1265"/>
      <c r="Y16" s="3441"/>
      <c r="Z16" s="1264"/>
      <c r="AA16" s="1264">
        <v>1</v>
      </c>
      <c r="AB16" s="1264">
        <v>1</v>
      </c>
      <c r="AC16" s="1812">
        <v>1</v>
      </c>
    </row>
    <row r="17" spans="1:29" ht="82.8">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8"/>
      <c r="Q18" s="1263"/>
      <c r="R18" s="667"/>
      <c r="S18" s="668"/>
      <c r="T18" s="667"/>
      <c r="U18" s="668"/>
      <c r="V18" s="667"/>
      <c r="W18" s="668"/>
      <c r="X18" s="1265"/>
      <c r="Y18" s="3441"/>
      <c r="Z18" s="1264"/>
      <c r="AA18" s="1264">
        <v>1</v>
      </c>
      <c r="AB18" s="1264">
        <v>1</v>
      </c>
      <c r="AC18" s="1812">
        <v>1</v>
      </c>
    </row>
    <row r="19" spans="1:29" ht="41.4">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8"/>
      <c r="Q20" s="1263"/>
      <c r="R20" s="667"/>
      <c r="S20" s="668"/>
      <c r="T20" s="667"/>
      <c r="U20" s="668"/>
      <c r="V20" s="667"/>
      <c r="W20" s="668"/>
      <c r="X20" s="1265"/>
      <c r="Y20" s="3441"/>
      <c r="Z20" s="1264"/>
      <c r="AA20" s="1264">
        <v>1</v>
      </c>
      <c r="AB20" s="1264">
        <v>1</v>
      </c>
      <c r="AC20" s="1812">
        <v>1</v>
      </c>
    </row>
    <row r="21" spans="1:29" ht="27.6">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8"/>
      <c r="Q22" s="1263"/>
      <c r="R22" s="667"/>
      <c r="S22" s="668"/>
      <c r="T22" s="667"/>
      <c r="U22" s="668"/>
      <c r="V22" s="667"/>
      <c r="W22" s="668"/>
      <c r="X22" s="1265"/>
      <c r="Y22" s="3441"/>
      <c r="Z22" s="1264"/>
      <c r="AA22" s="1264">
        <v>1</v>
      </c>
      <c r="AB22" s="1264">
        <v>1</v>
      </c>
      <c r="AC22" s="1812">
        <v>1</v>
      </c>
    </row>
    <row r="23" spans="1:29" ht="55.2">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8"/>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8"/>
      <c r="Q24" s="1263"/>
      <c r="R24" s="667"/>
      <c r="S24" s="668"/>
      <c r="T24" s="667"/>
      <c r="U24" s="668"/>
      <c r="V24" s="667"/>
      <c r="W24" s="668"/>
      <c r="X24" s="1265"/>
      <c r="Y24" s="3441"/>
      <c r="Z24" s="1264"/>
      <c r="AA24" s="1264">
        <v>1</v>
      </c>
      <c r="AB24" s="1264">
        <v>1</v>
      </c>
      <c r="AC24" s="1812">
        <v>1</v>
      </c>
    </row>
    <row r="25" spans="1:29" ht="28.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8"/>
      <c r="Q25" s="1263" t="str">
        <f>B25</f>
        <v>毗邻道路的类型与等级</v>
      </c>
      <c r="R25" s="667" t="s">
        <v>14</v>
      </c>
      <c r="S25" s="668">
        <f>F25</f>
        <v>100</v>
      </c>
      <c r="T25" s="667" t="s">
        <v>14</v>
      </c>
      <c r="U25" s="668">
        <f>H25</f>
        <v>100</v>
      </c>
      <c r="V25" s="667" t="s">
        <v>14</v>
      </c>
      <c r="W25" s="668">
        <f>J25</f>
        <v>100</v>
      </c>
      <c r="X25" s="1265"/>
      <c r="Y25" s="344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8"/>
      <c r="Q26" s="1263"/>
      <c r="R26" s="667"/>
      <c r="S26" s="668"/>
      <c r="T26" s="667"/>
      <c r="U26" s="668"/>
      <c r="V26" s="667"/>
      <c r="W26" s="668"/>
      <c r="X26" s="1265"/>
      <c r="Y26" s="3441"/>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8"/>
      <c r="Q27" s="1263" t="str">
        <f t="shared" ref="Q27:Q47" si="11">B27</f>
        <v>楼层</v>
      </c>
      <c r="R27" s="667" t="s">
        <v>14</v>
      </c>
      <c r="S27" s="668">
        <f>F27</f>
        <v>100</v>
      </c>
      <c r="T27" s="667" t="s">
        <v>14</v>
      </c>
      <c r="U27" s="668">
        <f>H27</f>
        <v>100</v>
      </c>
      <c r="V27" s="667" t="s">
        <v>14</v>
      </c>
      <c r="W27" s="668">
        <f>J27</f>
        <v>100</v>
      </c>
      <c r="X27" s="1265"/>
      <c r="Y27" s="3441"/>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8"/>
      <c r="Q28" s="530" t="str">
        <f t="shared" si="11"/>
        <v>朝向</v>
      </c>
      <c r="R28" s="664" t="s">
        <v>14</v>
      </c>
      <c r="S28" s="665">
        <f>F28</f>
        <v>100</v>
      </c>
      <c r="T28" s="664" t="s">
        <v>14</v>
      </c>
      <c r="U28" s="665">
        <f>H28</f>
        <v>100</v>
      </c>
      <c r="V28" s="664" t="s">
        <v>14</v>
      </c>
      <c r="W28" s="665">
        <f>J28</f>
        <v>100</v>
      </c>
      <c r="X28" s="666"/>
      <c r="Y28" s="344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44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8"/>
      <c r="Q32" s="1263">
        <f t="shared" si="11"/>
        <v>111</v>
      </c>
      <c r="R32" s="667" t="s">
        <v>14</v>
      </c>
      <c r="S32" s="668">
        <f t="shared" si="12"/>
        <v>100</v>
      </c>
      <c r="T32" s="667" t="s">
        <v>14</v>
      </c>
      <c r="U32" s="668">
        <f t="shared" si="13"/>
        <v>100</v>
      </c>
      <c r="V32" s="667" t="s">
        <v>14</v>
      </c>
      <c r="W32" s="668">
        <f t="shared" si="14"/>
        <v>100</v>
      </c>
      <c r="X32" s="1265"/>
      <c r="Y32" s="3441"/>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2" t="s">
        <v>1695</v>
      </c>
      <c r="Q33" s="1263" t="str">
        <f t="shared" si="11"/>
        <v>建筑类型</v>
      </c>
      <c r="R33" s="667" t="s">
        <v>14</v>
      </c>
      <c r="S33" s="668">
        <f t="shared" si="12"/>
        <v>100</v>
      </c>
      <c r="T33" s="667" t="s">
        <v>14</v>
      </c>
      <c r="U33" s="668">
        <f t="shared" si="13"/>
        <v>100</v>
      </c>
      <c r="V33" s="667" t="s">
        <v>14</v>
      </c>
      <c r="W33" s="668">
        <f t="shared" si="14"/>
        <v>100</v>
      </c>
      <c r="X33" s="1265"/>
      <c r="Y33" s="3445"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3"/>
      <c r="Q34" s="531" t="str">
        <f t="shared" si="11"/>
        <v>项目建筑规模</v>
      </c>
      <c r="R34" s="669" t="s">
        <v>14</v>
      </c>
      <c r="S34" s="670" t="e">
        <f t="shared" si="12"/>
        <v>#N/A</v>
      </c>
      <c r="T34" s="669" t="s">
        <v>14</v>
      </c>
      <c r="U34" s="670" t="e">
        <f t="shared" si="13"/>
        <v>#N/A</v>
      </c>
      <c r="V34" s="669" t="s">
        <v>14</v>
      </c>
      <c r="W34" s="670" t="e">
        <f t="shared" si="14"/>
        <v>#N/A</v>
      </c>
      <c r="X34" s="671"/>
      <c r="Y34" s="3445"/>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3"/>
      <c r="Q35" s="1263" t="str">
        <f t="shared" si="11"/>
        <v>建筑结构</v>
      </c>
      <c r="R35" s="667" t="s">
        <v>14</v>
      </c>
      <c r="S35" s="668">
        <f t="shared" si="12"/>
        <v>100</v>
      </c>
      <c r="T35" s="667" t="s">
        <v>14</v>
      </c>
      <c r="U35" s="668">
        <f t="shared" si="13"/>
        <v>100</v>
      </c>
      <c r="V35" s="667" t="s">
        <v>14</v>
      </c>
      <c r="W35" s="668">
        <f t="shared" si="14"/>
        <v>100</v>
      </c>
      <c r="X35" s="1265"/>
      <c r="Y35" s="3445"/>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3"/>
      <c r="Q36" s="1263" t="str">
        <f t="shared" si="11"/>
        <v>公共部分装修</v>
      </c>
      <c r="R36" s="667" t="s">
        <v>14</v>
      </c>
      <c r="S36" s="668">
        <f t="shared" si="12"/>
        <v>100</v>
      </c>
      <c r="T36" s="667" t="s">
        <v>14</v>
      </c>
      <c r="U36" s="668">
        <f t="shared" si="13"/>
        <v>100</v>
      </c>
      <c r="V36" s="667" t="s">
        <v>14</v>
      </c>
      <c r="W36" s="668">
        <f t="shared" si="14"/>
        <v>100</v>
      </c>
      <c r="X36" s="1265"/>
      <c r="Y36" s="3445"/>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3"/>
      <c r="Q37" s="1263" t="str">
        <f t="shared" si="11"/>
        <v>成新度</v>
      </c>
      <c r="R37" s="667" t="s">
        <v>14</v>
      </c>
      <c r="S37" s="668" t="e">
        <f t="shared" si="12"/>
        <v>#N/A</v>
      </c>
      <c r="T37" s="667" t="s">
        <v>14</v>
      </c>
      <c r="U37" s="668" t="e">
        <f t="shared" si="13"/>
        <v>#N/A</v>
      </c>
      <c r="V37" s="667" t="s">
        <v>14</v>
      </c>
      <c r="W37" s="668" t="e">
        <f t="shared" si="14"/>
        <v>#N/A</v>
      </c>
      <c r="X37" s="1265"/>
      <c r="Y37" s="3445"/>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3"/>
      <c r="Q38" s="530" t="str">
        <f t="shared" si="11"/>
        <v>写字楼等级</v>
      </c>
      <c r="R38" s="664" t="s">
        <v>14</v>
      </c>
      <c r="S38" s="665">
        <f t="shared" si="12"/>
        <v>100</v>
      </c>
      <c r="T38" s="664" t="s">
        <v>14</v>
      </c>
      <c r="U38" s="665">
        <f t="shared" si="13"/>
        <v>100</v>
      </c>
      <c r="V38" s="664" t="s">
        <v>14</v>
      </c>
      <c r="W38" s="665">
        <f t="shared" si="14"/>
        <v>100</v>
      </c>
      <c r="X38" s="666"/>
      <c r="Y38" s="3445"/>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3" t="s">
        <v>1695</v>
      </c>
      <c r="Q39" s="1263" t="str">
        <f t="shared" si="11"/>
        <v>物业管理</v>
      </c>
      <c r="R39" s="667" t="s">
        <v>14</v>
      </c>
      <c r="S39" s="668">
        <f t="shared" si="12"/>
        <v>100</v>
      </c>
      <c r="T39" s="667" t="s">
        <v>14</v>
      </c>
      <c r="U39" s="668">
        <f t="shared" si="13"/>
        <v>100</v>
      </c>
      <c r="V39" s="667" t="s">
        <v>14</v>
      </c>
      <c r="W39" s="668">
        <f t="shared" si="14"/>
        <v>100</v>
      </c>
      <c r="X39" s="1265"/>
      <c r="Y39" s="3445"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3"/>
      <c r="Q40" s="1263" t="str">
        <f t="shared" si="11"/>
        <v>市政基础设施</v>
      </c>
      <c r="R40" s="667" t="s">
        <v>14</v>
      </c>
      <c r="S40" s="668">
        <f t="shared" si="12"/>
        <v>100</v>
      </c>
      <c r="T40" s="667" t="s">
        <v>14</v>
      </c>
      <c r="U40" s="668">
        <f t="shared" si="13"/>
        <v>100</v>
      </c>
      <c r="V40" s="667" t="s">
        <v>14</v>
      </c>
      <c r="W40" s="668">
        <f t="shared" si="14"/>
        <v>100</v>
      </c>
      <c r="X40" s="1265"/>
      <c r="Y40" s="3445"/>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3"/>
      <c r="Q41" s="1263" t="str">
        <f t="shared" si="11"/>
        <v>层高</v>
      </c>
      <c r="R41" s="667" t="s">
        <v>14</v>
      </c>
      <c r="S41" s="668">
        <f t="shared" si="12"/>
        <v>100</v>
      </c>
      <c r="T41" s="667" t="s">
        <v>14</v>
      </c>
      <c r="U41" s="668">
        <f t="shared" si="13"/>
        <v>100</v>
      </c>
      <c r="V41" s="667" t="s">
        <v>14</v>
      </c>
      <c r="W41" s="668">
        <f t="shared" si="14"/>
        <v>100</v>
      </c>
      <c r="X41" s="1265"/>
      <c r="Y41" s="3445"/>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3"/>
      <c r="Q42" s="531" t="str">
        <f t="shared" si="11"/>
        <v>单套建筑面积</v>
      </c>
      <c r="R42" s="669" t="s">
        <v>14</v>
      </c>
      <c r="S42" s="670">
        <f t="shared" si="12"/>
        <v>100</v>
      </c>
      <c r="T42" s="669" t="s">
        <v>14</v>
      </c>
      <c r="U42" s="670">
        <f t="shared" si="13"/>
        <v>100</v>
      </c>
      <c r="V42" s="669" t="s">
        <v>14</v>
      </c>
      <c r="W42" s="670">
        <f t="shared" si="14"/>
        <v>100</v>
      </c>
      <c r="X42" s="671"/>
      <c r="Y42" s="3445"/>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3"/>
      <c r="Q43" s="1263" t="str">
        <f t="shared" si="11"/>
        <v>内部装修</v>
      </c>
      <c r="R43" s="667" t="s">
        <v>14</v>
      </c>
      <c r="S43" s="668">
        <f t="shared" si="12"/>
        <v>100</v>
      </c>
      <c r="T43" s="667" t="s">
        <v>14</v>
      </c>
      <c r="U43" s="668">
        <f t="shared" si="13"/>
        <v>100</v>
      </c>
      <c r="V43" s="667" t="s">
        <v>14</v>
      </c>
      <c r="W43" s="668">
        <f t="shared" si="14"/>
        <v>100</v>
      </c>
      <c r="X43" s="1265"/>
      <c r="Y43" s="3445"/>
      <c r="Z43" s="1264" t="str">
        <f t="shared" si="15"/>
        <v>内部装修</v>
      </c>
      <c r="AA43" s="1264">
        <f t="shared" si="3"/>
        <v>1</v>
      </c>
      <c r="AB43" s="1264">
        <f t="shared" si="4"/>
        <v>1</v>
      </c>
      <c r="AC43" s="1812">
        <f t="shared" si="5"/>
        <v>1</v>
      </c>
    </row>
    <row r="44" spans="1:29" ht="28.8">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3"/>
      <c r="Q44" s="1263" t="str">
        <f t="shared" si="11"/>
        <v>内部装修维护情况</v>
      </c>
      <c r="R44" s="667" t="s">
        <v>14</v>
      </c>
      <c r="S44" s="668">
        <f t="shared" si="12"/>
        <v>100</v>
      </c>
      <c r="T44" s="667" t="s">
        <v>14</v>
      </c>
      <c r="U44" s="668">
        <f t="shared" si="13"/>
        <v>100</v>
      </c>
      <c r="V44" s="667" t="s">
        <v>14</v>
      </c>
      <c r="W44" s="668">
        <f t="shared" si="14"/>
        <v>100</v>
      </c>
      <c r="X44" s="1265"/>
      <c r="Y44" s="344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3"/>
      <c r="Q45" s="530">
        <f t="shared" si="11"/>
        <v>111</v>
      </c>
      <c r="R45" s="664" t="s">
        <v>14</v>
      </c>
      <c r="S45" s="665">
        <f t="shared" si="12"/>
        <v>100</v>
      </c>
      <c r="T45" s="664" t="s">
        <v>14</v>
      </c>
      <c r="U45" s="665">
        <f t="shared" si="13"/>
        <v>100</v>
      </c>
      <c r="V45" s="664" t="s">
        <v>14</v>
      </c>
      <c r="W45" s="665">
        <f t="shared" si="14"/>
        <v>100</v>
      </c>
      <c r="X45" s="666"/>
      <c r="Y45" s="344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3"/>
      <c r="Q46" s="1263">
        <f t="shared" si="11"/>
        <v>111</v>
      </c>
      <c r="R46" s="667" t="s">
        <v>14</v>
      </c>
      <c r="S46" s="668">
        <f t="shared" si="12"/>
        <v>100</v>
      </c>
      <c r="T46" s="667" t="s">
        <v>14</v>
      </c>
      <c r="U46" s="668">
        <f t="shared" si="13"/>
        <v>100</v>
      </c>
      <c r="V46" s="667" t="s">
        <v>14</v>
      </c>
      <c r="W46" s="668">
        <f t="shared" si="14"/>
        <v>100</v>
      </c>
      <c r="X46" s="1265"/>
      <c r="Y46" s="344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4"/>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4.4">
      <c r="A48" s="416" t="s">
        <v>1707</v>
      </c>
      <c r="B48" s="417"/>
      <c r="C48" s="1081" t="s">
        <v>0</v>
      </c>
      <c r="D48" s="418"/>
      <c r="E48" s="419"/>
      <c r="F48" s="420"/>
      <c r="G48" s="421"/>
      <c r="H48" s="422"/>
      <c r="I48" s="419"/>
      <c r="J48" s="422"/>
      <c r="K48" s="674"/>
      <c r="L48" s="2494"/>
      <c r="M48" s="2487"/>
      <c r="N48" s="2487"/>
      <c r="O48" s="2487"/>
      <c r="P48" s="3449" t="str">
        <f>A48</f>
        <v>成交单价（元/平方米）</v>
      </c>
      <c r="Q48" s="3438"/>
      <c r="R48" s="3439">
        <f>E48</f>
        <v>0</v>
      </c>
      <c r="S48" s="3439"/>
      <c r="T48" s="3439">
        <f>G48</f>
        <v>0</v>
      </c>
      <c r="U48" s="3439"/>
      <c r="V48" s="3439">
        <f>I48</f>
        <v>0</v>
      </c>
      <c r="W48" s="3439"/>
      <c r="X48" s="385"/>
      <c r="Y48" s="673"/>
      <c r="Z48" s="385"/>
      <c r="AA48" s="385"/>
      <c r="AB48" s="385"/>
      <c r="AC48" s="555"/>
    </row>
    <row r="49" spans="1:29" ht="15" thickBot="1">
      <c r="A49" s="423" t="s">
        <v>1792</v>
      </c>
      <c r="B49" s="424"/>
      <c r="C49" s="1082" t="e">
        <f>R50</f>
        <v>#DIV/0!</v>
      </c>
      <c r="D49" s="2141" t="s">
        <v>2137</v>
      </c>
      <c r="E49" s="1083" t="e">
        <f>R49</f>
        <v>#DIV/0!</v>
      </c>
      <c r="F49" s="2142"/>
      <c r="G49" s="1082" t="e">
        <f>T49</f>
        <v>#DIV/0!</v>
      </c>
      <c r="H49" s="2142"/>
      <c r="I49" s="1083" t="e">
        <f>V49</f>
        <v>#DIV/0!</v>
      </c>
      <c r="J49" s="2142"/>
      <c r="K49" s="2144">
        <f>F49+H49+J49</f>
        <v>0</v>
      </c>
      <c r="L49" s="2494"/>
      <c r="M49" s="2487"/>
      <c r="N49" s="2487"/>
      <c r="O49" s="2487"/>
      <c r="P49" s="3449"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5"/>
      <c r="Y49" s="385"/>
      <c r="Z49" s="385"/>
      <c r="AA49" s="385"/>
      <c r="AB49" s="385"/>
      <c r="AC49" s="555"/>
    </row>
    <row r="50" spans="1:29" ht="15" thickBot="1">
      <c r="A50" s="427" t="s">
        <v>1793</v>
      </c>
      <c r="B50" s="428"/>
      <c r="C50" s="351" t="e">
        <f>R50</f>
        <v>#DIV/0!</v>
      </c>
      <c r="D50" s="351"/>
      <c r="E50" s="351"/>
      <c r="F50" s="351"/>
      <c r="G50" s="351"/>
      <c r="H50" s="351"/>
      <c r="I50" s="351"/>
      <c r="J50" s="429"/>
      <c r="K50" s="675"/>
      <c r="L50" s="2494"/>
      <c r="M50" s="2487"/>
      <c r="N50" s="2487"/>
      <c r="O50" s="2487"/>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1824</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8"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351565.27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1768</v>
      </c>
      <c r="B4" s="346"/>
      <c r="C4" s="3453" t="s">
        <v>1769</v>
      </c>
      <c r="D4" s="3454"/>
      <c r="E4" s="3455" t="s">
        <v>1770</v>
      </c>
      <c r="F4" s="3456"/>
      <c r="G4" s="3453" t="s">
        <v>1771</v>
      </c>
      <c r="H4" s="3454"/>
      <c r="I4" s="3453" t="s">
        <v>1772</v>
      </c>
      <c r="J4" s="3454"/>
      <c r="K4" s="537" t="s">
        <v>1773</v>
      </c>
      <c r="L4" s="860"/>
      <c r="M4" s="861"/>
      <c r="N4" s="861"/>
      <c r="O4" s="861"/>
      <c r="P4" s="3457" t="s">
        <v>1774</v>
      </c>
      <c r="Q4" s="3458"/>
      <c r="R4" s="3463" t="s">
        <v>1770</v>
      </c>
      <c r="S4" s="3464"/>
      <c r="T4" s="3463" t="s">
        <v>1771</v>
      </c>
      <c r="U4" s="3464"/>
      <c r="V4" s="3439" t="s">
        <v>1772</v>
      </c>
      <c r="W4" s="3439"/>
      <c r="X4" s="1265"/>
      <c r="Y4" s="3463" t="s">
        <v>1774</v>
      </c>
      <c r="Z4" s="3464"/>
      <c r="AA4" s="3450" t="s">
        <v>1770</v>
      </c>
      <c r="AB4" s="3451" t="s">
        <v>1771</v>
      </c>
      <c r="AC4" s="3450" t="s">
        <v>1772</v>
      </c>
    </row>
    <row r="5" spans="1:29">
      <c r="A5" s="348"/>
      <c r="B5" s="349"/>
      <c r="C5" s="3471" t="s">
        <v>1672</v>
      </c>
      <c r="D5" s="3472"/>
      <c r="E5" s="3478" t="s">
        <v>1673</v>
      </c>
      <c r="F5" s="3479"/>
      <c r="G5" s="3471" t="s">
        <v>1674</v>
      </c>
      <c r="H5" s="3472"/>
      <c r="I5" s="3471" t="s">
        <v>1675</v>
      </c>
      <c r="J5" s="3472"/>
      <c r="K5" s="537"/>
      <c r="L5" s="860"/>
      <c r="M5" s="861"/>
      <c r="N5" s="861"/>
      <c r="O5" s="861"/>
      <c r="P5" s="3459"/>
      <c r="Q5" s="3460"/>
      <c r="R5" s="3465"/>
      <c r="S5" s="3466"/>
      <c r="T5" s="3465"/>
      <c r="U5" s="3466"/>
      <c r="V5" s="3439"/>
      <c r="W5" s="3439"/>
      <c r="X5" s="1265"/>
      <c r="Y5" s="3465"/>
      <c r="Z5" s="3466"/>
      <c r="AA5" s="3451"/>
      <c r="AB5" s="3451"/>
      <c r="AC5" s="3451"/>
    </row>
    <row r="6" spans="1:29" ht="15" thickBot="1">
      <c r="A6" s="350"/>
      <c r="B6" s="351"/>
      <c r="C6" s="3469" t="s">
        <v>1676</v>
      </c>
      <c r="D6" s="3470"/>
      <c r="E6" s="3476" t="s">
        <v>1676</v>
      </c>
      <c r="F6" s="3477"/>
      <c r="G6" s="3469" t="s">
        <v>1676</v>
      </c>
      <c r="H6" s="3470"/>
      <c r="I6" s="3469" t="s">
        <v>1676</v>
      </c>
      <c r="J6" s="3470"/>
      <c r="K6" s="537" t="s">
        <v>1677</v>
      </c>
      <c r="L6" s="860"/>
      <c r="M6" s="861"/>
      <c r="N6" s="861"/>
      <c r="O6" s="861"/>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SUMIF(52:52,YEAR(E7)&amp;"-"&amp;MONTH(E7),53:53)</f>
        <v>0</v>
      </c>
      <c r="G7" s="356"/>
      <c r="H7" s="355">
        <f>SUMIF(52:52,YEAR(G7)&amp;"-"&amp;MONTH(G7),53:53)</f>
        <v>0</v>
      </c>
      <c r="I7" s="356"/>
      <c r="J7" s="355">
        <f>SUMIF(52:52,YEAR(I7)&amp;"-"&amp;MONTH(I7),53:53)</f>
        <v>0</v>
      </c>
      <c r="K7" s="38"/>
      <c r="L7" s="862"/>
      <c r="M7" s="863"/>
      <c r="N7" s="863"/>
      <c r="O7" s="863"/>
      <c r="P7" s="3473" t="s">
        <v>1679</v>
      </c>
      <c r="Q7" s="3475"/>
      <c r="R7" s="664" t="s">
        <v>14</v>
      </c>
      <c r="S7" s="665">
        <f t="shared" ref="S7:S15" si="0">F7</f>
        <v>0</v>
      </c>
      <c r="T7" s="664" t="s">
        <v>14</v>
      </c>
      <c r="U7" s="665">
        <f t="shared" ref="U7:U15" si="1">H7</f>
        <v>0</v>
      </c>
      <c r="V7" s="664" t="s">
        <v>14</v>
      </c>
      <c r="W7" s="665">
        <f t="shared" ref="W7:W15" si="2">J7</f>
        <v>0</v>
      </c>
      <c r="X7" s="666"/>
      <c r="Y7" s="3473" t="s">
        <v>1679</v>
      </c>
      <c r="Z7" s="3474"/>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3" t="s">
        <v>1682</v>
      </c>
      <c r="Q8" s="3474"/>
      <c r="R8" s="664" t="s">
        <v>14</v>
      </c>
      <c r="S8" s="665">
        <f t="shared" si="0"/>
        <v>100</v>
      </c>
      <c r="T8" s="664" t="s">
        <v>14</v>
      </c>
      <c r="U8" s="665">
        <f t="shared" si="1"/>
        <v>100</v>
      </c>
      <c r="V8" s="664" t="s">
        <v>14</v>
      </c>
      <c r="W8" s="665">
        <f t="shared" si="2"/>
        <v>100</v>
      </c>
      <c r="X8" s="666"/>
      <c r="Y8" s="3473" t="s">
        <v>1682</v>
      </c>
      <c r="Z8" s="3474"/>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8"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8"/>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8"/>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69">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0" t="s">
        <v>1690</v>
      </c>
      <c r="Q15" s="1263" t="str">
        <f t="shared" si="6"/>
        <v>产业集聚程度</v>
      </c>
      <c r="R15" s="667" t="s">
        <v>14</v>
      </c>
      <c r="S15" s="668">
        <f t="shared" si="0"/>
        <v>100</v>
      </c>
      <c r="T15" s="667" t="s">
        <v>14</v>
      </c>
      <c r="U15" s="668">
        <f t="shared" si="1"/>
        <v>100</v>
      </c>
      <c r="V15" s="667" t="s">
        <v>14</v>
      </c>
      <c r="W15" s="668">
        <f t="shared" si="2"/>
        <v>100</v>
      </c>
      <c r="X15" s="1265"/>
      <c r="Y15" s="3440"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1"/>
      <c r="Q16" s="1263"/>
      <c r="R16" s="667"/>
      <c r="S16" s="668"/>
      <c r="T16" s="667"/>
      <c r="U16" s="668"/>
      <c r="V16" s="667"/>
      <c r="W16" s="668"/>
      <c r="X16" s="1265"/>
      <c r="Y16" s="3441"/>
      <c r="Z16" s="1264"/>
      <c r="AA16" s="1264">
        <v>1</v>
      </c>
      <c r="AB16" s="1264">
        <v>1</v>
      </c>
      <c r="AC16" s="1264">
        <v>1</v>
      </c>
    </row>
    <row r="17" spans="1:29" ht="96.6">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1"/>
      <c r="Q18" s="1263"/>
      <c r="R18" s="667"/>
      <c r="S18" s="668"/>
      <c r="T18" s="667"/>
      <c r="U18" s="668"/>
      <c r="V18" s="667"/>
      <c r="W18" s="668"/>
      <c r="X18" s="1265"/>
      <c r="Y18" s="3441"/>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1"/>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1"/>
      <c r="Q20" s="1263"/>
      <c r="R20" s="667"/>
      <c r="S20" s="668"/>
      <c r="T20" s="667"/>
      <c r="U20" s="668"/>
      <c r="V20" s="667"/>
      <c r="W20" s="668"/>
      <c r="X20" s="1265"/>
      <c r="Y20" s="3441"/>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1"/>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1"/>
      <c r="Q22" s="1263"/>
      <c r="R22" s="667"/>
      <c r="S22" s="668"/>
      <c r="T22" s="667"/>
      <c r="U22" s="668"/>
      <c r="V22" s="667"/>
      <c r="W22" s="668"/>
      <c r="X22" s="1265"/>
      <c r="Y22" s="3441"/>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1"/>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1"/>
      <c r="Q24" s="1263"/>
      <c r="R24" s="667"/>
      <c r="S24" s="668"/>
      <c r="T24" s="667"/>
      <c r="U24" s="668"/>
      <c r="V24" s="667"/>
      <c r="W24" s="668"/>
      <c r="X24" s="1265"/>
      <c r="Y24" s="344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1"/>
      <c r="Q25" s="1263">
        <f>B25</f>
        <v>111</v>
      </c>
      <c r="R25" s="667" t="s">
        <v>14</v>
      </c>
      <c r="S25" s="668">
        <f>F25</f>
        <v>100</v>
      </c>
      <c r="T25" s="667" t="s">
        <v>14</v>
      </c>
      <c r="U25" s="668">
        <f>H25</f>
        <v>100</v>
      </c>
      <c r="V25" s="667" t="s">
        <v>14</v>
      </c>
      <c r="W25" s="668">
        <f>J25</f>
        <v>100</v>
      </c>
      <c r="X25" s="1265"/>
      <c r="Y25" s="344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1"/>
      <c r="Q26" s="1263">
        <f t="shared" ref="Q26:Q40" si="11">B26</f>
        <v>111</v>
      </c>
      <c r="R26" s="667" t="s">
        <v>14</v>
      </c>
      <c r="S26" s="668">
        <f>F26</f>
        <v>100</v>
      </c>
      <c r="T26" s="667" t="s">
        <v>14</v>
      </c>
      <c r="U26" s="668">
        <f>H26</f>
        <v>100</v>
      </c>
      <c r="V26" s="667" t="s">
        <v>14</v>
      </c>
      <c r="W26" s="668">
        <f>J26</f>
        <v>100</v>
      </c>
      <c r="X26" s="1265"/>
      <c r="Y26" s="344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1"/>
      <c r="Q27" s="530">
        <f t="shared" si="11"/>
        <v>111</v>
      </c>
      <c r="R27" s="664" t="s">
        <v>14</v>
      </c>
      <c r="S27" s="665">
        <f>F27</f>
        <v>100</v>
      </c>
      <c r="T27" s="664" t="s">
        <v>14</v>
      </c>
      <c r="U27" s="665">
        <f>H27</f>
        <v>100</v>
      </c>
      <c r="V27" s="664" t="s">
        <v>14</v>
      </c>
      <c r="W27" s="665">
        <f>J27</f>
        <v>100</v>
      </c>
      <c r="X27" s="666"/>
      <c r="Y27" s="344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1"/>
      <c r="Q28" s="1263">
        <f t="shared" si="11"/>
        <v>111</v>
      </c>
      <c r="R28" s="667" t="s">
        <v>14</v>
      </c>
      <c r="S28" s="668">
        <f t="shared" ref="S28:S40" si="12">F28</f>
        <v>100</v>
      </c>
      <c r="T28" s="667" t="s">
        <v>14</v>
      </c>
      <c r="U28" s="668">
        <f t="shared" ref="U28:U40" si="13">H28</f>
        <v>100</v>
      </c>
      <c r="V28" s="667" t="s">
        <v>14</v>
      </c>
      <c r="W28" s="668">
        <f t="shared" ref="W28:W40" si="14">J28</f>
        <v>100</v>
      </c>
      <c r="X28" s="1265"/>
      <c r="Y28" s="3441"/>
      <c r="Z28" s="1264">
        <f t="shared" ref="Z28:Z40" si="15">Q28</f>
        <v>111</v>
      </c>
      <c r="AA28" s="1264">
        <f t="shared" si="3"/>
        <v>1</v>
      </c>
      <c r="AB28" s="1264">
        <f t="shared" si="4"/>
        <v>1</v>
      </c>
      <c r="AC28" s="1264">
        <f t="shared" si="5"/>
        <v>1</v>
      </c>
    </row>
    <row r="29" spans="1:29" ht="30">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5" t="s">
        <v>1695</v>
      </c>
      <c r="Q29" s="1263" t="str">
        <f t="shared" si="11"/>
        <v>建筑类型</v>
      </c>
      <c r="R29" s="667" t="s">
        <v>14</v>
      </c>
      <c r="S29" s="668">
        <f t="shared" si="12"/>
        <v>100</v>
      </c>
      <c r="T29" s="667" t="s">
        <v>14</v>
      </c>
      <c r="U29" s="668">
        <f t="shared" si="13"/>
        <v>100</v>
      </c>
      <c r="V29" s="667" t="s">
        <v>14</v>
      </c>
      <c r="W29" s="668">
        <f t="shared" si="14"/>
        <v>100</v>
      </c>
      <c r="X29" s="1265"/>
      <c r="Y29" s="3445"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5"/>
      <c r="Q30" s="531" t="str">
        <f t="shared" si="11"/>
        <v>项目建筑规模</v>
      </c>
      <c r="R30" s="669" t="s">
        <v>14</v>
      </c>
      <c r="S30" s="670" t="e">
        <f t="shared" si="12"/>
        <v>#N/A</v>
      </c>
      <c r="T30" s="669" t="s">
        <v>14</v>
      </c>
      <c r="U30" s="670" t="e">
        <f t="shared" si="13"/>
        <v>#N/A</v>
      </c>
      <c r="V30" s="669" t="s">
        <v>14</v>
      </c>
      <c r="W30" s="670" t="e">
        <f t="shared" si="14"/>
        <v>#N/A</v>
      </c>
      <c r="X30" s="671"/>
      <c r="Y30" s="3445"/>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5"/>
      <c r="Q31" s="1263" t="str">
        <f t="shared" si="11"/>
        <v>建筑结构</v>
      </c>
      <c r="R31" s="667" t="s">
        <v>14</v>
      </c>
      <c r="S31" s="668">
        <f t="shared" si="12"/>
        <v>100</v>
      </c>
      <c r="T31" s="667" t="s">
        <v>14</v>
      </c>
      <c r="U31" s="668">
        <f t="shared" si="13"/>
        <v>100</v>
      </c>
      <c r="V31" s="667" t="s">
        <v>14</v>
      </c>
      <c r="W31" s="668">
        <f t="shared" si="14"/>
        <v>100</v>
      </c>
      <c r="X31" s="1265"/>
      <c r="Y31" s="3445"/>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5"/>
      <c r="Q32" s="1263" t="str">
        <f t="shared" si="11"/>
        <v>公共部分装修</v>
      </c>
      <c r="R32" s="667" t="s">
        <v>14</v>
      </c>
      <c r="S32" s="668">
        <f t="shared" si="12"/>
        <v>100</v>
      </c>
      <c r="T32" s="667" t="s">
        <v>14</v>
      </c>
      <c r="U32" s="668">
        <f t="shared" si="13"/>
        <v>100</v>
      </c>
      <c r="V32" s="667" t="s">
        <v>14</v>
      </c>
      <c r="W32" s="668">
        <f t="shared" si="14"/>
        <v>100</v>
      </c>
      <c r="X32" s="1265"/>
      <c r="Y32" s="3445"/>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5"/>
      <c r="Q33" s="1263" t="str">
        <f t="shared" si="11"/>
        <v>成新度</v>
      </c>
      <c r="R33" s="667" t="s">
        <v>14</v>
      </c>
      <c r="S33" s="668" t="e">
        <f t="shared" si="12"/>
        <v>#N/A</v>
      </c>
      <c r="T33" s="667" t="s">
        <v>14</v>
      </c>
      <c r="U33" s="668" t="e">
        <f t="shared" si="13"/>
        <v>#N/A</v>
      </c>
      <c r="V33" s="667" t="s">
        <v>14</v>
      </c>
      <c r="W33" s="668" t="e">
        <f t="shared" si="14"/>
        <v>#N/A</v>
      </c>
      <c r="X33" s="1265"/>
      <c r="Y33" s="3445"/>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5"/>
      <c r="Q34" s="530" t="str">
        <f t="shared" si="11"/>
        <v>物业管理</v>
      </c>
      <c r="R34" s="664" t="s">
        <v>14</v>
      </c>
      <c r="S34" s="665">
        <f t="shared" si="12"/>
        <v>100</v>
      </c>
      <c r="T34" s="664" t="s">
        <v>14</v>
      </c>
      <c r="U34" s="665">
        <f t="shared" si="13"/>
        <v>100</v>
      </c>
      <c r="V34" s="664" t="s">
        <v>14</v>
      </c>
      <c r="W34" s="665">
        <f t="shared" si="14"/>
        <v>100</v>
      </c>
      <c r="X34" s="666"/>
      <c r="Y34" s="344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5" t="s">
        <v>1695</v>
      </c>
      <c r="Q35" s="1263" t="str">
        <f t="shared" si="11"/>
        <v>市政基础设施</v>
      </c>
      <c r="R35" s="667" t="s">
        <v>14</v>
      </c>
      <c r="S35" s="668">
        <f t="shared" si="12"/>
        <v>100</v>
      </c>
      <c r="T35" s="667" t="s">
        <v>14</v>
      </c>
      <c r="U35" s="668">
        <f t="shared" si="13"/>
        <v>100</v>
      </c>
      <c r="V35" s="667" t="s">
        <v>14</v>
      </c>
      <c r="W35" s="668">
        <f t="shared" si="14"/>
        <v>100</v>
      </c>
      <c r="X35" s="1265"/>
      <c r="Y35" s="3445"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5"/>
      <c r="Q36" s="1263" t="str">
        <f t="shared" si="11"/>
        <v>内部装修</v>
      </c>
      <c r="R36" s="667" t="s">
        <v>14</v>
      </c>
      <c r="S36" s="668">
        <f t="shared" si="12"/>
        <v>100</v>
      </c>
      <c r="T36" s="667" t="s">
        <v>14</v>
      </c>
      <c r="U36" s="668">
        <f t="shared" si="13"/>
        <v>100</v>
      </c>
      <c r="V36" s="667" t="s">
        <v>14</v>
      </c>
      <c r="W36" s="668">
        <f t="shared" si="14"/>
        <v>100</v>
      </c>
      <c r="X36" s="1265"/>
      <c r="Y36" s="3445"/>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5"/>
      <c r="Q37" s="1263" t="str">
        <f t="shared" si="11"/>
        <v>内部装修状况</v>
      </c>
      <c r="R37" s="667" t="s">
        <v>14</v>
      </c>
      <c r="S37" s="668">
        <f t="shared" si="12"/>
        <v>100</v>
      </c>
      <c r="T37" s="667" t="s">
        <v>14</v>
      </c>
      <c r="U37" s="668">
        <f t="shared" si="13"/>
        <v>100</v>
      </c>
      <c r="V37" s="667" t="s">
        <v>14</v>
      </c>
      <c r="W37" s="668">
        <f t="shared" si="14"/>
        <v>100</v>
      </c>
      <c r="X37" s="1265"/>
      <c r="Y37" s="344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5"/>
      <c r="Q38" s="531">
        <f t="shared" si="11"/>
        <v>111</v>
      </c>
      <c r="R38" s="669" t="s">
        <v>14</v>
      </c>
      <c r="S38" s="670">
        <f t="shared" si="12"/>
        <v>100</v>
      </c>
      <c r="T38" s="669" t="s">
        <v>14</v>
      </c>
      <c r="U38" s="670">
        <f t="shared" si="13"/>
        <v>100</v>
      </c>
      <c r="V38" s="669" t="s">
        <v>14</v>
      </c>
      <c r="W38" s="670">
        <f t="shared" si="14"/>
        <v>100</v>
      </c>
      <c r="X38" s="671"/>
      <c r="Y38" s="344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5"/>
      <c r="Q39" s="1263">
        <f t="shared" si="11"/>
        <v>111</v>
      </c>
      <c r="R39" s="667" t="s">
        <v>14</v>
      </c>
      <c r="S39" s="668">
        <f t="shared" si="12"/>
        <v>100</v>
      </c>
      <c r="T39" s="667" t="s">
        <v>14</v>
      </c>
      <c r="U39" s="668">
        <f t="shared" si="13"/>
        <v>100</v>
      </c>
      <c r="V39" s="667" t="s">
        <v>14</v>
      </c>
      <c r="W39" s="668">
        <f t="shared" si="14"/>
        <v>100</v>
      </c>
      <c r="X39" s="1265"/>
      <c r="Y39" s="344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4.4">
      <c r="A41" s="416" t="s">
        <v>1707</v>
      </c>
      <c r="B41" s="417"/>
      <c r="C41" s="1081" t="s">
        <v>0</v>
      </c>
      <c r="D41" s="418"/>
      <c r="E41" s="419"/>
      <c r="F41" s="420"/>
      <c r="G41" s="421"/>
      <c r="H41" s="422"/>
      <c r="I41" s="419"/>
      <c r="J41" s="422"/>
      <c r="K41" s="674"/>
      <c r="L41" s="873"/>
      <c r="M41" s="861"/>
      <c r="N41" s="861"/>
      <c r="O41" s="861"/>
      <c r="P41" s="3438" t="str">
        <f>A41</f>
        <v>成交单价（元/平方米）</v>
      </c>
      <c r="Q41" s="3438"/>
      <c r="R41" s="3439">
        <f>E41</f>
        <v>0</v>
      </c>
      <c r="S41" s="3439"/>
      <c r="T41" s="3439">
        <f>G41</f>
        <v>0</v>
      </c>
      <c r="U41" s="3439"/>
      <c r="V41" s="3439">
        <f>I41</f>
        <v>0</v>
      </c>
      <c r="W41" s="3439"/>
      <c r="X41" s="385"/>
      <c r="Y41" s="673"/>
      <c r="Z41" s="385"/>
      <c r="AA41" s="385"/>
      <c r="AB41" s="385"/>
      <c r="AC41" s="385"/>
    </row>
    <row r="42" spans="1:29" ht="15" thickBot="1">
      <c r="A42" s="423" t="s">
        <v>1792</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5"/>
      <c r="Y42" s="385"/>
      <c r="Z42" s="385"/>
      <c r="AA42" s="385"/>
      <c r="AB42" s="385"/>
      <c r="AC42" s="385"/>
    </row>
    <row r="43" spans="1:29" ht="15" thickBot="1">
      <c r="A43" s="427" t="s">
        <v>1793</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1797</v>
      </c>
      <c r="B51" s="385"/>
      <c r="C51" s="659"/>
      <c r="D51" s="659"/>
      <c r="E51" s="659"/>
      <c r="F51" s="660"/>
      <c r="G51" s="660"/>
      <c r="H51" s="659"/>
      <c r="I51" s="659"/>
      <c r="J51" s="659"/>
      <c r="K51" s="887"/>
      <c r="L51" s="888"/>
      <c r="M51" s="886"/>
      <c r="N51" s="886"/>
      <c r="O51" s="886"/>
      <c r="P51" s="438"/>
      <c r="Q51" s="439"/>
    </row>
    <row r="52" spans="1:17" s="442" customFormat="1" ht="14.4">
      <c r="A52" s="440" t="s">
        <v>1678</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1718</v>
      </c>
      <c r="B57" s="460" t="s">
        <v>1684</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1687</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1693</v>
      </c>
      <c r="B88" s="460" t="s">
        <v>1735</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3330</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57" t="s">
        <v>1774</v>
      </c>
      <c r="Q4" s="3458"/>
      <c r="R4" s="3463" t="s">
        <v>1770</v>
      </c>
      <c r="S4" s="3464"/>
      <c r="T4" s="3463" t="s">
        <v>1771</v>
      </c>
      <c r="U4" s="3464"/>
      <c r="V4" s="3439" t="s">
        <v>1772</v>
      </c>
      <c r="W4" s="3439"/>
      <c r="X4" s="1265"/>
      <c r="Y4" s="3463" t="s">
        <v>1774</v>
      </c>
      <c r="Z4" s="3464"/>
      <c r="AA4" s="3450" t="s">
        <v>1770</v>
      </c>
      <c r="AB4" s="3451" t="s">
        <v>1771</v>
      </c>
      <c r="AC4" s="3450" t="s">
        <v>1772</v>
      </c>
    </row>
    <row r="5" spans="1:29">
      <c r="A5" s="348"/>
      <c r="B5" s="349"/>
      <c r="C5" s="3471" t="s">
        <v>1672</v>
      </c>
      <c r="D5" s="3472"/>
      <c r="E5" s="3478" t="s">
        <v>1673</v>
      </c>
      <c r="F5" s="3479"/>
      <c r="G5" s="3471" t="s">
        <v>1674</v>
      </c>
      <c r="H5" s="3472"/>
      <c r="I5" s="3471" t="s">
        <v>1675</v>
      </c>
      <c r="J5" s="3472"/>
      <c r="K5" s="537"/>
      <c r="L5" s="2486"/>
      <c r="M5" s="2487"/>
      <c r="N5" s="2487"/>
      <c r="O5" s="2487"/>
      <c r="P5" s="3459"/>
      <c r="Q5" s="3460"/>
      <c r="R5" s="3465"/>
      <c r="S5" s="3466"/>
      <c r="T5" s="3465"/>
      <c r="U5" s="3466"/>
      <c r="V5" s="3439"/>
      <c r="W5" s="3439"/>
      <c r="X5" s="1265"/>
      <c r="Y5" s="3465"/>
      <c r="Z5" s="3466"/>
      <c r="AA5" s="3451"/>
      <c r="AB5" s="3451"/>
      <c r="AC5" s="3451"/>
    </row>
    <row r="6" spans="1:29" ht="15" thickBot="1">
      <c r="A6" s="350"/>
      <c r="B6" s="351"/>
      <c r="C6" s="3469" t="s">
        <v>1676</v>
      </c>
      <c r="D6" s="3470"/>
      <c r="E6" s="3476" t="s">
        <v>1676</v>
      </c>
      <c r="F6" s="3477"/>
      <c r="G6" s="3469" t="s">
        <v>1676</v>
      </c>
      <c r="H6" s="3470"/>
      <c r="I6" s="3469" t="s">
        <v>1676</v>
      </c>
      <c r="J6" s="3470"/>
      <c r="K6" s="537" t="s">
        <v>1677</v>
      </c>
      <c r="L6" s="2486"/>
      <c r="M6" s="2487"/>
      <c r="N6" s="2487"/>
      <c r="O6" s="2487"/>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73" t="s">
        <v>1679</v>
      </c>
      <c r="Q7" s="3475"/>
      <c r="R7" s="664" t="s">
        <v>14</v>
      </c>
      <c r="S7" s="665">
        <f t="shared" ref="S7:S14" si="0">F7</f>
        <v>0</v>
      </c>
      <c r="T7" s="664" t="s">
        <v>14</v>
      </c>
      <c r="U7" s="665">
        <f t="shared" ref="U7:U14" si="1">H7</f>
        <v>0</v>
      </c>
      <c r="V7" s="664" t="s">
        <v>14</v>
      </c>
      <c r="W7" s="665">
        <f t="shared" ref="W7:W14" si="2">J7</f>
        <v>0</v>
      </c>
      <c r="X7" s="666"/>
      <c r="Y7" s="3473" t="s">
        <v>1679</v>
      </c>
      <c r="Z7" s="3474"/>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73" t="s">
        <v>1682</v>
      </c>
      <c r="Q8" s="3474"/>
      <c r="R8" s="664" t="s">
        <v>14</v>
      </c>
      <c r="S8" s="665">
        <f t="shared" si="0"/>
        <v>100</v>
      </c>
      <c r="T8" s="664" t="s">
        <v>14</v>
      </c>
      <c r="U8" s="665">
        <f t="shared" si="1"/>
        <v>100</v>
      </c>
      <c r="V8" s="664" t="s">
        <v>14</v>
      </c>
      <c r="W8" s="665">
        <f t="shared" si="2"/>
        <v>100</v>
      </c>
      <c r="X8" s="666"/>
      <c r="Y8" s="3473" t="s">
        <v>1682</v>
      </c>
      <c r="Z8" s="3474"/>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8" t="s">
        <v>1685</v>
      </c>
      <c r="Q9" s="530" t="str">
        <f t="shared" ref="Q9:Q14" si="6">B9</f>
        <v>用途</v>
      </c>
      <c r="R9" s="664" t="s">
        <v>14</v>
      </c>
      <c r="S9" s="665">
        <f t="shared" si="0"/>
        <v>100</v>
      </c>
      <c r="T9" s="664" t="s">
        <v>14</v>
      </c>
      <c r="U9" s="665">
        <f t="shared" si="1"/>
        <v>100</v>
      </c>
      <c r="V9" s="664" t="s">
        <v>14</v>
      </c>
      <c r="W9" s="665">
        <f t="shared" si="2"/>
        <v>100</v>
      </c>
      <c r="X9" s="666"/>
      <c r="Y9" s="3294" t="s">
        <v>1686</v>
      </c>
      <c r="Z9" s="50" t="str">
        <f t="shared" ref="Z9:Z14" si="7">Q9</f>
        <v>用途</v>
      </c>
      <c r="AA9" s="50">
        <f t="shared" si="3"/>
        <v>1</v>
      </c>
      <c r="AB9" s="50">
        <f t="shared" si="4"/>
        <v>1</v>
      </c>
      <c r="AC9" s="50">
        <f t="shared" si="5"/>
        <v>1</v>
      </c>
    </row>
    <row r="10" spans="1:29" s="366" customFormat="1" ht="28.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8"/>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96.6">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0" t="s">
        <v>1690</v>
      </c>
      <c r="Q14" s="1263" t="str">
        <f t="shared" si="6"/>
        <v>交通便捷度</v>
      </c>
      <c r="R14" s="667" t="s">
        <v>14</v>
      </c>
      <c r="S14" s="668">
        <f t="shared" si="0"/>
        <v>100</v>
      </c>
      <c r="T14" s="667" t="s">
        <v>14</v>
      </c>
      <c r="U14" s="668">
        <f t="shared" si="1"/>
        <v>100</v>
      </c>
      <c r="V14" s="667" t="s">
        <v>14</v>
      </c>
      <c r="W14" s="668">
        <f t="shared" si="2"/>
        <v>100</v>
      </c>
      <c r="X14" s="1265"/>
      <c r="Y14" s="3440"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41"/>
      <c r="Q15" s="1263"/>
      <c r="R15" s="667"/>
      <c r="S15" s="668"/>
      <c r="T15" s="667"/>
      <c r="U15" s="668"/>
      <c r="V15" s="667"/>
      <c r="W15" s="668"/>
      <c r="X15" s="1265"/>
      <c r="Y15" s="3441"/>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41"/>
      <c r="Q17" s="1263"/>
      <c r="R17" s="667"/>
      <c r="S17" s="668"/>
      <c r="T17" s="667"/>
      <c r="U17" s="668"/>
      <c r="V17" s="667"/>
      <c r="W17" s="668"/>
      <c r="X17" s="1265"/>
      <c r="Y17" s="3441"/>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41"/>
      <c r="Q19" s="1263"/>
      <c r="R19" s="667"/>
      <c r="S19" s="668"/>
      <c r="T19" s="667"/>
      <c r="U19" s="668"/>
      <c r="V19" s="667"/>
      <c r="W19" s="668"/>
      <c r="X19" s="1265"/>
      <c r="Y19" s="3441"/>
      <c r="Z19" s="1264"/>
      <c r="AA19" s="1264">
        <v>1</v>
      </c>
      <c r="AB19" s="1264">
        <v>1</v>
      </c>
      <c r="AC19" s="1264">
        <v>1</v>
      </c>
    </row>
    <row r="20" spans="1:29" ht="55.2">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41"/>
      <c r="Q21" s="1263"/>
      <c r="R21" s="667"/>
      <c r="S21" s="668"/>
      <c r="T21" s="667"/>
      <c r="U21" s="668"/>
      <c r="V21" s="667"/>
      <c r="W21" s="668"/>
      <c r="X21" s="1265"/>
      <c r="Y21" s="3441"/>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1"/>
      <c r="Q24" s="1263">
        <f t="shared" ref="Q24:Q36"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30">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95"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5"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5"/>
      <c r="Q27" s="531" t="str">
        <f t="shared" si="11"/>
        <v>项目停车位配比</v>
      </c>
      <c r="R27" s="669" t="s">
        <v>14</v>
      </c>
      <c r="S27" s="670">
        <f t="shared" si="12"/>
        <v>100</v>
      </c>
      <c r="T27" s="669" t="s">
        <v>14</v>
      </c>
      <c r="U27" s="670">
        <f t="shared" si="13"/>
        <v>100</v>
      </c>
      <c r="V27" s="669" t="s">
        <v>14</v>
      </c>
      <c r="W27" s="670">
        <f t="shared" si="14"/>
        <v>100</v>
      </c>
      <c r="X27" s="671"/>
      <c r="Y27" s="3445"/>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5"/>
      <c r="Q28" s="1263" t="str">
        <f t="shared" si="11"/>
        <v>公共部分装修</v>
      </c>
      <c r="R28" s="667" t="s">
        <v>14</v>
      </c>
      <c r="S28" s="668">
        <f t="shared" si="12"/>
        <v>100</v>
      </c>
      <c r="T28" s="667" t="s">
        <v>14</v>
      </c>
      <c r="U28" s="668">
        <f t="shared" si="13"/>
        <v>100</v>
      </c>
      <c r="V28" s="667" t="s">
        <v>14</v>
      </c>
      <c r="W28" s="668">
        <f t="shared" si="14"/>
        <v>100</v>
      </c>
      <c r="X28" s="1265"/>
      <c r="Y28" s="3445"/>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5"/>
      <c r="Q29" s="1263" t="str">
        <f t="shared" si="11"/>
        <v>成新率</v>
      </c>
      <c r="R29" s="667" t="s">
        <v>14</v>
      </c>
      <c r="S29" s="668" t="e">
        <f t="shared" si="12"/>
        <v>#N/A</v>
      </c>
      <c r="T29" s="667" t="s">
        <v>14</v>
      </c>
      <c r="U29" s="668" t="e">
        <f t="shared" si="13"/>
        <v>#N/A</v>
      </c>
      <c r="V29" s="667" t="s">
        <v>14</v>
      </c>
      <c r="W29" s="668" t="e">
        <f t="shared" si="14"/>
        <v>#N/A</v>
      </c>
      <c r="X29" s="1265"/>
      <c r="Y29" s="3445"/>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5"/>
      <c r="Q30" s="1263" t="str">
        <f t="shared" si="11"/>
        <v>物业等级</v>
      </c>
      <c r="R30" s="667" t="s">
        <v>14</v>
      </c>
      <c r="S30" s="668">
        <f t="shared" si="12"/>
        <v>100</v>
      </c>
      <c r="T30" s="667" t="s">
        <v>14</v>
      </c>
      <c r="U30" s="668">
        <f t="shared" si="13"/>
        <v>100</v>
      </c>
      <c r="V30" s="667" t="s">
        <v>14</v>
      </c>
      <c r="W30" s="668">
        <f t="shared" si="14"/>
        <v>100</v>
      </c>
      <c r="X30" s="1265"/>
      <c r="Y30" s="3445"/>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5"/>
      <c r="Q31" s="530" t="str">
        <f t="shared" si="11"/>
        <v>停车位面积</v>
      </c>
      <c r="R31" s="664" t="s">
        <v>14</v>
      </c>
      <c r="S31" s="665" t="e">
        <f t="shared" si="12"/>
        <v>#N/A</v>
      </c>
      <c r="T31" s="664" t="s">
        <v>14</v>
      </c>
      <c r="U31" s="665" t="e">
        <f t="shared" si="13"/>
        <v>#N/A</v>
      </c>
      <c r="V31" s="664" t="s">
        <v>14</v>
      </c>
      <c r="W31" s="665" t="e">
        <f t="shared" si="14"/>
        <v>#N/A</v>
      </c>
      <c r="X31" s="666"/>
      <c r="Y31" s="3445"/>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5" t="s">
        <v>1695</v>
      </c>
      <c r="Q32" s="1263" t="str">
        <f t="shared" si="11"/>
        <v>车位类型</v>
      </c>
      <c r="R32" s="667" t="s">
        <v>14</v>
      </c>
      <c r="S32" s="668">
        <f t="shared" si="12"/>
        <v>100</v>
      </c>
      <c r="T32" s="667" t="s">
        <v>14</v>
      </c>
      <c r="U32" s="668">
        <f t="shared" si="13"/>
        <v>100</v>
      </c>
      <c r="V32" s="667" t="s">
        <v>14</v>
      </c>
      <c r="W32" s="668">
        <f t="shared" si="14"/>
        <v>100</v>
      </c>
      <c r="X32" s="1265"/>
      <c r="Y32" s="3445"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5"/>
      <c r="Q33" s="1263" t="str">
        <f t="shared" si="11"/>
        <v>是否直接入户</v>
      </c>
      <c r="R33" s="667" t="s">
        <v>14</v>
      </c>
      <c r="S33" s="668">
        <f t="shared" si="12"/>
        <v>100</v>
      </c>
      <c r="T33" s="667" t="s">
        <v>14</v>
      </c>
      <c r="U33" s="668">
        <f t="shared" si="13"/>
        <v>100</v>
      </c>
      <c r="V33" s="667" t="s">
        <v>14</v>
      </c>
      <c r="W33" s="668">
        <f t="shared" si="14"/>
        <v>100</v>
      </c>
      <c r="X33" s="1265"/>
      <c r="Y33" s="344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5"/>
      <c r="Q35" s="531">
        <f t="shared" si="11"/>
        <v>111</v>
      </c>
      <c r="R35" s="669" t="s">
        <v>14</v>
      </c>
      <c r="S35" s="670">
        <f t="shared" si="12"/>
        <v>100</v>
      </c>
      <c r="T35" s="669" t="s">
        <v>14</v>
      </c>
      <c r="U35" s="670">
        <f t="shared" si="13"/>
        <v>100</v>
      </c>
      <c r="V35" s="669" t="s">
        <v>14</v>
      </c>
      <c r="W35" s="670">
        <f t="shared" si="14"/>
        <v>100</v>
      </c>
      <c r="X35" s="671"/>
      <c r="Y35" s="344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5"/>
      <c r="Q36" s="1263">
        <f t="shared" si="11"/>
        <v>111</v>
      </c>
      <c r="R36" s="667" t="s">
        <v>14</v>
      </c>
      <c r="S36" s="668">
        <f t="shared" si="12"/>
        <v>100</v>
      </c>
      <c r="T36" s="667" t="s">
        <v>14</v>
      </c>
      <c r="U36" s="668">
        <f t="shared" si="13"/>
        <v>100</v>
      </c>
      <c r="V36" s="667" t="s">
        <v>14</v>
      </c>
      <c r="W36" s="668">
        <f t="shared" si="14"/>
        <v>100</v>
      </c>
      <c r="X36" s="1265"/>
      <c r="Y36" s="3445"/>
      <c r="Z36" s="1264">
        <f t="shared" si="15"/>
        <v>111</v>
      </c>
      <c r="AA36" s="1264">
        <f t="shared" si="3"/>
        <v>1</v>
      </c>
      <c r="AB36" s="1264">
        <f t="shared" si="4"/>
        <v>1</v>
      </c>
      <c r="AC36" s="1264">
        <f t="shared" si="5"/>
        <v>1</v>
      </c>
    </row>
    <row r="37" spans="1:29" ht="14.4">
      <c r="A37" s="416" t="s">
        <v>1843</v>
      </c>
      <c r="B37" s="1821" t="s">
        <v>3351</v>
      </c>
      <c r="C37" s="1081" t="s">
        <v>0</v>
      </c>
      <c r="D37" s="418"/>
      <c r="E37" s="419"/>
      <c r="F37" s="420"/>
      <c r="G37" s="421"/>
      <c r="H37" s="422"/>
      <c r="I37" s="419"/>
      <c r="J37" s="422"/>
      <c r="K37" s="545"/>
      <c r="L37" s="2494"/>
      <c r="M37" s="2487"/>
      <c r="N37" s="2487"/>
      <c r="O37" s="2487"/>
      <c r="P37" s="3438" t="str">
        <f>A37</f>
        <v>成交单价</v>
      </c>
      <c r="Q37" s="3438"/>
      <c r="R37" s="3439">
        <f>E37</f>
        <v>0</v>
      </c>
      <c r="S37" s="3439"/>
      <c r="T37" s="3439">
        <f>G37</f>
        <v>0</v>
      </c>
      <c r="U37" s="3439"/>
      <c r="V37" s="3439">
        <f>I37</f>
        <v>0</v>
      </c>
      <c r="W37" s="3439"/>
      <c r="X37" s="385"/>
      <c r="Y37" s="673"/>
      <c r="Z37" s="385"/>
      <c r="AA37" s="385"/>
      <c r="AB37" s="385"/>
      <c r="AC37" s="385"/>
    </row>
    <row r="38" spans="1:29" ht="15" thickBot="1">
      <c r="A38" s="423" t="s">
        <v>1844</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4"/>
      <c r="M39" s="2487"/>
      <c r="N39" s="2487"/>
      <c r="O39" s="2487"/>
      <c r="P39" s="3435" t="str">
        <f>A39</f>
        <v>估价对象XX用房的比较价值（楼面单价，元/平方米）</v>
      </c>
      <c r="Q39" s="3436"/>
      <c r="R39" s="3496" t="e">
        <f>IF(F1="售价",ROUND(IF(D38="简单平均",AVERAGE(R38:W38),R38*F38+T38*H38+V38*J38),0),ROUND(IF(D38="简单平均",AVERAGE(R38:V38),R38*F38+T38*H38+V38*J38),1))</f>
        <v>#DIV/0!</v>
      </c>
      <c r="S39" s="3496"/>
      <c r="T39" s="3496"/>
      <c r="U39" s="3496"/>
      <c r="V39" s="3496"/>
      <c r="W39" s="349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3331</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57" t="s">
        <v>1774</v>
      </c>
      <c r="Q4" s="3458"/>
      <c r="R4" s="3463" t="s">
        <v>1770</v>
      </c>
      <c r="S4" s="3464"/>
      <c r="T4" s="3463" t="s">
        <v>1771</v>
      </c>
      <c r="U4" s="3464"/>
      <c r="V4" s="3439" t="s">
        <v>1772</v>
      </c>
      <c r="W4" s="3439"/>
      <c r="X4" s="1265"/>
      <c r="Y4" s="3463" t="s">
        <v>1774</v>
      </c>
      <c r="Z4" s="3464"/>
      <c r="AA4" s="3450" t="s">
        <v>1770</v>
      </c>
      <c r="AB4" s="3451" t="s">
        <v>1771</v>
      </c>
      <c r="AC4" s="3450" t="s">
        <v>1772</v>
      </c>
    </row>
    <row r="5" spans="1:29">
      <c r="A5" s="348"/>
      <c r="B5" s="349"/>
      <c r="C5" s="3471" t="s">
        <v>1672</v>
      </c>
      <c r="D5" s="3472"/>
      <c r="E5" s="3478" t="s">
        <v>1673</v>
      </c>
      <c r="F5" s="3479"/>
      <c r="G5" s="3471" t="s">
        <v>1674</v>
      </c>
      <c r="H5" s="3472"/>
      <c r="I5" s="3471" t="s">
        <v>1675</v>
      </c>
      <c r="J5" s="3472"/>
      <c r="K5" s="537"/>
      <c r="L5" s="2486"/>
      <c r="M5" s="2487"/>
      <c r="N5" s="2487"/>
      <c r="O5" s="2487"/>
      <c r="P5" s="3459"/>
      <c r="Q5" s="3460"/>
      <c r="R5" s="3465"/>
      <c r="S5" s="3466"/>
      <c r="T5" s="3465"/>
      <c r="U5" s="3466"/>
      <c r="V5" s="3439"/>
      <c r="W5" s="3439"/>
      <c r="X5" s="1265"/>
      <c r="Y5" s="3465"/>
      <c r="Z5" s="3466"/>
      <c r="AA5" s="3451"/>
      <c r="AB5" s="3451"/>
      <c r="AC5" s="3451"/>
    </row>
    <row r="6" spans="1:29" ht="15" thickBot="1">
      <c r="A6" s="350"/>
      <c r="B6" s="351"/>
      <c r="C6" s="3469" t="s">
        <v>1676</v>
      </c>
      <c r="D6" s="3470"/>
      <c r="E6" s="3476" t="s">
        <v>1676</v>
      </c>
      <c r="F6" s="3477"/>
      <c r="G6" s="3469" t="s">
        <v>1676</v>
      </c>
      <c r="H6" s="3470"/>
      <c r="I6" s="3469" t="s">
        <v>1676</v>
      </c>
      <c r="J6" s="3470"/>
      <c r="K6" s="537" t="s">
        <v>1677</v>
      </c>
      <c r="L6" s="2486"/>
      <c r="M6" s="2487"/>
      <c r="N6" s="2487"/>
      <c r="O6" s="2487"/>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73" t="s">
        <v>1679</v>
      </c>
      <c r="Q7" s="3475"/>
      <c r="R7" s="664" t="s">
        <v>14</v>
      </c>
      <c r="S7" s="665">
        <f t="shared" ref="S7:S14" si="0">F7</f>
        <v>0</v>
      </c>
      <c r="T7" s="664" t="s">
        <v>14</v>
      </c>
      <c r="U7" s="665">
        <f t="shared" ref="U7:U14" si="1">H7</f>
        <v>0</v>
      </c>
      <c r="V7" s="664" t="s">
        <v>14</v>
      </c>
      <c r="W7" s="665">
        <f t="shared" ref="W7:W14" si="2">J7</f>
        <v>0</v>
      </c>
      <c r="X7" s="666"/>
      <c r="Y7" s="3473" t="s">
        <v>1679</v>
      </c>
      <c r="Z7" s="3474"/>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73" t="s">
        <v>1682</v>
      </c>
      <c r="Q8" s="3474"/>
      <c r="R8" s="664" t="s">
        <v>14</v>
      </c>
      <c r="S8" s="665">
        <f t="shared" si="0"/>
        <v>100</v>
      </c>
      <c r="T8" s="664" t="s">
        <v>14</v>
      </c>
      <c r="U8" s="665">
        <f t="shared" si="1"/>
        <v>100</v>
      </c>
      <c r="V8" s="664" t="s">
        <v>14</v>
      </c>
      <c r="W8" s="665">
        <f t="shared" si="2"/>
        <v>100</v>
      </c>
      <c r="X8" s="666"/>
      <c r="Y8" s="3473" t="s">
        <v>1682</v>
      </c>
      <c r="Z8" s="3474"/>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8" t="s">
        <v>1685</v>
      </c>
      <c r="Q9" s="530" t="str">
        <f t="shared" ref="Q9:Q14" si="6">B9</f>
        <v>用途</v>
      </c>
      <c r="R9" s="664" t="s">
        <v>14</v>
      </c>
      <c r="S9" s="665">
        <f t="shared" si="0"/>
        <v>100</v>
      </c>
      <c r="T9" s="664" t="s">
        <v>14</v>
      </c>
      <c r="U9" s="665">
        <f t="shared" si="1"/>
        <v>100</v>
      </c>
      <c r="V9" s="664" t="s">
        <v>14</v>
      </c>
      <c r="W9" s="665">
        <f t="shared" si="2"/>
        <v>100</v>
      </c>
      <c r="X9" s="666"/>
      <c r="Y9" s="3294"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8"/>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8"/>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96.6">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0" t="s">
        <v>1690</v>
      </c>
      <c r="Q14" s="1263" t="str">
        <f t="shared" si="6"/>
        <v>交通便捷度</v>
      </c>
      <c r="R14" s="667" t="s">
        <v>14</v>
      </c>
      <c r="S14" s="668">
        <f t="shared" si="0"/>
        <v>100</v>
      </c>
      <c r="T14" s="667" t="s">
        <v>14</v>
      </c>
      <c r="U14" s="668">
        <f t="shared" si="1"/>
        <v>100</v>
      </c>
      <c r="V14" s="667" t="s">
        <v>14</v>
      </c>
      <c r="W14" s="668">
        <f t="shared" si="2"/>
        <v>100</v>
      </c>
      <c r="X14" s="1265"/>
      <c r="Y14" s="3440"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41"/>
      <c r="Q15" s="1263"/>
      <c r="R15" s="667"/>
      <c r="S15" s="668"/>
      <c r="T15" s="667"/>
      <c r="U15" s="668"/>
      <c r="V15" s="667"/>
      <c r="W15" s="668"/>
      <c r="X15" s="1265"/>
      <c r="Y15" s="3441"/>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41"/>
      <c r="Q17" s="1263"/>
      <c r="R17" s="667"/>
      <c r="S17" s="668"/>
      <c r="T17" s="667"/>
      <c r="U17" s="668"/>
      <c r="V17" s="667"/>
      <c r="W17" s="668"/>
      <c r="X17" s="1265"/>
      <c r="Y17" s="3441"/>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41"/>
      <c r="Q19" s="1263"/>
      <c r="R19" s="667"/>
      <c r="S19" s="668"/>
      <c r="T19" s="667"/>
      <c r="U19" s="668"/>
      <c r="V19" s="667"/>
      <c r="W19" s="668"/>
      <c r="X19" s="1265"/>
      <c r="Y19" s="3441"/>
      <c r="Z19" s="1264"/>
      <c r="AA19" s="1264">
        <v>1</v>
      </c>
      <c r="AB19" s="1264">
        <v>1</v>
      </c>
      <c r="AC19" s="1264">
        <v>1</v>
      </c>
    </row>
    <row r="20" spans="1:29" ht="55.2">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41"/>
      <c r="Q21" s="1263"/>
      <c r="R21" s="667"/>
      <c r="S21" s="668"/>
      <c r="T21" s="667"/>
      <c r="U21" s="668"/>
      <c r="V21" s="667"/>
      <c r="W21" s="668"/>
      <c r="X21" s="1265"/>
      <c r="Y21" s="3441"/>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1"/>
      <c r="Q24" s="1263">
        <f t="shared" ref="Q24:Q34"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30">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95"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5"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5"/>
      <c r="Q27" s="531" t="str">
        <f t="shared" si="11"/>
        <v>成新率</v>
      </c>
      <c r="R27" s="669" t="s">
        <v>14</v>
      </c>
      <c r="S27" s="670" t="e">
        <f t="shared" si="12"/>
        <v>#N/A</v>
      </c>
      <c r="T27" s="669" t="s">
        <v>14</v>
      </c>
      <c r="U27" s="670" t="e">
        <f t="shared" si="13"/>
        <v>#N/A</v>
      </c>
      <c r="V27" s="669" t="s">
        <v>14</v>
      </c>
      <c r="W27" s="670" t="e">
        <f t="shared" si="14"/>
        <v>#N/A</v>
      </c>
      <c r="X27" s="671"/>
      <c r="Y27" s="3445"/>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5"/>
      <c r="Q28" s="1263" t="str">
        <f t="shared" si="11"/>
        <v>物业等级</v>
      </c>
      <c r="R28" s="667" t="s">
        <v>14</v>
      </c>
      <c r="S28" s="668">
        <f t="shared" si="12"/>
        <v>100</v>
      </c>
      <c r="T28" s="667" t="s">
        <v>14</v>
      </c>
      <c r="U28" s="668">
        <f t="shared" si="13"/>
        <v>100</v>
      </c>
      <c r="V28" s="667" t="s">
        <v>14</v>
      </c>
      <c r="W28" s="668">
        <f t="shared" si="14"/>
        <v>100</v>
      </c>
      <c r="X28" s="1265"/>
      <c r="Y28" s="3445"/>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5"/>
      <c r="Q29" s="1263" t="str">
        <f t="shared" si="11"/>
        <v>有无电梯</v>
      </c>
      <c r="R29" s="667" t="s">
        <v>14</v>
      </c>
      <c r="S29" s="668">
        <f t="shared" si="12"/>
        <v>100</v>
      </c>
      <c r="T29" s="667" t="s">
        <v>14</v>
      </c>
      <c r="U29" s="668">
        <f t="shared" si="13"/>
        <v>100</v>
      </c>
      <c r="V29" s="667" t="s">
        <v>14</v>
      </c>
      <c r="W29" s="668">
        <f t="shared" si="14"/>
        <v>100</v>
      </c>
      <c r="X29" s="1265"/>
      <c r="Y29" s="3445"/>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5"/>
      <c r="Q30" s="1263" t="str">
        <f t="shared" si="11"/>
        <v>建筑面积</v>
      </c>
      <c r="R30" s="667" t="s">
        <v>14</v>
      </c>
      <c r="S30" s="668" t="e">
        <f t="shared" si="12"/>
        <v>#N/A</v>
      </c>
      <c r="T30" s="667" t="s">
        <v>14</v>
      </c>
      <c r="U30" s="668" t="e">
        <f t="shared" si="13"/>
        <v>#N/A</v>
      </c>
      <c r="V30" s="667" t="s">
        <v>14</v>
      </c>
      <c r="W30" s="668" t="e">
        <f t="shared" si="14"/>
        <v>#N/A</v>
      </c>
      <c r="X30" s="1265"/>
      <c r="Y30" s="3445"/>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5"/>
      <c r="Q31" s="530" t="str">
        <f t="shared" si="11"/>
        <v>是否封闭</v>
      </c>
      <c r="R31" s="664" t="s">
        <v>14</v>
      </c>
      <c r="S31" s="665">
        <f t="shared" si="12"/>
        <v>100</v>
      </c>
      <c r="T31" s="664" t="s">
        <v>14</v>
      </c>
      <c r="U31" s="665">
        <f t="shared" si="13"/>
        <v>100</v>
      </c>
      <c r="V31" s="664" t="s">
        <v>14</v>
      </c>
      <c r="W31" s="665">
        <f t="shared" si="14"/>
        <v>100</v>
      </c>
      <c r="X31" s="666"/>
      <c r="Y31" s="344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5" t="s">
        <v>1695</v>
      </c>
      <c r="Q32" s="1263">
        <f t="shared" si="11"/>
        <v>111</v>
      </c>
      <c r="R32" s="667" t="s">
        <v>14</v>
      </c>
      <c r="S32" s="668">
        <f t="shared" si="12"/>
        <v>100</v>
      </c>
      <c r="T32" s="667" t="s">
        <v>14</v>
      </c>
      <c r="U32" s="668">
        <f t="shared" si="13"/>
        <v>100</v>
      </c>
      <c r="V32" s="667" t="s">
        <v>14</v>
      </c>
      <c r="W32" s="668">
        <f t="shared" si="14"/>
        <v>100</v>
      </c>
      <c r="X32" s="1265"/>
      <c r="Y32" s="3445"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5"/>
      <c r="Q33" s="1263">
        <f t="shared" si="11"/>
        <v>111</v>
      </c>
      <c r="R33" s="667" t="s">
        <v>14</v>
      </c>
      <c r="S33" s="668">
        <f t="shared" si="12"/>
        <v>100</v>
      </c>
      <c r="T33" s="667" t="s">
        <v>14</v>
      </c>
      <c r="U33" s="668">
        <f t="shared" si="13"/>
        <v>100</v>
      </c>
      <c r="V33" s="667" t="s">
        <v>14</v>
      </c>
      <c r="W33" s="668">
        <f t="shared" si="14"/>
        <v>100</v>
      </c>
      <c r="X33" s="1265"/>
      <c r="Y33" s="344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30" ht="14.4">
      <c r="A35" s="416" t="s">
        <v>1707</v>
      </c>
      <c r="B35" s="417"/>
      <c r="C35" s="1081" t="s">
        <v>0</v>
      </c>
      <c r="D35" s="418"/>
      <c r="E35" s="419"/>
      <c r="F35" s="420"/>
      <c r="G35" s="421"/>
      <c r="H35" s="422"/>
      <c r="I35" s="419"/>
      <c r="J35" s="422"/>
      <c r="K35" s="674"/>
      <c r="L35" s="2494"/>
      <c r="M35" s="2487"/>
      <c r="N35" s="2487"/>
      <c r="O35" s="2487"/>
      <c r="P35" s="3438" t="str">
        <f>A35</f>
        <v>成交单价（元/平方米）</v>
      </c>
      <c r="Q35" s="3438"/>
      <c r="R35" s="3439">
        <f>E35</f>
        <v>0</v>
      </c>
      <c r="S35" s="3439"/>
      <c r="T35" s="3439">
        <f>G35</f>
        <v>0</v>
      </c>
      <c r="U35" s="3439"/>
      <c r="V35" s="3439">
        <f>I35</f>
        <v>0</v>
      </c>
      <c r="W35" s="3439"/>
      <c r="X35" s="385"/>
      <c r="Y35" s="673"/>
      <c r="Z35" s="385"/>
      <c r="AA35" s="385"/>
      <c r="AB35" s="385"/>
      <c r="AC35" s="385"/>
    </row>
    <row r="36" spans="1:30" ht="15" thickBot="1">
      <c r="A36" s="423" t="s">
        <v>1792</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5"/>
      <c r="Y36" s="385"/>
      <c r="Z36" s="385"/>
      <c r="AA36" s="385"/>
      <c r="AB36" s="385"/>
      <c r="AC36" s="385"/>
    </row>
    <row r="37" spans="1:30" ht="15" thickBot="1">
      <c r="A37" s="427" t="s">
        <v>1793</v>
      </c>
      <c r="B37" s="428"/>
      <c r="C37" s="351" t="e">
        <f>R37</f>
        <v>#DIV/0!</v>
      </c>
      <c r="D37" s="351"/>
      <c r="E37" s="351"/>
      <c r="F37" s="351"/>
      <c r="G37" s="351"/>
      <c r="H37" s="351"/>
      <c r="I37" s="351"/>
      <c r="J37" s="351"/>
      <c r="K37" s="675"/>
      <c r="L37" s="2494"/>
      <c r="M37" s="2487"/>
      <c r="N37" s="2487"/>
      <c r="O37" s="2487"/>
      <c r="P37" s="3435" t="str">
        <f>A37</f>
        <v>估价对象XX用房的比较价值（楼面单价，元/平方米）</v>
      </c>
      <c r="Q37" s="3436"/>
      <c r="R37" s="3496" t="e">
        <f>IF(F1="售价",ROUND(IF(D36="简单平均",AVERAGE(R36:W36),R36*F36+T36*H36+V36*J36),0),ROUND(IF(D36="简单平均",AVERAGE(R36:V36),R36*F36+T36*H36+V36*J36),1))</f>
        <v>#DIV/0!</v>
      </c>
      <c r="S37" s="3496"/>
      <c r="T37" s="3496"/>
      <c r="U37" s="3496"/>
      <c r="V37" s="3496"/>
      <c r="W37" s="349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57" t="s">
        <v>1774</v>
      </c>
      <c r="Q4" s="3458"/>
      <c r="R4" s="3463" t="s">
        <v>1770</v>
      </c>
      <c r="S4" s="3464"/>
      <c r="T4" s="3463" t="s">
        <v>1771</v>
      </c>
      <c r="U4" s="3464"/>
      <c r="V4" s="3439" t="s">
        <v>1772</v>
      </c>
      <c r="W4" s="3439"/>
      <c r="X4" s="1265"/>
      <c r="Y4" s="3463" t="s">
        <v>1774</v>
      </c>
      <c r="Z4" s="3464"/>
      <c r="AA4" s="3450" t="s">
        <v>1770</v>
      </c>
      <c r="AB4" s="3451" t="s">
        <v>1771</v>
      </c>
      <c r="AC4" s="3450" t="s">
        <v>1772</v>
      </c>
    </row>
    <row r="5" spans="1:29">
      <c r="A5" s="348"/>
      <c r="B5" s="349"/>
      <c r="C5" s="3471" t="s">
        <v>1672</v>
      </c>
      <c r="D5" s="3472"/>
      <c r="E5" s="3478" t="s">
        <v>1673</v>
      </c>
      <c r="F5" s="3479"/>
      <c r="G5" s="3471" t="s">
        <v>1674</v>
      </c>
      <c r="H5" s="3472"/>
      <c r="I5" s="3471" t="s">
        <v>1675</v>
      </c>
      <c r="J5" s="3472"/>
      <c r="K5" s="537"/>
      <c r="L5" s="2486"/>
      <c r="M5" s="2487"/>
      <c r="N5" s="2487"/>
      <c r="O5" s="2487"/>
      <c r="P5" s="3459"/>
      <c r="Q5" s="3460"/>
      <c r="R5" s="3465"/>
      <c r="S5" s="3466"/>
      <c r="T5" s="3465"/>
      <c r="U5" s="3466"/>
      <c r="V5" s="3439"/>
      <c r="W5" s="3439"/>
      <c r="X5" s="1265"/>
      <c r="Y5" s="3465"/>
      <c r="Z5" s="3466"/>
      <c r="AA5" s="3451"/>
      <c r="AB5" s="3451"/>
      <c r="AC5" s="3451"/>
    </row>
    <row r="6" spans="1:29" ht="15" thickBot="1">
      <c r="A6" s="350"/>
      <c r="B6" s="351"/>
      <c r="C6" s="3469" t="s">
        <v>1676</v>
      </c>
      <c r="D6" s="3470"/>
      <c r="E6" s="3476" t="s">
        <v>1676</v>
      </c>
      <c r="F6" s="3477"/>
      <c r="G6" s="3469" t="s">
        <v>1676</v>
      </c>
      <c r="H6" s="3470"/>
      <c r="I6" s="3469" t="s">
        <v>1676</v>
      </c>
      <c r="J6" s="3470"/>
      <c r="K6" s="537" t="s">
        <v>1677</v>
      </c>
      <c r="L6" s="2486"/>
      <c r="M6" s="2487"/>
      <c r="N6" s="2487"/>
      <c r="O6" s="2487"/>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73" t="s">
        <v>1679</v>
      </c>
      <c r="Q7" s="3475"/>
      <c r="R7" s="664" t="s">
        <v>14</v>
      </c>
      <c r="S7" s="665">
        <f t="shared" ref="S7:S15" si="0">F7</f>
        <v>0</v>
      </c>
      <c r="T7" s="664" t="s">
        <v>14</v>
      </c>
      <c r="U7" s="665">
        <f t="shared" ref="U7:U15" si="1">H7</f>
        <v>0</v>
      </c>
      <c r="V7" s="664" t="s">
        <v>14</v>
      </c>
      <c r="W7" s="665">
        <f t="shared" ref="W7:W15" si="2">J7</f>
        <v>0</v>
      </c>
      <c r="X7" s="666"/>
      <c r="Y7" s="3473" t="s">
        <v>1679</v>
      </c>
      <c r="Z7" s="3474"/>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73" t="s">
        <v>1682</v>
      </c>
      <c r="Q8" s="3474"/>
      <c r="R8" s="664" t="s">
        <v>14</v>
      </c>
      <c r="S8" s="665">
        <f t="shared" si="0"/>
        <v>0</v>
      </c>
      <c r="T8" s="664" t="s">
        <v>14</v>
      </c>
      <c r="U8" s="665">
        <f t="shared" si="1"/>
        <v>0</v>
      </c>
      <c r="V8" s="664" t="s">
        <v>14</v>
      </c>
      <c r="W8" s="665">
        <f t="shared" si="2"/>
        <v>0</v>
      </c>
      <c r="X8" s="666"/>
      <c r="Y8" s="3473" t="s">
        <v>1682</v>
      </c>
      <c r="Z8" s="3474"/>
      <c r="AA8" s="50" t="e">
        <f t="shared" ref="AA8:AA45" si="3">D8/F8</f>
        <v>#DIV/0!</v>
      </c>
      <c r="AB8" s="50" t="e">
        <f t="shared" ref="AB8:AB45" si="4">D8/H8</f>
        <v>#DIV/0!</v>
      </c>
      <c r="AC8" s="50" t="e">
        <f t="shared" ref="AC8:AC45" si="5">D8/J8</f>
        <v>#DIV/0!</v>
      </c>
    </row>
    <row r="9" spans="1:29" s="102" customFormat="1" ht="14.4">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8"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110</v>
      </c>
      <c r="G10" s="402"/>
      <c r="H10" s="119">
        <f>ROUND(100/'数据-取费表'!G16,0)</f>
        <v>110</v>
      </c>
      <c r="I10" s="402"/>
      <c r="J10" s="119">
        <f>ROUND(100/'数据-取费表'!G16,0)</f>
        <v>110</v>
      </c>
      <c r="K10" s="592"/>
      <c r="L10" s="2489"/>
      <c r="M10" s="2490"/>
      <c r="N10" s="2490"/>
      <c r="O10" s="2541"/>
      <c r="P10" s="3438"/>
      <c r="Q10" s="530" t="str">
        <f t="shared" si="6"/>
        <v>土地使用年限（年）</v>
      </c>
      <c r="R10" s="664" t="s">
        <v>14</v>
      </c>
      <c r="S10" s="665">
        <f t="shared" si="0"/>
        <v>110</v>
      </c>
      <c r="T10" s="664" t="s">
        <v>14</v>
      </c>
      <c r="U10" s="665">
        <f t="shared" si="1"/>
        <v>110</v>
      </c>
      <c r="V10" s="664" t="s">
        <v>14</v>
      </c>
      <c r="W10" s="665">
        <f t="shared" si="2"/>
        <v>110</v>
      </c>
      <c r="X10" s="666"/>
      <c r="Y10" s="3294"/>
      <c r="Z10" s="50" t="str">
        <f t="shared" si="7"/>
        <v>土地使用年限（年）</v>
      </c>
      <c r="AA10" s="50">
        <f t="shared" si="3"/>
        <v>0.90909090909090906</v>
      </c>
      <c r="AB10" s="50">
        <f t="shared" si="4"/>
        <v>0.90909090909090906</v>
      </c>
      <c r="AC10" s="50">
        <f t="shared" si="5"/>
        <v>0.90909090909090906</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8"/>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8"/>
      <c r="Q12" s="530" t="str">
        <f t="shared" si="6"/>
        <v>配建</v>
      </c>
      <c r="R12" s="664" t="s">
        <v>14</v>
      </c>
      <c r="S12" s="665">
        <f t="shared" si="0"/>
        <v>100</v>
      </c>
      <c r="T12" s="664" t="s">
        <v>14</v>
      </c>
      <c r="U12" s="665">
        <f t="shared" si="1"/>
        <v>100</v>
      </c>
      <c r="V12" s="664" t="s">
        <v>14</v>
      </c>
      <c r="W12" s="665">
        <f t="shared" si="2"/>
        <v>100</v>
      </c>
      <c r="X12" s="666"/>
      <c r="Y12" s="329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8"/>
      <c r="Q13" s="530">
        <f t="shared" si="6"/>
        <v>111</v>
      </c>
      <c r="R13" s="664" t="s">
        <v>14</v>
      </c>
      <c r="S13" s="665">
        <f t="shared" si="0"/>
        <v>100</v>
      </c>
      <c r="T13" s="664" t="s">
        <v>14</v>
      </c>
      <c r="U13" s="665">
        <f t="shared" si="1"/>
        <v>100</v>
      </c>
      <c r="V13" s="664" t="s">
        <v>14</v>
      </c>
      <c r="W13" s="665">
        <f t="shared" si="2"/>
        <v>100</v>
      </c>
      <c r="X13" s="666"/>
      <c r="Y13" s="329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8"/>
      <c r="Q14" s="530">
        <f t="shared" si="6"/>
        <v>111</v>
      </c>
      <c r="R14" s="664" t="s">
        <v>14</v>
      </c>
      <c r="S14" s="665">
        <f t="shared" si="0"/>
        <v>100</v>
      </c>
      <c r="T14" s="664" t="s">
        <v>14</v>
      </c>
      <c r="U14" s="665">
        <f t="shared" si="1"/>
        <v>100</v>
      </c>
      <c r="V14" s="664" t="s">
        <v>14</v>
      </c>
      <c r="W14" s="665">
        <f t="shared" si="2"/>
        <v>100</v>
      </c>
      <c r="X14" s="666"/>
      <c r="Y14" s="3294"/>
      <c r="Z14" s="50">
        <f t="shared" si="7"/>
        <v>111</v>
      </c>
      <c r="AA14" s="50">
        <f>D14/F14</f>
        <v>1</v>
      </c>
      <c r="AB14" s="50">
        <f>D14/H14</f>
        <v>1</v>
      </c>
      <c r="AC14" s="50">
        <f>D14/J14</f>
        <v>1</v>
      </c>
    </row>
    <row r="15" spans="1:29" ht="96.6">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40" t="s">
        <v>1690</v>
      </c>
      <c r="Q15" s="1263" t="str">
        <f t="shared" si="6"/>
        <v>居住社区成熟度</v>
      </c>
      <c r="R15" s="667" t="s">
        <v>14</v>
      </c>
      <c r="S15" s="668">
        <f t="shared" si="0"/>
        <v>100</v>
      </c>
      <c r="T15" s="667" t="s">
        <v>14</v>
      </c>
      <c r="U15" s="668">
        <f t="shared" si="1"/>
        <v>100</v>
      </c>
      <c r="V15" s="667" t="s">
        <v>14</v>
      </c>
      <c r="W15" s="668">
        <f t="shared" si="2"/>
        <v>100</v>
      </c>
      <c r="X15" s="1265"/>
      <c r="Y15" s="3440"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41"/>
      <c r="Q16" s="1263"/>
      <c r="R16" s="667"/>
      <c r="S16" s="668"/>
      <c r="T16" s="667"/>
      <c r="U16" s="668"/>
      <c r="V16" s="667"/>
      <c r="W16" s="668"/>
      <c r="X16" s="1265"/>
      <c r="Y16" s="3441"/>
      <c r="Z16" s="1264"/>
      <c r="AA16" s="1264">
        <v>1</v>
      </c>
      <c r="AB16" s="1264">
        <v>1</v>
      </c>
      <c r="AC16" s="1264">
        <v>1</v>
      </c>
    </row>
    <row r="17" spans="1:29" ht="82.8">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41"/>
      <c r="Q17" s="1263" t="str">
        <f>B17</f>
        <v>商业繁华度</v>
      </c>
      <c r="R17" s="667" t="s">
        <v>14</v>
      </c>
      <c r="S17" s="668">
        <f>F17</f>
        <v>100</v>
      </c>
      <c r="T17" s="667" t="s">
        <v>14</v>
      </c>
      <c r="U17" s="668">
        <f>H17</f>
        <v>100</v>
      </c>
      <c r="V17" s="667" t="s">
        <v>14</v>
      </c>
      <c r="W17" s="668">
        <f>J17</f>
        <v>100</v>
      </c>
      <c r="X17" s="1265"/>
      <c r="Y17" s="344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41"/>
      <c r="Q18" s="1263"/>
      <c r="R18" s="667"/>
      <c r="S18" s="668"/>
      <c r="T18" s="667"/>
      <c r="U18" s="668"/>
      <c r="V18" s="667"/>
      <c r="W18" s="668"/>
      <c r="X18" s="1265"/>
      <c r="Y18" s="3441"/>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41"/>
      <c r="Q19" s="1263" t="str">
        <f>B19</f>
        <v>办公集聚程度</v>
      </c>
      <c r="R19" s="667" t="s">
        <v>14</v>
      </c>
      <c r="S19" s="668">
        <f>F19</f>
        <v>100</v>
      </c>
      <c r="T19" s="667" t="s">
        <v>14</v>
      </c>
      <c r="U19" s="668">
        <f>H19</f>
        <v>100</v>
      </c>
      <c r="V19" s="667" t="s">
        <v>14</v>
      </c>
      <c r="W19" s="668">
        <f>J19</f>
        <v>100</v>
      </c>
      <c r="X19" s="1265"/>
      <c r="Y19" s="344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41"/>
      <c r="Q20" s="1263"/>
      <c r="R20" s="667"/>
      <c r="S20" s="668"/>
      <c r="T20" s="667"/>
      <c r="U20" s="668"/>
      <c r="V20" s="667"/>
      <c r="W20" s="668"/>
      <c r="X20" s="1265"/>
      <c r="Y20" s="3441"/>
      <c r="Z20" s="1264"/>
      <c r="AA20" s="1264">
        <v>1</v>
      </c>
      <c r="AB20" s="1264">
        <v>1</v>
      </c>
      <c r="AC20" s="1264">
        <v>1</v>
      </c>
    </row>
    <row r="21" spans="1:29" ht="96.6">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41"/>
      <c r="Q21" s="1263" t="str">
        <f>B21</f>
        <v>交通便捷度</v>
      </c>
      <c r="R21" s="667" t="s">
        <v>14</v>
      </c>
      <c r="S21" s="668">
        <f>F21</f>
        <v>100</v>
      </c>
      <c r="T21" s="667" t="s">
        <v>14</v>
      </c>
      <c r="U21" s="668">
        <f>H21</f>
        <v>100</v>
      </c>
      <c r="V21" s="667" t="s">
        <v>14</v>
      </c>
      <c r="W21" s="668">
        <f>J21</f>
        <v>100</v>
      </c>
      <c r="X21" s="1265"/>
      <c r="Y21" s="344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41"/>
      <c r="Q22" s="1263"/>
      <c r="R22" s="667"/>
      <c r="S22" s="668"/>
      <c r="T22" s="667"/>
      <c r="U22" s="668"/>
      <c r="V22" s="667"/>
      <c r="W22" s="668"/>
      <c r="X22" s="1265"/>
      <c r="Y22" s="3441"/>
      <c r="Z22" s="1264"/>
      <c r="AA22" s="1264">
        <v>1</v>
      </c>
      <c r="AB22" s="1264">
        <v>1</v>
      </c>
      <c r="AC22" s="1264">
        <v>1</v>
      </c>
    </row>
    <row r="23" spans="1:29" ht="28.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41"/>
      <c r="Q23" s="1263" t="str">
        <f t="shared" ref="Q23:Q37" si="8">B23</f>
        <v>区域土地利用方向</v>
      </c>
      <c r="R23" s="667" t="s">
        <v>14</v>
      </c>
      <c r="S23" s="668">
        <f>F23</f>
        <v>100</v>
      </c>
      <c r="T23" s="667" t="s">
        <v>14</v>
      </c>
      <c r="U23" s="668">
        <f>H23</f>
        <v>100</v>
      </c>
      <c r="V23" s="667" t="s">
        <v>14</v>
      </c>
      <c r="W23" s="668">
        <f>J23</f>
        <v>100</v>
      </c>
      <c r="X23" s="1265"/>
      <c r="Y23" s="344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41"/>
      <c r="Q24" s="1263"/>
      <c r="R24" s="667"/>
      <c r="S24" s="668"/>
      <c r="T24" s="667"/>
      <c r="U24" s="668"/>
      <c r="V24" s="667"/>
      <c r="W24" s="668"/>
      <c r="X24" s="1265"/>
      <c r="Y24" s="3441"/>
      <c r="Z24" s="1264"/>
      <c r="AA24" s="1264"/>
      <c r="AB24" s="1264"/>
      <c r="AC24" s="1264"/>
    </row>
    <row r="25" spans="1:29" ht="55.2">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41"/>
      <c r="Q25" s="1263" t="str">
        <f t="shared" si="8"/>
        <v>自然及人文环境状况</v>
      </c>
      <c r="R25" s="667" t="s">
        <v>14</v>
      </c>
      <c r="S25" s="668">
        <f>F25</f>
        <v>100</v>
      </c>
      <c r="T25" s="667" t="s">
        <v>14</v>
      </c>
      <c r="U25" s="668">
        <f>H25</f>
        <v>100</v>
      </c>
      <c r="V25" s="667" t="s">
        <v>14</v>
      </c>
      <c r="W25" s="668">
        <f>J25</f>
        <v>100</v>
      </c>
      <c r="X25" s="1265"/>
      <c r="Y25" s="344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41"/>
      <c r="Q26" s="1263"/>
      <c r="R26" s="667"/>
      <c r="S26" s="668"/>
      <c r="T26" s="667"/>
      <c r="U26" s="668"/>
      <c r="V26" s="667"/>
      <c r="W26" s="668"/>
      <c r="X26" s="1265"/>
      <c r="Y26" s="3441"/>
      <c r="Z26" s="1264"/>
      <c r="AA26" s="1264">
        <v>1</v>
      </c>
      <c r="AB26" s="1264">
        <v>1</v>
      </c>
      <c r="AC26" s="1264">
        <v>1</v>
      </c>
    </row>
    <row r="27" spans="1:29" s="102" customFormat="1" ht="41.4">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41"/>
      <c r="Q27" s="530" t="str">
        <f t="shared" si="8"/>
        <v>公共配套设施</v>
      </c>
      <c r="R27" s="664" t="s">
        <v>14</v>
      </c>
      <c r="S27" s="665">
        <f>F27</f>
        <v>100</v>
      </c>
      <c r="T27" s="664" t="s">
        <v>14</v>
      </c>
      <c r="U27" s="665">
        <f>H27</f>
        <v>100</v>
      </c>
      <c r="V27" s="664" t="s">
        <v>14</v>
      </c>
      <c r="W27" s="665">
        <f>J27</f>
        <v>100</v>
      </c>
      <c r="X27" s="666"/>
      <c r="Y27" s="344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41"/>
      <c r="Q28" s="530"/>
      <c r="R28" s="664"/>
      <c r="S28" s="665"/>
      <c r="T28" s="664"/>
      <c r="U28" s="665"/>
      <c r="V28" s="664"/>
      <c r="W28" s="665"/>
      <c r="X28" s="666"/>
      <c r="Y28" s="3441"/>
      <c r="Z28" s="50"/>
      <c r="AA28" s="1264">
        <v>1</v>
      </c>
      <c r="AB28" s="1264">
        <v>1</v>
      </c>
      <c r="AC28" s="1264">
        <v>1</v>
      </c>
    </row>
    <row r="29" spans="1:29" s="102" customFormat="1" ht="41.4">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41"/>
      <c r="Q29" s="530" t="str">
        <f t="shared" ref="Q29" si="9">B29</f>
        <v>基础设施水平</v>
      </c>
      <c r="R29" s="664" t="s">
        <v>14</v>
      </c>
      <c r="S29" s="665">
        <f>F29</f>
        <v>100</v>
      </c>
      <c r="T29" s="664" t="s">
        <v>14</v>
      </c>
      <c r="U29" s="665">
        <f>H29</f>
        <v>100</v>
      </c>
      <c r="V29" s="664" t="s">
        <v>14</v>
      </c>
      <c r="W29" s="665">
        <f>J29</f>
        <v>100</v>
      </c>
      <c r="X29" s="666"/>
      <c r="Y29" s="344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41"/>
      <c r="Q30" s="530"/>
      <c r="R30" s="664"/>
      <c r="S30" s="665"/>
      <c r="T30" s="664"/>
      <c r="U30" s="665"/>
      <c r="V30" s="664"/>
      <c r="W30" s="665"/>
      <c r="X30" s="666"/>
      <c r="Y30" s="3441"/>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4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1"/>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41"/>
      <c r="Q32" s="1263" t="str">
        <f t="shared" si="8"/>
        <v>毗邻道路的类型与等级</v>
      </c>
      <c r="R32" s="667" t="s">
        <v>14</v>
      </c>
      <c r="S32" s="668">
        <f t="shared" si="10"/>
        <v>100</v>
      </c>
      <c r="T32" s="667" t="s">
        <v>14</v>
      </c>
      <c r="U32" s="668">
        <f t="shared" si="11"/>
        <v>100</v>
      </c>
      <c r="V32" s="667" t="s">
        <v>14</v>
      </c>
      <c r="W32" s="668">
        <f t="shared" si="12"/>
        <v>100</v>
      </c>
      <c r="X32" s="1265"/>
      <c r="Y32" s="344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41"/>
      <c r="Q33" s="1263"/>
      <c r="R33" s="667"/>
      <c r="S33" s="668"/>
      <c r="T33" s="667"/>
      <c r="U33" s="668"/>
      <c r="V33" s="667"/>
      <c r="W33" s="668"/>
      <c r="X33" s="1265"/>
      <c r="Y33" s="3441"/>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41"/>
      <c r="Q34" s="1263" t="str">
        <f t="shared" si="8"/>
        <v>土地级别</v>
      </c>
      <c r="R34" s="667" t="s">
        <v>14</v>
      </c>
      <c r="S34" s="668">
        <f t="shared" si="10"/>
        <v>100</v>
      </c>
      <c r="T34" s="667" t="s">
        <v>14</v>
      </c>
      <c r="U34" s="668">
        <f t="shared" si="11"/>
        <v>100</v>
      </c>
      <c r="V34" s="667" t="s">
        <v>14</v>
      </c>
      <c r="W34" s="668">
        <f t="shared" si="12"/>
        <v>100</v>
      </c>
      <c r="X34" s="1265"/>
      <c r="Y34" s="344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41"/>
      <c r="Q35" s="1263">
        <f t="shared" si="8"/>
        <v>111</v>
      </c>
      <c r="R35" s="667" t="s">
        <v>14</v>
      </c>
      <c r="S35" s="668">
        <f t="shared" si="10"/>
        <v>100</v>
      </c>
      <c r="T35" s="667" t="s">
        <v>14</v>
      </c>
      <c r="U35" s="668">
        <f t="shared" si="11"/>
        <v>100</v>
      </c>
      <c r="V35" s="667" t="s">
        <v>14</v>
      </c>
      <c r="W35" s="668">
        <f t="shared" si="12"/>
        <v>100</v>
      </c>
      <c r="X35" s="1265"/>
      <c r="Y35" s="344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95" t="s">
        <v>1695</v>
      </c>
      <c r="Q36" s="1263">
        <f t="shared" si="8"/>
        <v>111</v>
      </c>
      <c r="R36" s="667" t="s">
        <v>14</v>
      </c>
      <c r="S36" s="668">
        <f t="shared" si="10"/>
        <v>100</v>
      </c>
      <c r="T36" s="667" t="s">
        <v>14</v>
      </c>
      <c r="U36" s="668">
        <f t="shared" si="11"/>
        <v>100</v>
      </c>
      <c r="V36" s="667" t="s">
        <v>14</v>
      </c>
      <c r="W36" s="668">
        <f t="shared" si="12"/>
        <v>100</v>
      </c>
      <c r="X36" s="1265"/>
      <c r="Y36" s="3445" t="s">
        <v>1695</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5"/>
      <c r="Q37" s="1263">
        <f t="shared" si="8"/>
        <v>111</v>
      </c>
      <c r="R37" s="669" t="s">
        <v>14</v>
      </c>
      <c r="S37" s="670">
        <f t="shared" si="10"/>
        <v>100</v>
      </c>
      <c r="T37" s="669" t="s">
        <v>14</v>
      </c>
      <c r="U37" s="670">
        <f t="shared" si="11"/>
        <v>100</v>
      </c>
      <c r="V37" s="669" t="s">
        <v>14</v>
      </c>
      <c r="W37" s="670">
        <f t="shared" si="12"/>
        <v>100</v>
      </c>
      <c r="X37" s="671"/>
      <c r="Y37" s="3445"/>
      <c r="Z37" s="672">
        <f t="shared" si="13"/>
        <v>111</v>
      </c>
      <c r="AA37" s="1264">
        <f t="shared" si="3"/>
        <v>1</v>
      </c>
      <c r="AB37" s="1264">
        <f t="shared" si="4"/>
        <v>1</v>
      </c>
      <c r="AC37" s="1264">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5"/>
      <c r="Q38" s="1263" t="str">
        <f>B38</f>
        <v>宗地面积</v>
      </c>
      <c r="R38" s="667" t="s">
        <v>14</v>
      </c>
      <c r="S38" s="668" t="e">
        <f t="shared" si="10"/>
        <v>#N/A</v>
      </c>
      <c r="T38" s="667" t="s">
        <v>14</v>
      </c>
      <c r="U38" s="668" t="e">
        <f t="shared" si="11"/>
        <v>#N/A</v>
      </c>
      <c r="V38" s="667" t="s">
        <v>14</v>
      </c>
      <c r="W38" s="668" t="e">
        <f t="shared" si="12"/>
        <v>#N/A</v>
      </c>
      <c r="X38" s="1265"/>
      <c r="Y38" s="3445"/>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5"/>
      <c r="Q39" s="1263" t="str">
        <f t="shared" ref="Q39:Q45" si="14">B39</f>
        <v>宗地形状</v>
      </c>
      <c r="R39" s="667" t="s">
        <v>14</v>
      </c>
      <c r="S39" s="668">
        <f t="shared" si="10"/>
        <v>100</v>
      </c>
      <c r="T39" s="667" t="s">
        <v>14</v>
      </c>
      <c r="U39" s="668">
        <f t="shared" si="11"/>
        <v>100</v>
      </c>
      <c r="V39" s="667" t="s">
        <v>14</v>
      </c>
      <c r="W39" s="668">
        <f t="shared" si="12"/>
        <v>100</v>
      </c>
      <c r="X39" s="1265"/>
      <c r="Y39" s="3445"/>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5"/>
      <c r="Q40" s="1263" t="str">
        <f t="shared" si="14"/>
        <v>临街宽度及深度</v>
      </c>
      <c r="R40" s="667" t="s">
        <v>14</v>
      </c>
      <c r="S40" s="668">
        <f t="shared" si="10"/>
        <v>100</v>
      </c>
      <c r="T40" s="667" t="s">
        <v>14</v>
      </c>
      <c r="U40" s="668">
        <f t="shared" si="11"/>
        <v>100</v>
      </c>
      <c r="V40" s="667" t="s">
        <v>14</v>
      </c>
      <c r="W40" s="668">
        <f t="shared" si="12"/>
        <v>100</v>
      </c>
      <c r="X40" s="1265"/>
      <c r="Y40" s="3445"/>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5"/>
      <c r="Q41" s="1263" t="str">
        <f t="shared" si="14"/>
        <v>宗地开发程度</v>
      </c>
      <c r="R41" s="664" t="s">
        <v>14</v>
      </c>
      <c r="S41" s="665">
        <f t="shared" si="10"/>
        <v>100</v>
      </c>
      <c r="T41" s="664" t="s">
        <v>14</v>
      </c>
      <c r="U41" s="665">
        <f t="shared" si="11"/>
        <v>100</v>
      </c>
      <c r="V41" s="664" t="s">
        <v>14</v>
      </c>
      <c r="W41" s="665">
        <f t="shared" si="12"/>
        <v>100</v>
      </c>
      <c r="X41" s="666"/>
      <c r="Y41" s="3445"/>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5" t="s">
        <v>1695</v>
      </c>
      <c r="Q42" s="1263" t="str">
        <f t="shared" si="14"/>
        <v>工程地质条件</v>
      </c>
      <c r="R42" s="667" t="s">
        <v>14</v>
      </c>
      <c r="S42" s="668">
        <f t="shared" si="10"/>
        <v>100</v>
      </c>
      <c r="T42" s="667" t="s">
        <v>14</v>
      </c>
      <c r="U42" s="668">
        <f t="shared" si="11"/>
        <v>100</v>
      </c>
      <c r="V42" s="667" t="s">
        <v>14</v>
      </c>
      <c r="W42" s="668">
        <f t="shared" si="12"/>
        <v>100</v>
      </c>
      <c r="X42" s="1265"/>
      <c r="Y42" s="3445"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5"/>
      <c r="Q43" s="1263">
        <f t="shared" si="14"/>
        <v>111</v>
      </c>
      <c r="R43" s="667" t="s">
        <v>14</v>
      </c>
      <c r="S43" s="668">
        <f t="shared" si="10"/>
        <v>100</v>
      </c>
      <c r="T43" s="667" t="s">
        <v>14</v>
      </c>
      <c r="U43" s="668">
        <f t="shared" si="11"/>
        <v>100</v>
      </c>
      <c r="V43" s="667" t="s">
        <v>14</v>
      </c>
      <c r="W43" s="668">
        <f t="shared" si="12"/>
        <v>100</v>
      </c>
      <c r="X43" s="1265"/>
      <c r="Y43" s="344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5"/>
      <c r="Q44" s="1263">
        <f t="shared" si="14"/>
        <v>111</v>
      </c>
      <c r="R44" s="667" t="s">
        <v>14</v>
      </c>
      <c r="S44" s="668">
        <f t="shared" si="10"/>
        <v>100</v>
      </c>
      <c r="T44" s="667" t="s">
        <v>14</v>
      </c>
      <c r="U44" s="668">
        <f t="shared" si="11"/>
        <v>100</v>
      </c>
      <c r="V44" s="667" t="s">
        <v>14</v>
      </c>
      <c r="W44" s="668">
        <f t="shared" si="12"/>
        <v>100</v>
      </c>
      <c r="X44" s="1265"/>
      <c r="Y44" s="344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5"/>
      <c r="Q45" s="1263">
        <f t="shared" si="14"/>
        <v>111</v>
      </c>
      <c r="R45" s="669" t="s">
        <v>14</v>
      </c>
      <c r="S45" s="670">
        <f t="shared" si="10"/>
        <v>100</v>
      </c>
      <c r="T45" s="669" t="s">
        <v>14</v>
      </c>
      <c r="U45" s="670">
        <f t="shared" si="11"/>
        <v>100</v>
      </c>
      <c r="V45" s="669" t="s">
        <v>14</v>
      </c>
      <c r="W45" s="670">
        <f t="shared" si="12"/>
        <v>100</v>
      </c>
      <c r="X45" s="671"/>
      <c r="Y45" s="3445"/>
      <c r="Z45" s="672">
        <f t="shared" si="13"/>
        <v>111</v>
      </c>
      <c r="AA45" s="1264">
        <f t="shared" si="3"/>
        <v>1</v>
      </c>
      <c r="AB45" s="1264">
        <f t="shared" si="4"/>
        <v>1</v>
      </c>
      <c r="AC45" s="1264">
        <f t="shared" si="5"/>
        <v>1</v>
      </c>
    </row>
    <row r="46" spans="1:29" ht="14.4">
      <c r="A46" s="416" t="s">
        <v>1843</v>
      </c>
      <c r="B46" s="1830" t="s">
        <v>1878</v>
      </c>
      <c r="C46" s="602" t="s">
        <v>0</v>
      </c>
      <c r="D46" s="418"/>
      <c r="E46" s="419"/>
      <c r="F46" s="420"/>
      <c r="G46" s="421"/>
      <c r="H46" s="422"/>
      <c r="I46" s="419"/>
      <c r="J46" s="422"/>
      <c r="K46" s="674"/>
      <c r="L46" s="2494"/>
      <c r="M46" s="2487"/>
      <c r="N46" s="2487"/>
      <c r="O46" s="2487"/>
      <c r="P46" s="3438" t="str">
        <f>A46</f>
        <v>成交单价</v>
      </c>
      <c r="Q46" s="3438"/>
      <c r="R46" s="3439">
        <f>E46</f>
        <v>0</v>
      </c>
      <c r="S46" s="3439"/>
      <c r="T46" s="3439">
        <f>G46</f>
        <v>0</v>
      </c>
      <c r="U46" s="3439"/>
      <c r="V46" s="3439">
        <f>I46</f>
        <v>0</v>
      </c>
      <c r="W46" s="3439"/>
      <c r="X46" s="385"/>
      <c r="Y46" s="673"/>
      <c r="Z46" s="385"/>
      <c r="AA46" s="385"/>
      <c r="AB46" s="385"/>
      <c r="AC46" s="385"/>
    </row>
    <row r="47" spans="1:29" ht="15" thickBot="1">
      <c r="A47" s="423" t="s">
        <v>1792</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38" t="str">
        <f>A47</f>
        <v>比较价值（元/平方米）</v>
      </c>
      <c r="Q47" s="3438"/>
      <c r="R47" s="3497" t="e">
        <f>ROUND(PRODUCT(R46,AA7:AA45),0)</f>
        <v>#DIV/0!</v>
      </c>
      <c r="S47" s="3497"/>
      <c r="T47" s="3497" t="e">
        <f>ROUND(PRODUCT(T46,AB7:AB45),0)</f>
        <v>#DIV/0!</v>
      </c>
      <c r="U47" s="3497"/>
      <c r="V47" s="3497" t="e">
        <f>ROUND(PRODUCT(V46,AC7:AC45),0)</f>
        <v>#DIV/0!</v>
      </c>
      <c r="W47" s="3497"/>
      <c r="X47" s="385"/>
      <c r="Y47" s="385"/>
      <c r="Z47" s="385"/>
      <c r="AA47" s="385"/>
      <c r="AB47" s="385"/>
      <c r="AC47" s="385"/>
    </row>
    <row r="48" spans="1:29" ht="15" thickBot="1">
      <c r="A48" s="427" t="s">
        <v>1879</v>
      </c>
      <c r="B48" s="428"/>
      <c r="C48" s="429" t="e">
        <f>R48</f>
        <v>#DIV/0!</v>
      </c>
      <c r="D48" s="429"/>
      <c r="E48" s="429"/>
      <c r="F48" s="429"/>
      <c r="G48" s="429"/>
      <c r="H48" s="429"/>
      <c r="I48" s="429"/>
      <c r="J48" s="429"/>
      <c r="K48" s="675"/>
      <c r="L48" s="2494"/>
      <c r="M48" s="2487"/>
      <c r="N48" s="2487"/>
      <c r="O48" s="2487"/>
      <c r="P48" s="3435" t="str">
        <f>A48</f>
        <v>估价对象XX用房的比较价值（楼面单价，元/平方米）</v>
      </c>
      <c r="Q48" s="3436"/>
      <c r="R48" s="3498" t="e">
        <f>ROUND(IF(D47="简单平均",AVERAGE(R47:W47),R47*F47+T47*H47+V47*J47),0)</f>
        <v>#DIV/0!</v>
      </c>
      <c r="S48" s="3498"/>
      <c r="T48" s="3498"/>
      <c r="U48" s="3498"/>
      <c r="V48" s="3498"/>
      <c r="W48" s="349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453" t="s">
        <v>1886</v>
      </c>
      <c r="H55" s="3499"/>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265707.02</v>
      </c>
      <c r="F56" s="833" t="e">
        <f t="shared" ref="F56:F64" si="15">ROUND(B56*E56/10000,0)</f>
        <v>#DIV/0!</v>
      </c>
      <c r="G56" s="3449"/>
      <c r="H56" s="343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39209.79</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304916.81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2.2"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1903</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1768</v>
      </c>
      <c r="B4" s="346"/>
      <c r="C4" s="3453" t="s">
        <v>1769</v>
      </c>
      <c r="D4" s="3454"/>
      <c r="E4" s="3455" t="s">
        <v>1770</v>
      </c>
      <c r="F4" s="3456"/>
      <c r="G4" s="3453" t="s">
        <v>1771</v>
      </c>
      <c r="H4" s="3454"/>
      <c r="I4" s="3453" t="s">
        <v>1772</v>
      </c>
      <c r="J4" s="3454"/>
      <c r="K4" s="537" t="s">
        <v>1773</v>
      </c>
      <c r="L4" s="2486"/>
      <c r="M4" s="2487"/>
      <c r="N4" s="2487"/>
      <c r="O4" s="2487"/>
      <c r="P4" s="3457" t="s">
        <v>1774</v>
      </c>
      <c r="Q4" s="3458"/>
      <c r="R4" s="3463" t="s">
        <v>1770</v>
      </c>
      <c r="S4" s="3464"/>
      <c r="T4" s="3463" t="s">
        <v>1771</v>
      </c>
      <c r="U4" s="3464"/>
      <c r="V4" s="3439" t="s">
        <v>1772</v>
      </c>
      <c r="W4" s="3439"/>
      <c r="X4" s="1265"/>
      <c r="Y4" s="3463" t="s">
        <v>1774</v>
      </c>
      <c r="Z4" s="3464"/>
      <c r="AA4" s="3450" t="s">
        <v>1770</v>
      </c>
      <c r="AB4" s="3451" t="s">
        <v>1771</v>
      </c>
      <c r="AC4" s="3450" t="s">
        <v>1772</v>
      </c>
    </row>
    <row r="5" spans="1:29">
      <c r="A5" s="348"/>
      <c r="B5" s="349"/>
      <c r="C5" s="3471" t="s">
        <v>1672</v>
      </c>
      <c r="D5" s="3472"/>
      <c r="E5" s="3478" t="s">
        <v>1673</v>
      </c>
      <c r="F5" s="3479"/>
      <c r="G5" s="3471" t="s">
        <v>1674</v>
      </c>
      <c r="H5" s="3472"/>
      <c r="I5" s="3471" t="s">
        <v>1675</v>
      </c>
      <c r="J5" s="3472"/>
      <c r="K5" s="537"/>
      <c r="L5" s="2486"/>
      <c r="M5" s="2487"/>
      <c r="N5" s="2487"/>
      <c r="O5" s="2487"/>
      <c r="P5" s="3459"/>
      <c r="Q5" s="3460"/>
      <c r="R5" s="3465"/>
      <c r="S5" s="3466"/>
      <c r="T5" s="3465"/>
      <c r="U5" s="3466"/>
      <c r="V5" s="3439"/>
      <c r="W5" s="3439"/>
      <c r="X5" s="1265"/>
      <c r="Y5" s="3465"/>
      <c r="Z5" s="3466"/>
      <c r="AA5" s="3451"/>
      <c r="AB5" s="3451"/>
      <c r="AC5" s="3451"/>
    </row>
    <row r="6" spans="1:29" ht="15" thickBot="1">
      <c r="A6" s="350"/>
      <c r="B6" s="351"/>
      <c r="C6" s="3500" t="s">
        <v>1918</v>
      </c>
      <c r="D6" s="3501"/>
      <c r="E6" s="3502" t="s">
        <v>1918</v>
      </c>
      <c r="F6" s="3503"/>
      <c r="G6" s="3500" t="s">
        <v>1918</v>
      </c>
      <c r="H6" s="3501"/>
      <c r="I6" s="3500" t="s">
        <v>1918</v>
      </c>
      <c r="J6" s="3501"/>
      <c r="K6" s="537" t="s">
        <v>1677</v>
      </c>
      <c r="L6" s="2486"/>
      <c r="M6" s="2487"/>
      <c r="N6" s="2487"/>
      <c r="O6" s="2487"/>
      <c r="P6" s="3461"/>
      <c r="Q6" s="3462"/>
      <c r="R6" s="3465"/>
      <c r="S6" s="3466"/>
      <c r="T6" s="3467"/>
      <c r="U6" s="3468"/>
      <c r="V6" s="3439"/>
      <c r="W6" s="3439"/>
      <c r="X6" s="1265"/>
      <c r="Y6" s="3467"/>
      <c r="Z6" s="3468"/>
      <c r="AA6" s="3452"/>
      <c r="AB6" s="3452"/>
      <c r="AC6" s="3452"/>
    </row>
    <row r="7" spans="1:29" s="102" customFormat="1" ht="15" thickBot="1">
      <c r="A7" s="352" t="s">
        <v>1678</v>
      </c>
      <c r="B7" s="353"/>
      <c r="C7" s="354">
        <f>'数据-取费表'!B2</f>
        <v>45993</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73" t="s">
        <v>1679</v>
      </c>
      <c r="Q7" s="3475"/>
      <c r="R7" s="664" t="s">
        <v>14</v>
      </c>
      <c r="S7" s="665">
        <f t="shared" ref="S7:S15" si="0">F7</f>
        <v>0</v>
      </c>
      <c r="T7" s="664" t="s">
        <v>14</v>
      </c>
      <c r="U7" s="665">
        <f t="shared" ref="U7:U15" si="1">H7</f>
        <v>0</v>
      </c>
      <c r="V7" s="664" t="s">
        <v>14</v>
      </c>
      <c r="W7" s="665">
        <f t="shared" ref="W7:W15" si="2">J7</f>
        <v>0</v>
      </c>
      <c r="X7" s="666"/>
      <c r="Y7" s="3473" t="s">
        <v>1679</v>
      </c>
      <c r="Z7" s="3474"/>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73" t="s">
        <v>1682</v>
      </c>
      <c r="Q8" s="3474"/>
      <c r="R8" s="664" t="s">
        <v>14</v>
      </c>
      <c r="S8" s="665">
        <f t="shared" si="0"/>
        <v>0</v>
      </c>
      <c r="T8" s="664" t="s">
        <v>14</v>
      </c>
      <c r="U8" s="665">
        <f t="shared" si="1"/>
        <v>0</v>
      </c>
      <c r="V8" s="664" t="s">
        <v>14</v>
      </c>
      <c r="W8" s="665">
        <f t="shared" si="2"/>
        <v>0</v>
      </c>
      <c r="X8" s="666"/>
      <c r="Y8" s="3473" t="s">
        <v>1682</v>
      </c>
      <c r="Z8" s="3474"/>
      <c r="AA8" s="50" t="e">
        <f t="shared" ref="AA8:AA40" si="3">D8/F8</f>
        <v>#DIV/0!</v>
      </c>
      <c r="AB8" s="50" t="e">
        <f t="shared" ref="AB8:AB40" si="4">D8/H8</f>
        <v>#DIV/0!</v>
      </c>
      <c r="AC8" s="50" t="e">
        <f t="shared" ref="AC8:AC40" si="5">D8/J8</f>
        <v>#DIV/0!</v>
      </c>
    </row>
    <row r="9" spans="1:29" s="102" customFormat="1" ht="14.4">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8" t="s">
        <v>1685</v>
      </c>
      <c r="Q9" s="530" t="str">
        <f t="shared" ref="Q9:Q15" si="6">B9</f>
        <v>用途</v>
      </c>
      <c r="R9" s="664" t="s">
        <v>14</v>
      </c>
      <c r="S9" s="665">
        <f t="shared" si="0"/>
        <v>100</v>
      </c>
      <c r="T9" s="664" t="s">
        <v>14</v>
      </c>
      <c r="U9" s="665">
        <f t="shared" si="1"/>
        <v>100</v>
      </c>
      <c r="V9" s="664" t="s">
        <v>14</v>
      </c>
      <c r="W9" s="665">
        <f t="shared" si="2"/>
        <v>100</v>
      </c>
      <c r="X9" s="666"/>
      <c r="Y9" s="3294"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110</v>
      </c>
      <c r="G10" s="371"/>
      <c r="H10" s="119">
        <f>ROUND(100/'数据-取费表'!G16,0)</f>
        <v>110</v>
      </c>
      <c r="I10" s="371"/>
      <c r="J10" s="119">
        <f>ROUND(100/'数据-取费表'!G16,0)</f>
        <v>110</v>
      </c>
      <c r="K10" s="592"/>
      <c r="L10" s="2489"/>
      <c r="M10" s="2490"/>
      <c r="N10" s="2490"/>
      <c r="O10" s="2541"/>
      <c r="P10" s="3438"/>
      <c r="Q10" s="530" t="str">
        <f t="shared" si="6"/>
        <v>土地使用年限（年）</v>
      </c>
      <c r="R10" s="664" t="s">
        <v>14</v>
      </c>
      <c r="S10" s="665">
        <f t="shared" si="0"/>
        <v>110</v>
      </c>
      <c r="T10" s="664" t="s">
        <v>14</v>
      </c>
      <c r="U10" s="665">
        <f t="shared" si="1"/>
        <v>110</v>
      </c>
      <c r="V10" s="664" t="s">
        <v>14</v>
      </c>
      <c r="W10" s="665">
        <f t="shared" si="2"/>
        <v>110</v>
      </c>
      <c r="X10" s="666"/>
      <c r="Y10" s="3294"/>
      <c r="Z10" s="50" t="str">
        <f t="shared" si="7"/>
        <v>土地使用年限（年）</v>
      </c>
      <c r="AA10" s="50">
        <f t="shared" si="3"/>
        <v>0.90909090909090906</v>
      </c>
      <c r="AB10" s="50">
        <f t="shared" si="4"/>
        <v>0.90909090909090906</v>
      </c>
      <c r="AC10" s="50">
        <f t="shared" si="5"/>
        <v>0.90909090909090906</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8"/>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8"/>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8"/>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8"/>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69">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40" t="s">
        <v>1690</v>
      </c>
      <c r="Q15" s="1263" t="str">
        <f t="shared" si="6"/>
        <v>产业集聚程度</v>
      </c>
      <c r="R15" s="667" t="s">
        <v>14</v>
      </c>
      <c r="S15" s="668">
        <f t="shared" si="0"/>
        <v>100</v>
      </c>
      <c r="T15" s="667" t="s">
        <v>14</v>
      </c>
      <c r="U15" s="668">
        <f t="shared" si="1"/>
        <v>100</v>
      </c>
      <c r="V15" s="667" t="s">
        <v>14</v>
      </c>
      <c r="W15" s="668">
        <f t="shared" si="2"/>
        <v>100</v>
      </c>
      <c r="X15" s="1265"/>
      <c r="Y15" s="3440"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41"/>
      <c r="Q16" s="1263"/>
      <c r="R16" s="667"/>
      <c r="S16" s="668"/>
      <c r="T16" s="667"/>
      <c r="U16" s="668"/>
      <c r="V16" s="667"/>
      <c r="W16" s="668"/>
      <c r="X16" s="1265"/>
      <c r="Y16" s="3441"/>
      <c r="Z16" s="1264"/>
      <c r="AA16" s="1264">
        <v>1</v>
      </c>
      <c r="AB16" s="1264">
        <v>1</v>
      </c>
      <c r="AC16" s="1264">
        <v>1</v>
      </c>
    </row>
    <row r="17" spans="1:29" ht="96.6">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41"/>
      <c r="Q18" s="1263"/>
      <c r="R18" s="667"/>
      <c r="S18" s="668"/>
      <c r="T18" s="667"/>
      <c r="U18" s="668"/>
      <c r="V18" s="667"/>
      <c r="W18" s="668"/>
      <c r="X18" s="1265"/>
      <c r="Y18" s="3441"/>
      <c r="Z18" s="1264"/>
      <c r="AA18" s="1264">
        <v>1</v>
      </c>
      <c r="AB18" s="1264">
        <v>1</v>
      </c>
      <c r="AC18" s="1264">
        <v>1</v>
      </c>
    </row>
    <row r="19" spans="1:29" ht="28.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41"/>
      <c r="Q19" s="1263" t="str">
        <f t="shared" ref="Q19:Q33" si="8">B19</f>
        <v>区域土地利用方向</v>
      </c>
      <c r="R19" s="667" t="s">
        <v>14</v>
      </c>
      <c r="S19" s="668">
        <f>F19</f>
        <v>100</v>
      </c>
      <c r="T19" s="667" t="s">
        <v>14</v>
      </c>
      <c r="U19" s="668">
        <f>H19</f>
        <v>100</v>
      </c>
      <c r="V19" s="667" t="s">
        <v>14</v>
      </c>
      <c r="W19" s="668">
        <f>J19</f>
        <v>100</v>
      </c>
      <c r="X19" s="1265"/>
      <c r="Y19" s="344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41"/>
      <c r="Q20" s="1263"/>
      <c r="R20" s="667"/>
      <c r="S20" s="668"/>
      <c r="T20" s="667"/>
      <c r="U20" s="668"/>
      <c r="V20" s="667"/>
      <c r="W20" s="668"/>
      <c r="X20" s="1265"/>
      <c r="Y20" s="3441"/>
      <c r="Z20" s="1264"/>
      <c r="AA20" s="1264"/>
      <c r="AB20" s="1264"/>
      <c r="AC20" s="1264"/>
    </row>
    <row r="21" spans="1:29" ht="82.8">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41"/>
      <c r="Q21" s="1263" t="str">
        <f t="shared" si="8"/>
        <v>环境状况</v>
      </c>
      <c r="R21" s="667" t="s">
        <v>14</v>
      </c>
      <c r="S21" s="668">
        <f>F21</f>
        <v>100</v>
      </c>
      <c r="T21" s="667" t="s">
        <v>14</v>
      </c>
      <c r="U21" s="668">
        <f>H21</f>
        <v>100</v>
      </c>
      <c r="V21" s="667" t="s">
        <v>14</v>
      </c>
      <c r="W21" s="668">
        <f>J21</f>
        <v>100</v>
      </c>
      <c r="X21" s="1265"/>
      <c r="Y21" s="344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41"/>
      <c r="Q22" s="1263"/>
      <c r="R22" s="667"/>
      <c r="S22" s="668"/>
      <c r="T22" s="667"/>
      <c r="U22" s="668"/>
      <c r="V22" s="667"/>
      <c r="W22" s="668"/>
      <c r="X22" s="1265"/>
      <c r="Y22" s="3441"/>
      <c r="Z22" s="1264"/>
      <c r="AA22" s="1264">
        <v>1</v>
      </c>
      <c r="AB22" s="1264">
        <v>1</v>
      </c>
      <c r="AC22" s="1264">
        <v>1</v>
      </c>
    </row>
    <row r="23" spans="1:29" s="102" customFormat="1" ht="41.4">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41"/>
      <c r="Q23" s="530" t="str">
        <f t="shared" si="8"/>
        <v>公共配套设施</v>
      </c>
      <c r="R23" s="664" t="s">
        <v>14</v>
      </c>
      <c r="S23" s="665">
        <f>F23</f>
        <v>100</v>
      </c>
      <c r="T23" s="664" t="s">
        <v>14</v>
      </c>
      <c r="U23" s="665">
        <f>H23</f>
        <v>100</v>
      </c>
      <c r="V23" s="664" t="s">
        <v>14</v>
      </c>
      <c r="W23" s="665">
        <f>J23</f>
        <v>100</v>
      </c>
      <c r="X23" s="666"/>
      <c r="Y23" s="344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41"/>
      <c r="Q24" s="530"/>
      <c r="R24" s="664"/>
      <c r="S24" s="665"/>
      <c r="T24" s="664"/>
      <c r="U24" s="665"/>
      <c r="V24" s="664"/>
      <c r="W24" s="665"/>
      <c r="X24" s="666"/>
      <c r="Y24" s="3441"/>
      <c r="Z24" s="50"/>
      <c r="AA24" s="50">
        <v>1</v>
      </c>
      <c r="AB24" s="50">
        <v>1</v>
      </c>
      <c r="AC24" s="50">
        <v>1</v>
      </c>
    </row>
    <row r="25" spans="1:29" s="102" customFormat="1" ht="41.4">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41"/>
      <c r="Q25" s="530" t="str">
        <f t="shared" ref="Q25" si="9">B25</f>
        <v>基础设施水平</v>
      </c>
      <c r="R25" s="664" t="s">
        <v>14</v>
      </c>
      <c r="S25" s="665">
        <f>F25</f>
        <v>100</v>
      </c>
      <c r="T25" s="664" t="s">
        <v>14</v>
      </c>
      <c r="U25" s="665">
        <f>H25</f>
        <v>100</v>
      </c>
      <c r="V25" s="664" t="s">
        <v>14</v>
      </c>
      <c r="W25" s="665">
        <f>J25</f>
        <v>100</v>
      </c>
      <c r="X25" s="666"/>
      <c r="Y25" s="344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41"/>
      <c r="Q26" s="530"/>
      <c r="R26" s="664"/>
      <c r="S26" s="665"/>
      <c r="T26" s="664"/>
      <c r="U26" s="665"/>
      <c r="V26" s="664"/>
      <c r="W26" s="665"/>
      <c r="X26" s="666"/>
      <c r="Y26" s="3441"/>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4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1"/>
      <c r="Z27" s="1264" t="str">
        <f t="shared" ref="Z27:Z40" si="13">Q27</f>
        <v>临街状况</v>
      </c>
      <c r="AA27" s="1264">
        <f t="shared" si="3"/>
        <v>1</v>
      </c>
      <c r="AB27" s="1264">
        <f t="shared" si="4"/>
        <v>1</v>
      </c>
      <c r="AC27" s="1264">
        <f t="shared" si="5"/>
        <v>1</v>
      </c>
    </row>
    <row r="28" spans="1:29" ht="28.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41"/>
      <c r="Q28" s="1263" t="str">
        <f t="shared" si="8"/>
        <v>毗邻道路的类型与等级</v>
      </c>
      <c r="R28" s="667" t="s">
        <v>14</v>
      </c>
      <c r="S28" s="668">
        <f t="shared" si="10"/>
        <v>100</v>
      </c>
      <c r="T28" s="667" t="s">
        <v>14</v>
      </c>
      <c r="U28" s="668">
        <f t="shared" si="11"/>
        <v>100</v>
      </c>
      <c r="V28" s="667" t="s">
        <v>14</v>
      </c>
      <c r="W28" s="668">
        <f t="shared" si="12"/>
        <v>100</v>
      </c>
      <c r="X28" s="1265"/>
      <c r="Y28" s="344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41"/>
      <c r="Q29" s="1263"/>
      <c r="R29" s="667"/>
      <c r="S29" s="668"/>
      <c r="T29" s="667"/>
      <c r="U29" s="668"/>
      <c r="V29" s="667"/>
      <c r="W29" s="668"/>
      <c r="X29" s="1265"/>
      <c r="Y29" s="3441"/>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41"/>
      <c r="Q30" s="1263" t="str">
        <f t="shared" si="8"/>
        <v>土地级别</v>
      </c>
      <c r="R30" s="667" t="s">
        <v>14</v>
      </c>
      <c r="S30" s="668">
        <f t="shared" si="10"/>
        <v>100</v>
      </c>
      <c r="T30" s="667" t="s">
        <v>14</v>
      </c>
      <c r="U30" s="668">
        <f t="shared" si="11"/>
        <v>100</v>
      </c>
      <c r="V30" s="667" t="s">
        <v>14</v>
      </c>
      <c r="W30" s="668">
        <f t="shared" si="12"/>
        <v>100</v>
      </c>
      <c r="X30" s="1265"/>
      <c r="Y30" s="344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1"/>
      <c r="Q31" s="1263">
        <f t="shared" si="8"/>
        <v>111</v>
      </c>
      <c r="R31" s="667" t="s">
        <v>14</v>
      </c>
      <c r="S31" s="668">
        <f t="shared" si="10"/>
        <v>100</v>
      </c>
      <c r="T31" s="667" t="s">
        <v>14</v>
      </c>
      <c r="U31" s="668">
        <f t="shared" si="11"/>
        <v>100</v>
      </c>
      <c r="V31" s="667" t="s">
        <v>14</v>
      </c>
      <c r="W31" s="668">
        <f t="shared" si="12"/>
        <v>100</v>
      </c>
      <c r="X31" s="1265"/>
      <c r="Y31" s="344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95" t="s">
        <v>1695</v>
      </c>
      <c r="Q32" s="1263">
        <f t="shared" si="8"/>
        <v>111</v>
      </c>
      <c r="R32" s="667" t="s">
        <v>14</v>
      </c>
      <c r="S32" s="668">
        <f t="shared" si="10"/>
        <v>100</v>
      </c>
      <c r="T32" s="667" t="s">
        <v>14</v>
      </c>
      <c r="U32" s="668">
        <f t="shared" si="11"/>
        <v>100</v>
      </c>
      <c r="V32" s="667" t="s">
        <v>14</v>
      </c>
      <c r="W32" s="668">
        <f t="shared" si="12"/>
        <v>100</v>
      </c>
      <c r="X32" s="1265"/>
      <c r="Y32" s="3445" t="s">
        <v>1695</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5"/>
      <c r="Q33" s="1263">
        <f t="shared" si="8"/>
        <v>111</v>
      </c>
      <c r="R33" s="669" t="s">
        <v>14</v>
      </c>
      <c r="S33" s="670">
        <f t="shared" si="10"/>
        <v>100</v>
      </c>
      <c r="T33" s="669" t="s">
        <v>14</v>
      </c>
      <c r="U33" s="670">
        <f t="shared" si="11"/>
        <v>100</v>
      </c>
      <c r="V33" s="669" t="s">
        <v>14</v>
      </c>
      <c r="W33" s="670">
        <f t="shared" si="12"/>
        <v>100</v>
      </c>
      <c r="X33" s="671"/>
      <c r="Y33" s="3445"/>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5"/>
      <c r="Q34" s="1263" t="str">
        <f>B34</f>
        <v>宗地面积</v>
      </c>
      <c r="R34" s="667" t="s">
        <v>14</v>
      </c>
      <c r="S34" s="668" t="e">
        <f t="shared" si="10"/>
        <v>#N/A</v>
      </c>
      <c r="T34" s="667" t="s">
        <v>14</v>
      </c>
      <c r="U34" s="668" t="e">
        <f t="shared" si="11"/>
        <v>#N/A</v>
      </c>
      <c r="V34" s="667" t="s">
        <v>14</v>
      </c>
      <c r="W34" s="668" t="e">
        <f t="shared" si="12"/>
        <v>#N/A</v>
      </c>
      <c r="X34" s="1265"/>
      <c r="Y34" s="3445"/>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5"/>
      <c r="Q35" s="1263" t="str">
        <f t="shared" ref="Q35:Q40" si="14">B35</f>
        <v>宗地形状</v>
      </c>
      <c r="R35" s="667" t="s">
        <v>14</v>
      </c>
      <c r="S35" s="668">
        <f t="shared" si="10"/>
        <v>100</v>
      </c>
      <c r="T35" s="667" t="s">
        <v>14</v>
      </c>
      <c r="U35" s="668">
        <f t="shared" si="11"/>
        <v>100</v>
      </c>
      <c r="V35" s="667" t="s">
        <v>14</v>
      </c>
      <c r="W35" s="668">
        <f t="shared" si="12"/>
        <v>100</v>
      </c>
      <c r="X35" s="1265"/>
      <c r="Y35" s="3445"/>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5"/>
      <c r="Q36" s="1263" t="str">
        <f t="shared" si="14"/>
        <v>宗地开发程度</v>
      </c>
      <c r="R36" s="664" t="s">
        <v>14</v>
      </c>
      <c r="S36" s="665">
        <f t="shared" si="10"/>
        <v>100</v>
      </c>
      <c r="T36" s="664" t="s">
        <v>14</v>
      </c>
      <c r="U36" s="665">
        <f t="shared" si="11"/>
        <v>100</v>
      </c>
      <c r="V36" s="664" t="s">
        <v>14</v>
      </c>
      <c r="W36" s="665">
        <f t="shared" si="12"/>
        <v>100</v>
      </c>
      <c r="X36" s="666"/>
      <c r="Y36" s="3445"/>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5" t="s">
        <v>1695</v>
      </c>
      <c r="Q37" s="1263" t="str">
        <f t="shared" si="14"/>
        <v>工程地质条件</v>
      </c>
      <c r="R37" s="667" t="s">
        <v>14</v>
      </c>
      <c r="S37" s="668">
        <f t="shared" si="10"/>
        <v>100</v>
      </c>
      <c r="T37" s="667" t="s">
        <v>14</v>
      </c>
      <c r="U37" s="668">
        <f t="shared" si="11"/>
        <v>100</v>
      </c>
      <c r="V37" s="667" t="s">
        <v>14</v>
      </c>
      <c r="W37" s="668">
        <f t="shared" si="12"/>
        <v>100</v>
      </c>
      <c r="X37" s="1265"/>
      <c r="Y37" s="3445"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5"/>
      <c r="Q38" s="1263">
        <f t="shared" si="14"/>
        <v>111</v>
      </c>
      <c r="R38" s="667" t="s">
        <v>14</v>
      </c>
      <c r="S38" s="668">
        <f t="shared" si="10"/>
        <v>100</v>
      </c>
      <c r="T38" s="667" t="s">
        <v>14</v>
      </c>
      <c r="U38" s="668">
        <f t="shared" si="11"/>
        <v>100</v>
      </c>
      <c r="V38" s="667" t="s">
        <v>14</v>
      </c>
      <c r="W38" s="668">
        <f t="shared" si="12"/>
        <v>100</v>
      </c>
      <c r="X38" s="1265"/>
      <c r="Y38" s="344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5"/>
      <c r="Q39" s="1263">
        <f t="shared" si="14"/>
        <v>111</v>
      </c>
      <c r="R39" s="667" t="s">
        <v>14</v>
      </c>
      <c r="S39" s="668">
        <f t="shared" si="10"/>
        <v>100</v>
      </c>
      <c r="T39" s="667" t="s">
        <v>14</v>
      </c>
      <c r="U39" s="668">
        <f t="shared" si="11"/>
        <v>100</v>
      </c>
      <c r="V39" s="667" t="s">
        <v>14</v>
      </c>
      <c r="W39" s="668">
        <f t="shared" si="12"/>
        <v>100</v>
      </c>
      <c r="X39" s="1265"/>
      <c r="Y39" s="344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5"/>
      <c r="Q40" s="1263">
        <f t="shared" si="14"/>
        <v>111</v>
      </c>
      <c r="R40" s="669" t="s">
        <v>14</v>
      </c>
      <c r="S40" s="670">
        <f t="shared" si="10"/>
        <v>100</v>
      </c>
      <c r="T40" s="669" t="s">
        <v>14</v>
      </c>
      <c r="U40" s="670">
        <f t="shared" si="11"/>
        <v>100</v>
      </c>
      <c r="V40" s="669" t="s">
        <v>14</v>
      </c>
      <c r="W40" s="670">
        <f t="shared" si="12"/>
        <v>100</v>
      </c>
      <c r="X40" s="671"/>
      <c r="Y40" s="3445"/>
      <c r="Z40" s="672">
        <f t="shared" si="13"/>
        <v>111</v>
      </c>
      <c r="AA40" s="1264">
        <f t="shared" si="3"/>
        <v>1</v>
      </c>
      <c r="AB40" s="1264">
        <f t="shared" si="4"/>
        <v>1</v>
      </c>
      <c r="AC40" s="1264">
        <f t="shared" si="5"/>
        <v>1</v>
      </c>
    </row>
    <row r="41" spans="1:31" ht="14.4">
      <c r="A41" s="416" t="s">
        <v>1843</v>
      </c>
      <c r="B41" s="1830" t="s">
        <v>1921</v>
      </c>
      <c r="C41" s="602" t="s">
        <v>0</v>
      </c>
      <c r="D41" s="418"/>
      <c r="E41" s="419"/>
      <c r="F41" s="420"/>
      <c r="G41" s="421"/>
      <c r="H41" s="422"/>
      <c r="I41" s="419"/>
      <c r="J41" s="422"/>
      <c r="K41" s="674"/>
      <c r="L41" s="2494"/>
      <c r="M41" s="2487"/>
      <c r="N41" s="2487"/>
      <c r="O41" s="2487"/>
      <c r="P41" s="3438" t="str">
        <f>A41</f>
        <v>成交单价</v>
      </c>
      <c r="Q41" s="3438"/>
      <c r="R41" s="3439">
        <f>E41</f>
        <v>0</v>
      </c>
      <c r="S41" s="3439"/>
      <c r="T41" s="3439">
        <f>G41</f>
        <v>0</v>
      </c>
      <c r="U41" s="3439"/>
      <c r="V41" s="3439">
        <f>I41</f>
        <v>0</v>
      </c>
      <c r="W41" s="3439"/>
      <c r="X41" s="385"/>
      <c r="Y41" s="673"/>
      <c r="Z41" s="385"/>
      <c r="AA41" s="385"/>
      <c r="AB41" s="385"/>
      <c r="AC41" s="385"/>
    </row>
    <row r="42" spans="1:31" ht="15" thickBot="1">
      <c r="A42" s="423" t="s">
        <v>1792</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38" t="str">
        <f>A42</f>
        <v>比较价值（元/平方米）</v>
      </c>
      <c r="Q42" s="3438"/>
      <c r="R42" s="3497" t="e">
        <f>ROUND(PRODUCT(R41,AA7:AA40),0)</f>
        <v>#DIV/0!</v>
      </c>
      <c r="S42" s="3497"/>
      <c r="T42" s="3497" t="e">
        <f>ROUND(PRODUCT(T41,AB7:AB40),0)</f>
        <v>#DIV/0!</v>
      </c>
      <c r="U42" s="3497"/>
      <c r="V42" s="3497" t="e">
        <f>ROUND(PRODUCT(V41,AC7:AC40),0)</f>
        <v>#DIV/0!</v>
      </c>
      <c r="W42" s="3497"/>
      <c r="X42" s="385"/>
      <c r="Y42" s="385"/>
      <c r="Z42" s="385"/>
      <c r="AA42" s="385"/>
      <c r="AB42" s="385"/>
      <c r="AC42" s="385"/>
    </row>
    <row r="43" spans="1:31" ht="15" thickBot="1">
      <c r="A43" s="427" t="s">
        <v>1793</v>
      </c>
      <c r="B43" s="428"/>
      <c r="C43" s="429" t="e">
        <f>R43</f>
        <v>#DIV/0!</v>
      </c>
      <c r="D43" s="429"/>
      <c r="E43" s="429"/>
      <c r="F43" s="429"/>
      <c r="G43" s="429"/>
      <c r="H43" s="429"/>
      <c r="I43" s="429"/>
      <c r="J43" s="429"/>
      <c r="K43" s="675"/>
      <c r="L43" s="2494"/>
      <c r="M43" s="2487"/>
      <c r="N43" s="2487"/>
      <c r="O43" s="2487"/>
      <c r="P43" s="3435" t="str">
        <f>A43</f>
        <v>估价对象XX用房的比较价值（楼面单价，元/平方米）</v>
      </c>
      <c r="Q43" s="3436"/>
      <c r="R43" s="3498" t="e">
        <f>ROUND(IF(D42="简单平均",AVERAGE(R42:W42),R42*F42+T42*H42+V42*J42),0)</f>
        <v>#DIV/0!</v>
      </c>
      <c r="S43" s="3498"/>
      <c r="T43" s="3498"/>
      <c r="U43" s="3498"/>
      <c r="V43" s="3498"/>
      <c r="W43" s="349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1880</v>
      </c>
      <c r="B50" s="605" t="s">
        <v>1881</v>
      </c>
      <c r="C50" s="1831" t="s">
        <v>1882</v>
      </c>
      <c r="D50" s="1832" t="s">
        <v>1883</v>
      </c>
      <c r="E50" s="606" t="s">
        <v>1884</v>
      </c>
      <c r="F50" s="607" t="s">
        <v>1885</v>
      </c>
      <c r="G50" s="3453" t="s">
        <v>1886</v>
      </c>
      <c r="H50" s="3499"/>
      <c r="I50" s="1264" t="s">
        <v>1922</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265707.02</v>
      </c>
      <c r="F51" s="611" t="e">
        <f t="shared" ref="F51:F60" si="15">ROUND(B51*E51/10000,0)</f>
        <v>#DIV/0!</v>
      </c>
      <c r="G51" s="3449"/>
      <c r="H51" s="343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39209.79</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1902</v>
      </c>
      <c r="B61" s="616" t="s">
        <v>22</v>
      </c>
      <c r="C61" s="616" t="s">
        <v>23</v>
      </c>
      <c r="D61" s="616" t="s">
        <v>392</v>
      </c>
      <c r="E61" s="616">
        <f>IF(B41="楼面地价",SUM(E51:E60),'数据-汇总表'!D3)</f>
        <v>116233.68</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2.2"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1903</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07" t="s">
        <v>2083</v>
      </c>
      <c r="D1" s="3508"/>
      <c r="E1" s="3508"/>
      <c r="F1" s="3508"/>
      <c r="G1" s="3508"/>
      <c r="H1" s="3508"/>
      <c r="I1" s="3508"/>
      <c r="J1" s="3508"/>
      <c r="K1" s="3508"/>
      <c r="L1" s="3508"/>
      <c r="M1" s="3508"/>
      <c r="N1" s="3508"/>
      <c r="O1" s="3508"/>
      <c r="P1" s="3508"/>
      <c r="Q1" s="3508"/>
      <c r="R1" s="3508"/>
      <c r="S1" s="3509"/>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04" t="s">
        <v>27</v>
      </c>
      <c r="D22" s="3505"/>
      <c r="E22" s="3505"/>
      <c r="F22" s="3505"/>
      <c r="G22" s="3505"/>
      <c r="H22" s="3505"/>
      <c r="I22" s="3505"/>
      <c r="J22" s="3505"/>
      <c r="K22" s="3505"/>
      <c r="L22" s="3505"/>
      <c r="M22" s="3505"/>
      <c r="N22" s="3505"/>
      <c r="O22" s="3505"/>
      <c r="P22" s="3505"/>
      <c r="Q22" s="350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4"/>
      <c r="G1" s="2544"/>
      <c r="H1" s="2544"/>
      <c r="I1" s="2544"/>
      <c r="J1" s="2544"/>
      <c r="K1" s="2544"/>
      <c r="L1" s="2544"/>
      <c r="M1" s="2544"/>
      <c r="N1" s="2544"/>
      <c r="O1" s="2544"/>
      <c r="P1" s="2544"/>
    </row>
    <row r="2" spans="1:16" ht="15.6">
      <c r="A2" s="1984" t="s">
        <v>2072</v>
      </c>
      <c r="B2" s="2387">
        <f ca="1">SUMIF(B6:B13,"&lt;&gt;#ref!",B6:B13)</f>
        <v>101025</v>
      </c>
      <c r="C2" s="1984" t="s">
        <v>2073</v>
      </c>
      <c r="D2" s="1984" t="s">
        <v>2074</v>
      </c>
      <c r="E2" s="2397">
        <f ca="1">SUMIF(E6:E13,"&lt;&gt;#ref!",E6:E13)</f>
        <v>343024.03999999992</v>
      </c>
      <c r="F2" s="2544"/>
      <c r="G2" s="2544"/>
      <c r="H2" s="2544"/>
      <c r="I2" s="2544"/>
      <c r="J2" s="2544"/>
      <c r="K2" s="2544"/>
      <c r="L2" s="2544"/>
      <c r="M2" s="2544"/>
      <c r="N2" s="2544"/>
      <c r="O2" s="2544"/>
      <c r="P2" s="2544"/>
    </row>
    <row r="3" spans="1:16" ht="15.6">
      <c r="A3" s="1984" t="s">
        <v>2075</v>
      </c>
      <c r="B3" s="2387">
        <f ca="1">ROUND(B2*10000/E2,0)</f>
        <v>2945</v>
      </c>
      <c r="C3" s="1984"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5"/>
      <c r="D5" s="2544"/>
      <c r="E5" s="2396" t="s">
        <v>2078</v>
      </c>
      <c r="F5" s="2544"/>
      <c r="G5" s="2544"/>
      <c r="H5" s="2544"/>
      <c r="I5" s="2544"/>
      <c r="J5" s="2544"/>
      <c r="K5" s="2544"/>
      <c r="L5" s="2544"/>
      <c r="M5" s="2544"/>
      <c r="N5" s="2544"/>
      <c r="O5" s="2544"/>
      <c r="P5" s="2544"/>
    </row>
    <row r="6" spans="1:16" ht="15.6">
      <c r="A6" s="2394" t="s">
        <v>2079</v>
      </c>
      <c r="B6" s="2387">
        <f ca="1">SUMIF(INDIRECT("'"&amp;A6&amp;"'"&amp;"!A:A"),"总价",INDIRECT("'"&amp;A6&amp;"'"&amp;"!B:B"))</f>
        <v>101025</v>
      </c>
      <c r="C6" s="1984" t="s">
        <v>2073</v>
      </c>
      <c r="D6" s="2544"/>
      <c r="E6" s="2397">
        <f ca="1">SUMIF(INDIRECT("'"&amp;A6&amp;"'"&amp;"!C:C"),"建筑面积",INDIRECT("'"&amp;A6&amp;"'"&amp;"!D:D"))</f>
        <v>343024.03999999992</v>
      </c>
      <c r="F6" s="2544"/>
      <c r="G6" s="2544"/>
      <c r="H6" s="2544"/>
      <c r="I6" s="2544"/>
      <c r="J6" s="2544"/>
      <c r="K6" s="2544"/>
      <c r="L6" s="2544"/>
      <c r="M6" s="2544"/>
      <c r="N6" s="2544"/>
      <c r="O6" s="2544"/>
      <c r="P6" s="2544"/>
    </row>
    <row r="7" spans="1:16" ht="15.6">
      <c r="A7" s="2394"/>
      <c r="B7" s="2387" t="e">
        <f ca="1">SUMIF(INDIRECT("'"&amp;A7&amp;"'"&amp;"!A:A"),"总价",INDIRECT("'"&amp;A7&amp;"'"&amp;"!B:B"))</f>
        <v>#REF!</v>
      </c>
      <c r="C7" s="1984"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B2" sqref="B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1925</v>
      </c>
      <c r="B1" s="189"/>
      <c r="C1" s="193" t="s">
        <v>1926</v>
      </c>
      <c r="D1" s="333">
        <f>SUM(D33:D34,D37:D42)</f>
        <v>343024.03999999992</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f>C30</f>
        <v>101025</v>
      </c>
      <c r="C2" s="1846" t="s">
        <v>1934</v>
      </c>
      <c r="D2" s="162" t="s">
        <v>1935</v>
      </c>
      <c r="E2" s="3120" t="s">
        <v>3402</v>
      </c>
      <c r="F2" s="162" t="s">
        <v>1936</v>
      </c>
      <c r="G2" s="163" t="str">
        <f>IF(E2="商业",项目基本情况!B37,IF(E2="办公",项目基本情况!C37,IF(E2="住宅",项目基本情况!D37,IF(E2="工业",项目基本情况!E37,项目基本情况!F37))))</f>
        <v>七级</v>
      </c>
      <c r="H2" s="162" t="s">
        <v>1937</v>
      </c>
      <c r="I2" s="163" t="str">
        <f>IF(E2="商业",项目基本情况!B38,IF(E2="办公",项目基本情况!C38,IF(E2="住宅",项目基本情况!D38,IF(E2="工业",项目基本情况!E38,项目基本情况!F38))))</f>
        <v>Ⅶ-通1</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5492</v>
      </c>
      <c r="U2" s="1130"/>
      <c r="V2" s="3063">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2945</v>
      </c>
      <c r="C3" s="1846" t="s">
        <v>1940</v>
      </c>
      <c r="D3" s="162" t="s">
        <v>1941</v>
      </c>
      <c r="E3" s="3118" t="s">
        <v>2457</v>
      </c>
      <c r="F3" s="1848" t="s">
        <v>3507</v>
      </c>
      <c r="G3" s="708">
        <f>IF(F3="宗地容积率",'数据-汇总表'!I4,IF(F3="估价对象容积率",'数据-汇总表'!I6,'数据-汇总表'!I7))</f>
        <v>2.17</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4329</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517"/>
      <c r="B4" s="3518"/>
      <c r="C4" s="3518"/>
      <c r="D4" s="3519"/>
      <c r="E4" s="3519"/>
      <c r="F4" s="3519"/>
      <c r="G4" s="3519"/>
      <c r="H4" s="3519"/>
      <c r="I4" s="3519"/>
      <c r="J4" s="3520"/>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3659</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1946</v>
      </c>
      <c r="C5" s="709">
        <f>ROUND(IF(E2="商业",C6*C7*C17+C20,(IF(E2="住宅",C6*C13*C17+C20,IF(E2="办公",C6*C12*C17+C20,C6+C20)))),0)</f>
        <v>5055</v>
      </c>
      <c r="D5" s="1252">
        <f>ROUND(C6*C17+C20,0)</f>
        <v>5055</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3227</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1948</v>
      </c>
      <c r="B6" s="1860" t="s">
        <v>1949</v>
      </c>
      <c r="C6" s="710">
        <f>SUMIF(L1:L12,G2,M1:M12)</f>
        <v>5100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3101</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5100</v>
      </c>
      <c r="N7" s="813">
        <f>SUMPRODUCT((因素修正幅度!B190:B233=I2)*(因素修正幅度!C3:G3=E2)*(因素修正幅度!C190:G233))</f>
        <v>0.13</v>
      </c>
      <c r="O7" s="1056"/>
      <c r="P7" s="1056"/>
      <c r="Q7" s="1056"/>
      <c r="R7" s="1129">
        <v>6</v>
      </c>
      <c r="S7" s="3117"/>
      <c r="T7" s="3063">
        <f t="shared" si="0"/>
        <v>0</v>
      </c>
      <c r="U7" s="1130"/>
      <c r="V7" s="3063">
        <f t="shared" si="1"/>
        <v>0</v>
      </c>
      <c r="W7" s="1267" t="s">
        <v>1954</v>
      </c>
      <c r="X7" s="1131" t="str">
        <f>G2</f>
        <v>七级</v>
      </c>
      <c r="Y7" s="1131" t="s">
        <v>1955</v>
      </c>
      <c r="Z7" s="1132">
        <f>G3</f>
        <v>2.17</v>
      </c>
      <c r="AA7" s="1133"/>
      <c r="AB7" s="1133"/>
      <c r="AC7" s="1134"/>
      <c r="AD7" s="1135"/>
      <c r="AE7" s="1135"/>
      <c r="AF7" s="1135"/>
      <c r="AG7" s="1135"/>
      <c r="AH7" s="1135"/>
      <c r="AI7" s="1135"/>
      <c r="AJ7" s="1136"/>
    </row>
    <row r="8" spans="1:36" ht="15">
      <c r="A8" s="3009"/>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14" t="s">
        <v>1959</v>
      </c>
      <c r="X8" s="3515"/>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9"/>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16"/>
      <c r="X9" s="3064" t="s">
        <v>3265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1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1981</v>
      </c>
      <c r="C13" s="711">
        <f>ROUND(C16*D16*E16*F16*G16*H16*I16*J16,4)</f>
        <v>0</v>
      </c>
      <c r="D13" s="1879" t="s">
        <v>1982</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1984</v>
      </c>
      <c r="C14" s="1884" t="s">
        <v>1985</v>
      </c>
      <c r="D14" s="1261" t="s">
        <v>1986</v>
      </c>
      <c r="E14" s="27" t="s">
        <v>1987</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1988</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521" t="s">
        <v>3253</v>
      </c>
      <c r="B20" s="159" t="s">
        <v>1993</v>
      </c>
      <c r="C20" s="3031">
        <f>ROUND(IF(F21="与级别开发程度一致",0,(G21-E21)/C21),0)</f>
        <v>-45</v>
      </c>
      <c r="D20" s="3046" t="s">
        <v>1997</v>
      </c>
      <c r="E20" s="3047"/>
      <c r="F20" s="3527" t="s">
        <v>1994</v>
      </c>
      <c r="G20" s="3528"/>
      <c r="H20" s="3032" t="s">
        <v>3508</v>
      </c>
      <c r="I20" s="3032" t="s">
        <v>3509</v>
      </c>
      <c r="J20" s="3033" t="s">
        <v>3510</v>
      </c>
      <c r="K20" s="1889" t="s">
        <v>3511</v>
      </c>
      <c r="L20" s="1889" t="s">
        <v>3512</v>
      </c>
      <c r="M20" s="1889" t="s">
        <v>3513</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522"/>
      <c r="B21" s="2002" t="s">
        <v>1996</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3514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1999</v>
      </c>
      <c r="C22" s="1998">
        <f>SUMIF(修正!C20:C53,E3,修正!E20:E53)</f>
        <v>0.8</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2001</v>
      </c>
      <c r="E23" s="717">
        <v>44197</v>
      </c>
      <c r="F23" s="1896" t="s">
        <v>2002</v>
      </c>
      <c r="G23" s="718">
        <f>'数据-取费表'!B2</f>
        <v>45993</v>
      </c>
      <c r="H23" s="3048" t="s">
        <v>3515</v>
      </c>
      <c r="I23" s="3049" t="str">
        <f>IF(H23="季度增幅（自定义）",SUMIF(N25:N28,E2,O25:O28),"")</f>
        <v/>
      </c>
      <c r="J23" s="3141" t="s">
        <v>3516</v>
      </c>
      <c r="K23" s="1061"/>
      <c r="L23" s="1897" t="s">
        <v>2003</v>
      </c>
      <c r="M23" s="1241">
        <f>ROUND(SUMIF(地价!B2:G2,E2,地价!B16:G16),0)</f>
        <v>0</v>
      </c>
      <c r="N23" s="1898" t="s">
        <v>2004</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2005</v>
      </c>
      <c r="C24" s="720">
        <f>ROUND(POWER(1+G24,J24-I24)*(POWER(1+G24,I24)-1)/(POWER(1+G24,J24)-1),4)</f>
        <v>0.90710000000000002</v>
      </c>
      <c r="D24" s="1902" t="s">
        <v>2006</v>
      </c>
      <c r="E24" s="1248">
        <f>存贷款利率!E28/100</f>
        <v>4.3499999999999997E-2</v>
      </c>
      <c r="F24" s="1902" t="s">
        <v>1998</v>
      </c>
      <c r="G24" s="724">
        <f>SUMIF(M30:Q30,E2,M33:Q33)</f>
        <v>0.05</v>
      </c>
      <c r="H24" s="1902" t="s">
        <v>2007</v>
      </c>
      <c r="I24" s="725">
        <f>SUMIF('数据-取费表'!C6:C15,E2,'数据-取费表'!F6:F15)/COUNTIF('数据-取费表'!C6:C15,E2)</f>
        <v>36.08</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3332</v>
      </c>
      <c r="C25" s="461">
        <f>IF(B25="容积率修正",IF(G3&lt;10,D26,J26),C27)</f>
        <v>0.98170000000000002</v>
      </c>
      <c r="D25" s="1909"/>
      <c r="E25" s="1909"/>
      <c r="F25" s="1909"/>
      <c r="G25" s="1909"/>
      <c r="H25" s="1909"/>
      <c r="I25" s="1909"/>
      <c r="J25" s="1910"/>
      <c r="K25" s="1061"/>
      <c r="L25" s="2552"/>
      <c r="M25" s="2552"/>
      <c r="N25" s="1911"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2013</v>
      </c>
      <c r="B26" s="1912" t="s">
        <v>2014</v>
      </c>
      <c r="C26" s="1912" t="s">
        <v>3254</v>
      </c>
      <c r="D26" s="1263">
        <f>IF(E26=G26,F26,IF(G3&lt;10,ROUND(F26+(H26-F26)*(G3-E26)/(G26-E26),4),"——"))</f>
        <v>0.98170000000000002</v>
      </c>
      <c r="E26" s="708">
        <f>ROUNDDOWN(G3,1)</f>
        <v>2.1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1912" t="s">
        <v>3255</v>
      </c>
      <c r="J26" s="374" t="str">
        <f>IF(G3&gt;=10,D115,"——")</f>
        <v>——</v>
      </c>
      <c r="K26" s="1061"/>
      <c r="L26" s="2552"/>
      <c r="M26" s="2552"/>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2019</v>
      </c>
      <c r="C28" s="716">
        <f>SUMIF(A47:A101,E2,B47:B101)</f>
        <v>1.0147999999999999</v>
      </c>
      <c r="D28" s="1894"/>
      <c r="E28" s="1919"/>
      <c r="F28" s="1919"/>
      <c r="G28" s="1919"/>
      <c r="H28" s="1919"/>
      <c r="I28" s="1919"/>
      <c r="J28" s="1920"/>
      <c r="K28" s="1061"/>
      <c r="L28" s="2552"/>
      <c r="M28" s="2552"/>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2021</v>
      </c>
      <c r="C29" s="721"/>
      <c r="D29" s="1868"/>
      <c r="E29" s="1868"/>
      <c r="F29" s="1923"/>
      <c r="G29" s="1868"/>
      <c r="H29" s="1868"/>
      <c r="I29" s="1868"/>
      <c r="J29" s="1869"/>
      <c r="K29" s="1056"/>
      <c r="L29" s="1844"/>
      <c r="M29" s="1844"/>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2023</v>
      </c>
      <c r="C30" s="2145">
        <f>IF(B25="容积率修正",E33+SUM(E37:E42),SUM(V2:V16)+SUM(E37:E42))</f>
        <v>101025</v>
      </c>
      <c r="D30" s="1925"/>
      <c r="E30" s="1842"/>
      <c r="F30" s="1926"/>
      <c r="G30" s="1842"/>
      <c r="H30" s="1842"/>
      <c r="I30" s="1842"/>
      <c r="J30" s="1927"/>
      <c r="K30" s="1056"/>
      <c r="L30" s="3055" t="s">
        <v>1935</v>
      </c>
      <c r="M30" s="3056" t="s">
        <v>1989</v>
      </c>
      <c r="N30" s="3056" t="s">
        <v>1990</v>
      </c>
      <c r="O30" s="3056" t="s">
        <v>1991</v>
      </c>
      <c r="P30" s="3056" t="s">
        <v>1992</v>
      </c>
      <c r="Q30" s="3059"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2024</v>
      </c>
      <c r="C31" s="722">
        <f>E34+SUM(I37:I42)</f>
        <v>1410</v>
      </c>
      <c r="D31" s="1929"/>
      <c r="E31" s="1930"/>
      <c r="F31" s="1931"/>
      <c r="G31" s="1930"/>
      <c r="H31" s="1930"/>
      <c r="I31" s="1930"/>
      <c r="J31" s="1932"/>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2025</v>
      </c>
      <c r="C32" s="1935" t="s">
        <v>2026</v>
      </c>
      <c r="D32" s="1935" t="s">
        <v>2027</v>
      </c>
      <c r="E32" s="1936" t="s">
        <v>2028</v>
      </c>
      <c r="F32" s="1937"/>
      <c r="G32" s="1881"/>
      <c r="H32" s="1881"/>
      <c r="I32" s="1881"/>
      <c r="J32" s="1882"/>
      <c r="K32" s="1056"/>
      <c r="L32" s="3058" t="s">
        <v>1998</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2029</v>
      </c>
      <c r="C33" s="167">
        <f>ROUND(C5*C22*C23*C24*C25*C28,0)</f>
        <v>3590</v>
      </c>
      <c r="D33" s="1940">
        <f>'数据-汇总表'!F19</f>
        <v>265707.01999999996</v>
      </c>
      <c r="E33" s="727">
        <f>ROUND(C33*D33/10000,0)</f>
        <v>95389</v>
      </c>
      <c r="F33" s="3050" t="s">
        <v>3257</v>
      </c>
      <c r="G33" s="1941"/>
      <c r="H33" s="1941"/>
      <c r="I33" s="1941"/>
      <c r="J33" s="1942"/>
      <c r="K33" s="1056"/>
      <c r="L33" s="3053" t="s">
        <v>3260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2030</v>
      </c>
      <c r="C34" s="179">
        <f>ROUND(IF(E2="工业",C33*M42,IF(B25="楼层修正",SUM(V2:V16)*M41*10000/D34,C33*M41)),0)</f>
        <v>898</v>
      </c>
      <c r="D34" s="1945"/>
      <c r="E34" s="727">
        <f>ROUND(IF(B25="楼层修正",SUM(V2:V16)*M40,C34*D34/10000),0)</f>
        <v>0</v>
      </c>
      <c r="F34" s="1946" t="s">
        <v>2031</v>
      </c>
      <c r="G34" s="1947"/>
      <c r="H34" s="1947"/>
      <c r="I34" s="1947"/>
      <c r="J34" s="1948"/>
      <c r="K34" s="1056"/>
      <c r="L34" s="3053" t="s">
        <v>3261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1" t="s">
        <v>3258</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2026</v>
      </c>
      <c r="D36" s="433" t="s">
        <v>2027</v>
      </c>
      <c r="E36" s="433" t="s">
        <v>2028</v>
      </c>
      <c r="F36" s="333" t="s">
        <v>2034</v>
      </c>
      <c r="G36" s="1954" t="s">
        <v>2026</v>
      </c>
      <c r="H36" s="1954" t="s">
        <v>2027</v>
      </c>
      <c r="I36" s="1954" t="s">
        <v>2028</v>
      </c>
      <c r="J36" s="235"/>
      <c r="K36" s="1964" t="s">
        <v>3262</v>
      </c>
      <c r="L36" s="3142">
        <f ca="1">'数据-取费表'!B40</f>
        <v>3.2500000000000001E-2</v>
      </c>
      <c r="M36" s="2365">
        <f ca="1">ROUND($L$36*(1+M31),3)</f>
        <v>4.1000000000000002E-2</v>
      </c>
      <c r="N36" s="2365">
        <f ca="1">ROUND($L$36*(1+N31),3)</f>
        <v>3.9E-2</v>
      </c>
      <c r="O36" s="2365">
        <f ca="1">ROUND($L$36*(1+O31),3)</f>
        <v>3.6999999999999998E-2</v>
      </c>
      <c r="P36" s="2365">
        <f ca="1">ROUND($L$36*(1+P31),3)</f>
        <v>3.5999999999999997E-2</v>
      </c>
      <c r="Q36" s="2365">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25"/>
      <c r="B37" s="1955" t="s">
        <v>2035</v>
      </c>
      <c r="C37" s="167">
        <f>ROUND(D5*C22*C23*C24*C28*F37,0)</f>
        <v>2194</v>
      </c>
      <c r="D37" s="1940"/>
      <c r="E37" s="163">
        <f>ROUND(C37*D37/10000,0)</f>
        <v>0</v>
      </c>
      <c r="F37" s="163">
        <f>SUMIF(修正!A59:A70,G2,修正!B59:B70)</f>
        <v>0.6</v>
      </c>
      <c r="G37" s="163">
        <f>ROUND(IF(E2="工业",C37*$M$42,C37*$M$41),0)</f>
        <v>549</v>
      </c>
      <c r="H37" s="163">
        <f>D37</f>
        <v>0</v>
      </c>
      <c r="I37" s="163">
        <f>ROUND(G37*H37/10000,0)</f>
        <v>0</v>
      </c>
      <c r="J37" s="2754"/>
      <c r="K37" s="3061" t="s">
        <v>3263</v>
      </c>
      <c r="L37" s="1964">
        <f ca="1">L36+K38</f>
        <v>3.7499999999999999E-2</v>
      </c>
      <c r="M37" s="2365">
        <f ca="1">ROUND($L$37*(1+M31),3)</f>
        <v>4.7E-2</v>
      </c>
      <c r="N37" s="2365">
        <f t="shared" ref="N37:Q37" ca="1" si="3">ROUND($L$37*(1+N31),3)</f>
        <v>4.4999999999999998E-2</v>
      </c>
      <c r="O37" s="2365">
        <f t="shared" ca="1" si="3"/>
        <v>4.2999999999999997E-2</v>
      </c>
      <c r="P37" s="2365">
        <f t="shared" ca="1" si="3"/>
        <v>4.1000000000000002E-2</v>
      </c>
      <c r="Q37" s="2365">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6"/>
      <c r="B38" s="1884" t="s">
        <v>2036</v>
      </c>
      <c r="C38" s="167">
        <f>ROUND(D5*C22*C23*C24*C28*F38,0)</f>
        <v>1097</v>
      </c>
      <c r="D38" s="1940"/>
      <c r="E38" s="163">
        <f t="shared" ref="E38:E42" si="4">ROUND(C38*D38/10000,0)</f>
        <v>0</v>
      </c>
      <c r="F38" s="163">
        <f>SUMIF(修正!A59:A70,G2,修正!C59:C70)</f>
        <v>0.3</v>
      </c>
      <c r="G38" s="163">
        <f>ROUND(IF(E2="工业",C38*$M$42,C38*$M$41),0)</f>
        <v>274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26"/>
      <c r="B39" s="1884" t="s">
        <v>3256</v>
      </c>
      <c r="C39" s="167">
        <f>ROUND(D5*C22*C23*C24*C28*F39,0)</f>
        <v>914</v>
      </c>
      <c r="D39" s="1940"/>
      <c r="E39" s="163">
        <f t="shared" si="4"/>
        <v>0</v>
      </c>
      <c r="F39" s="163">
        <f>SUMIF(修正!A59:A70,G2,修正!D59:D70)</f>
        <v>0.25</v>
      </c>
      <c r="G39" s="163">
        <f>ROUND(IF(E2="工业",C39*$M$42,C39*$M$41),0)</f>
        <v>229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914</v>
      </c>
      <c r="D40" s="1940">
        <f>'数据-基础表'!K5-'数据-基础表'!K20</f>
        <v>38107.229999999996</v>
      </c>
      <c r="E40" s="163">
        <f t="shared" si="4"/>
        <v>3483</v>
      </c>
      <c r="F40" s="167">
        <f>SUMIF(修正!A59:A70,G2,修正!E59:E70)</f>
        <v>0.25</v>
      </c>
      <c r="G40" s="163">
        <f>ROUND(IF(E2="工业",C40*$M$42,C40*$M$41),0)</f>
        <v>229</v>
      </c>
      <c r="H40" s="163">
        <f t="shared" si="5"/>
        <v>38107.229999999996</v>
      </c>
      <c r="I40" s="163">
        <f t="shared" si="6"/>
        <v>873</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914</v>
      </c>
      <c r="D41" s="1940"/>
      <c r="E41" s="163">
        <f t="shared" si="4"/>
        <v>0</v>
      </c>
      <c r="F41" s="167">
        <f>SUMIF(修正!A59:A70,G2,修正!F59:F70)</f>
        <v>0.25</v>
      </c>
      <c r="G41" s="163">
        <f>ROUND(IF(E2="工业",C41*$M$42,C41*$M$41),0)</f>
        <v>229</v>
      </c>
      <c r="H41" s="163">
        <f t="shared" si="5"/>
        <v>0</v>
      </c>
      <c r="I41" s="163">
        <f t="shared" si="6"/>
        <v>0</v>
      </c>
      <c r="J41" s="939"/>
      <c r="L41" s="3062" t="s">
        <v>3264</v>
      </c>
      <c r="M41" s="1959">
        <v>0.25</v>
      </c>
      <c r="Z41" s="1057"/>
      <c r="AA41" s="1057"/>
      <c r="AB41" s="1057"/>
      <c r="AC41" s="1057"/>
      <c r="AD41" s="1057"/>
      <c r="AE41" s="1057"/>
      <c r="AF41" s="1057"/>
      <c r="AG41" s="1057"/>
      <c r="AH41" s="1057"/>
      <c r="AI41" s="1057"/>
      <c r="AJ41" s="1057"/>
    </row>
    <row r="42" spans="1:37" s="1056" customFormat="1" ht="13.8" thickBot="1">
      <c r="A42" s="1943"/>
      <c r="B42" s="1960" t="s">
        <v>2040</v>
      </c>
      <c r="C42" s="179">
        <f>ROUND(D5*C22*C23*C44*C28*F42,0)</f>
        <v>549</v>
      </c>
      <c r="D42" s="1945">
        <f>'数据-基础表'!M31</f>
        <v>39209.79</v>
      </c>
      <c r="E42" s="179">
        <f t="shared" si="4"/>
        <v>2153</v>
      </c>
      <c r="F42" s="723">
        <f>SUMIF(修正!A59:A70,G2,修正!G59:G70)</f>
        <v>0.15</v>
      </c>
      <c r="G42" s="179">
        <f>ROUND(IF(E2="工业",C42*$M$42,C42*$M$41),0)</f>
        <v>137</v>
      </c>
      <c r="H42" s="179">
        <f t="shared" si="5"/>
        <v>39209.79</v>
      </c>
      <c r="I42" s="179">
        <f t="shared" si="6"/>
        <v>537</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0.90710000000000002</v>
      </c>
      <c r="D44" s="163" t="s">
        <v>1998</v>
      </c>
      <c r="E44" s="1991">
        <f>G24</f>
        <v>0.05</v>
      </c>
      <c r="F44" s="163" t="s">
        <v>2007</v>
      </c>
      <c r="G44" s="175">
        <f>项目基本情况!F15</f>
        <v>36.08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9.6" hidden="1">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3266</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2053</v>
      </c>
      <c r="B53" s="1974" t="s">
        <v>2054</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2055</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2056</v>
      </c>
      <c r="B55" s="1975" t="s">
        <v>2057</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2058</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2059</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9.6" hidden="1">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3266</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2053</v>
      </c>
      <c r="B64" s="1974" t="s">
        <v>2054</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2055</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2056</v>
      </c>
      <c r="B66" s="1975" t="s">
        <v>2057</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2058</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2059</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2.8" hidden="1">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70" t="s">
        <v>3266</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2066</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hidden="1">
      <c r="A76" s="1970" t="s">
        <v>2058</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2059</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2056</v>
      </c>
      <c r="B78" s="1975" t="s">
        <v>2057</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hidden="1">
      <c r="A79" s="1970" t="s">
        <v>2060</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2067</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hidden="1">
      <c r="A81" s="1967" t="s">
        <v>2068</v>
      </c>
      <c r="B81" s="1968">
        <f>1+E83</f>
        <v>1</v>
      </c>
      <c r="C81" s="699"/>
      <c r="D81" s="699"/>
      <c r="E81" s="700"/>
      <c r="F81" s="1969"/>
      <c r="G81" s="3"/>
      <c r="H81" s="3"/>
      <c r="I81" s="3"/>
      <c r="J81" s="4"/>
      <c r="K81" s="4"/>
      <c r="L81" s="4"/>
      <c r="M81" s="4"/>
      <c r="N81" s="4"/>
      <c r="Z81" s="1845"/>
      <c r="AA81" s="1895"/>
      <c r="AG81" s="1058"/>
      <c r="AK81" s="1895"/>
    </row>
    <row r="82" spans="1:37" ht="25.2" hidden="1">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9.6" hidden="1">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hidden="1">
      <c r="A85" s="3070" t="s">
        <v>3267</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hidden="1">
      <c r="A86" s="1970" t="s">
        <v>2066</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hidden="1">
      <c r="A87" s="1970" t="s">
        <v>2058</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hidden="1">
      <c r="A88" s="1970" t="s">
        <v>2059</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hidden="1">
      <c r="A89" s="1970" t="s">
        <v>2056</v>
      </c>
      <c r="B89" s="1975" t="s">
        <v>2070</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hidden="1"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1.0147999999999999</v>
      </c>
      <c r="C91" s="3072"/>
      <c r="D91" s="3073"/>
      <c r="E91" s="1675"/>
      <c r="F91" s="1675"/>
      <c r="G91" s="3074"/>
      <c r="H91" s="3075"/>
      <c r="I91" s="3076"/>
      <c r="J91" s="3077"/>
      <c r="K91" s="3077"/>
      <c r="L91" s="3077"/>
      <c r="M91" s="3077"/>
      <c r="N91" s="3077"/>
    </row>
    <row r="92" spans="1:37" ht="25.2">
      <c r="A92" s="3080" t="s">
        <v>3268</v>
      </c>
      <c r="B92" s="2309"/>
      <c r="C92" s="2309" t="s">
        <v>3277</v>
      </c>
      <c r="D92" s="2309" t="s">
        <v>3278</v>
      </c>
      <c r="E92" s="3052" t="s">
        <v>3279</v>
      </c>
      <c r="F92" s="3082" t="s">
        <v>3280</v>
      </c>
      <c r="G92" s="2309" t="s">
        <v>3281</v>
      </c>
      <c r="H92" s="3089" t="s">
        <v>3284</v>
      </c>
      <c r="I92" s="2309" t="s">
        <v>3285</v>
      </c>
      <c r="J92" s="2150" t="s">
        <v>3286</v>
      </c>
      <c r="K92" s="2150" t="s">
        <v>3287</v>
      </c>
      <c r="L92" s="2150" t="s">
        <v>3288</v>
      </c>
      <c r="M92" s="2150" t="s">
        <v>3289</v>
      </c>
      <c r="N92" s="2150" t="s">
        <v>3290</v>
      </c>
    </row>
    <row r="93" spans="1:37" ht="24">
      <c r="A93" s="3070" t="s">
        <v>3269</v>
      </c>
      <c r="B93" s="1221"/>
      <c r="C93" s="1887" t="s">
        <v>3517</v>
      </c>
      <c r="D93" s="2309">
        <f>SUMIF($J$92:$N$92,C93,J93:N93)</f>
        <v>0</v>
      </c>
      <c r="E93" s="3083">
        <f>ROUND(SUM(D93:D101),4)</f>
        <v>1.4800000000000001E-2</v>
      </c>
      <c r="F93" s="1675">
        <f>IF(E2="公共服务",SUMIF(L1:L12,G2,N1:N12),"——")</f>
        <v>0.13</v>
      </c>
      <c r="G93" s="3074">
        <f>H93</f>
        <v>1.6199999999999999E-2</v>
      </c>
      <c r="H93" s="3119">
        <f>IFERROR(ROUNDDOWN($F$93*I93/2,4),"——")</f>
        <v>1.6199999999999999E-2</v>
      </c>
      <c r="I93" s="3068">
        <v>0.25</v>
      </c>
      <c r="J93" s="1912">
        <f t="shared" ref="J93:J101" si="27">K93+$G93</f>
        <v>3.2399999999999998E-2</v>
      </c>
      <c r="K93" s="1912">
        <f t="shared" ref="K93:K101" si="28">$L93+$G93</f>
        <v>1.6199999999999999E-2</v>
      </c>
      <c r="L93" s="1912">
        <v>0</v>
      </c>
      <c r="M93" s="1912">
        <f t="shared" ref="M93:N101" si="29">L93-$G93</f>
        <v>-1.6199999999999999E-2</v>
      </c>
      <c r="N93" s="1912">
        <f t="shared" si="29"/>
        <v>-3.2399999999999998E-2</v>
      </c>
    </row>
    <row r="94" spans="1:37" ht="52.8">
      <c r="A94" s="3080" t="s">
        <v>3270</v>
      </c>
      <c r="B94" s="3071" t="str">
        <f>估价对象房地状况!C18</f>
        <v>估价对象周边道路状况、公共交通通达情况、停车便捷程度，综合评价交通便捷度较好</v>
      </c>
      <c r="C94" s="1887" t="s">
        <v>3517</v>
      </c>
      <c r="D94" s="2309">
        <f t="shared" ref="D94:D101" si="30">SUMIF($J$60:$N$60,C94,J94:N94)</f>
        <v>0</v>
      </c>
      <c r="E94" s="3084"/>
      <c r="F94" s="1675"/>
      <c r="G94" s="3074">
        <f t="shared" ref="G94:G101" si="31">H94</f>
        <v>1.6899999999999998E-2</v>
      </c>
      <c r="H94" s="3119">
        <f>IFERROR(ROUNDDOWN($F$93*I94/2,4),"——")</f>
        <v>1.6899999999999998E-2</v>
      </c>
      <c r="I94" s="3068">
        <v>0.26</v>
      </c>
      <c r="J94" s="1912">
        <f t="shared" si="27"/>
        <v>3.3799999999999997E-2</v>
      </c>
      <c r="K94" s="1912">
        <f t="shared" si="28"/>
        <v>1.6899999999999998E-2</v>
      </c>
      <c r="L94" s="1912">
        <v>0</v>
      </c>
      <c r="M94" s="1912">
        <f t="shared" si="29"/>
        <v>-1.6899999999999998E-2</v>
      </c>
      <c r="N94" s="1912">
        <f t="shared" si="29"/>
        <v>-3.3799999999999997E-2</v>
      </c>
    </row>
    <row r="95" spans="1:37" ht="48">
      <c r="A95" s="3070" t="s">
        <v>3266</v>
      </c>
      <c r="B95" s="3071">
        <f>估价对象房地状况!C19</f>
        <v>0</v>
      </c>
      <c r="C95" s="1887" t="s">
        <v>3518</v>
      </c>
      <c r="D95" s="2309">
        <f t="shared" si="30"/>
        <v>7.1000000000000004E-3</v>
      </c>
      <c r="E95" s="3084"/>
      <c r="F95" s="1675"/>
      <c r="G95" s="3074">
        <f t="shared" si="31"/>
        <v>7.1000000000000004E-3</v>
      </c>
      <c r="H95" s="3119">
        <f t="shared" ref="H95:H101" si="32">IFERROR(ROUNDDOWN($F$93*I95/2,4),"——")</f>
        <v>7.1000000000000004E-3</v>
      </c>
      <c r="I95" s="3068">
        <v>0.11</v>
      </c>
      <c r="J95" s="1912">
        <f t="shared" si="27"/>
        <v>1.4200000000000001E-2</v>
      </c>
      <c r="K95" s="1912">
        <f t="shared" si="28"/>
        <v>7.1000000000000004E-3</v>
      </c>
      <c r="L95" s="1912">
        <v>0</v>
      </c>
      <c r="M95" s="1912">
        <f t="shared" si="29"/>
        <v>-7.1000000000000004E-3</v>
      </c>
      <c r="N95" s="1912">
        <f t="shared" si="29"/>
        <v>-1.4200000000000001E-2</v>
      </c>
    </row>
    <row r="96" spans="1:37" ht="37.200000000000003">
      <c r="A96" s="3080" t="s">
        <v>3271</v>
      </c>
      <c r="B96" s="3086" t="s">
        <v>3282</v>
      </c>
      <c r="C96" s="1887" t="s">
        <v>3518</v>
      </c>
      <c r="D96" s="2309">
        <f t="shared" si="30"/>
        <v>3.2000000000000002E-3</v>
      </c>
      <c r="E96" s="3084"/>
      <c r="F96" s="1675"/>
      <c r="G96" s="3074">
        <f t="shared" si="31"/>
        <v>3.2000000000000002E-3</v>
      </c>
      <c r="H96" s="3119">
        <f t="shared" si="32"/>
        <v>3.2000000000000002E-3</v>
      </c>
      <c r="I96" s="3068">
        <v>0.05</v>
      </c>
      <c r="J96" s="1912">
        <f t="shared" si="27"/>
        <v>6.4000000000000003E-3</v>
      </c>
      <c r="K96" s="1912">
        <f t="shared" si="28"/>
        <v>3.2000000000000002E-3</v>
      </c>
      <c r="L96" s="1912">
        <v>0</v>
      </c>
      <c r="M96" s="1912">
        <f t="shared" si="29"/>
        <v>-3.2000000000000002E-3</v>
      </c>
      <c r="N96" s="1912">
        <f t="shared" si="29"/>
        <v>-6.4000000000000003E-3</v>
      </c>
    </row>
    <row r="97" spans="1:14" ht="24">
      <c r="A97" s="3080" t="s">
        <v>3272</v>
      </c>
      <c r="B97" s="3071">
        <f>估价对象房地状况!C24</f>
        <v>0</v>
      </c>
      <c r="C97" s="1887" t="s">
        <v>3517</v>
      </c>
      <c r="D97" s="2309">
        <f t="shared" si="30"/>
        <v>0</v>
      </c>
      <c r="E97" s="3084"/>
      <c r="F97" s="1675"/>
      <c r="G97" s="3074">
        <f t="shared" si="31"/>
        <v>3.2000000000000002E-3</v>
      </c>
      <c r="H97" s="3119">
        <f t="shared" si="32"/>
        <v>3.2000000000000002E-3</v>
      </c>
      <c r="I97" s="3068">
        <v>0.05</v>
      </c>
      <c r="J97" s="1912">
        <f t="shared" si="27"/>
        <v>6.4000000000000003E-3</v>
      </c>
      <c r="K97" s="1912">
        <f t="shared" si="28"/>
        <v>3.2000000000000002E-3</v>
      </c>
      <c r="L97" s="1912">
        <v>0</v>
      </c>
      <c r="M97" s="1912">
        <f t="shared" si="29"/>
        <v>-3.2000000000000002E-3</v>
      </c>
      <c r="N97" s="1912">
        <f t="shared" si="29"/>
        <v>-6.4000000000000003E-3</v>
      </c>
    </row>
    <row r="98" spans="1:14" ht="36">
      <c r="A98" s="3080" t="s">
        <v>3273</v>
      </c>
      <c r="B98" s="3087" t="s">
        <v>3283</v>
      </c>
      <c r="C98" s="1887" t="s">
        <v>3518</v>
      </c>
      <c r="D98" s="2309">
        <f t="shared" si="30"/>
        <v>3.8999999999999998E-3</v>
      </c>
      <c r="E98" s="3084"/>
      <c r="F98" s="1675"/>
      <c r="G98" s="3074">
        <f t="shared" si="31"/>
        <v>3.8999999999999998E-3</v>
      </c>
      <c r="H98" s="3119">
        <f t="shared" si="32"/>
        <v>3.8999999999999998E-3</v>
      </c>
      <c r="I98" s="3068">
        <v>0.06</v>
      </c>
      <c r="J98" s="1912">
        <f t="shared" si="27"/>
        <v>7.7999999999999996E-3</v>
      </c>
      <c r="K98" s="1912">
        <f t="shared" si="28"/>
        <v>3.8999999999999998E-3</v>
      </c>
      <c r="L98" s="1912">
        <v>0</v>
      </c>
      <c r="M98" s="1912">
        <f t="shared" si="29"/>
        <v>-3.8999999999999998E-3</v>
      </c>
      <c r="N98" s="1912">
        <f t="shared" si="29"/>
        <v>-7.7999999999999996E-3</v>
      </c>
    </row>
    <row r="99" spans="1:14" ht="26.4">
      <c r="A99" s="3080" t="s">
        <v>3274</v>
      </c>
      <c r="B99" s="3071" t="str">
        <f>估价对象房地状况!C21</f>
        <v>估价对象所在区域公共配套设施齐备情况</v>
      </c>
      <c r="C99" s="1887" t="s">
        <v>3519</v>
      </c>
      <c r="D99" s="2309">
        <f t="shared" si="30"/>
        <v>-3.8999999999999998E-3</v>
      </c>
      <c r="E99" s="3084"/>
      <c r="F99" s="1675"/>
      <c r="G99" s="3074">
        <f t="shared" si="31"/>
        <v>3.8999999999999998E-3</v>
      </c>
      <c r="H99" s="3119">
        <f t="shared" si="32"/>
        <v>3.8999999999999998E-3</v>
      </c>
      <c r="I99" s="3068">
        <v>0.06</v>
      </c>
      <c r="J99" s="1912">
        <f t="shared" si="27"/>
        <v>7.7999999999999996E-3</v>
      </c>
      <c r="K99" s="1912">
        <f t="shared" si="28"/>
        <v>3.8999999999999998E-3</v>
      </c>
      <c r="L99" s="1912">
        <v>0</v>
      </c>
      <c r="M99" s="1912">
        <f t="shared" si="29"/>
        <v>-3.8999999999999998E-3</v>
      </c>
      <c r="N99" s="1912">
        <f t="shared" si="29"/>
        <v>-7.7999999999999996E-3</v>
      </c>
    </row>
    <row r="100" spans="1:14" ht="26.4">
      <c r="A100" s="3080" t="s">
        <v>3275</v>
      </c>
      <c r="B100" s="3071" t="str">
        <f>估价对象房地状况!C22</f>
        <v>估价对象所在区域基础设施水平</v>
      </c>
      <c r="C100" s="1887" t="s">
        <v>3517</v>
      </c>
      <c r="D100" s="2309">
        <f t="shared" si="30"/>
        <v>0</v>
      </c>
      <c r="E100" s="3084"/>
      <c r="F100" s="1675"/>
      <c r="G100" s="3074">
        <f t="shared" si="31"/>
        <v>5.7999999999999996E-3</v>
      </c>
      <c r="H100" s="3119">
        <f t="shared" si="32"/>
        <v>5.7999999999999996E-3</v>
      </c>
      <c r="I100" s="3068">
        <v>0.09</v>
      </c>
      <c r="J100" s="1912">
        <f t="shared" si="27"/>
        <v>1.1599999999999999E-2</v>
      </c>
      <c r="K100" s="1912">
        <f t="shared" si="28"/>
        <v>5.7999999999999996E-3</v>
      </c>
      <c r="L100" s="1912">
        <v>0</v>
      </c>
      <c r="M100" s="1912">
        <f t="shared" si="29"/>
        <v>-5.7999999999999996E-3</v>
      </c>
      <c r="N100" s="1912">
        <f t="shared" si="29"/>
        <v>-1.1599999999999999E-2</v>
      </c>
    </row>
    <row r="101" spans="1:14" ht="40.200000000000003" thickBot="1">
      <c r="A101" s="3081" t="s">
        <v>3276</v>
      </c>
      <c r="B101" s="3088" t="str">
        <f>估价对象房地状况!C20</f>
        <v>区域自然环境：；人文环境；综合评价环境状况一般</v>
      </c>
      <c r="C101" s="1887" t="s">
        <v>3518</v>
      </c>
      <c r="D101" s="2309">
        <f t="shared" si="30"/>
        <v>4.4999999999999997E-3</v>
      </c>
      <c r="E101" s="3085"/>
      <c r="F101" s="1675"/>
      <c r="G101" s="3074">
        <f t="shared" si="31"/>
        <v>4.4999999999999997E-3</v>
      </c>
      <c r="H101" s="3119">
        <f t="shared" si="32"/>
        <v>4.4999999999999997E-3</v>
      </c>
      <c r="I101" s="3069">
        <v>7.0000000000000007E-2</v>
      </c>
      <c r="J101" s="1912">
        <f t="shared" si="27"/>
        <v>8.9999999999999993E-3</v>
      </c>
      <c r="K101" s="1912">
        <f t="shared" si="28"/>
        <v>4.4999999999999997E-3</v>
      </c>
      <c r="L101" s="1912">
        <v>0</v>
      </c>
      <c r="M101" s="1912">
        <f t="shared" si="29"/>
        <v>-4.4999999999999997E-3</v>
      </c>
      <c r="N101" s="1912">
        <f t="shared" si="29"/>
        <v>-8.9999999999999993E-3</v>
      </c>
    </row>
    <row r="103" spans="1:14">
      <c r="A103" s="3523" t="s">
        <v>3291</v>
      </c>
      <c r="B103" s="3523"/>
      <c r="C103" s="3523"/>
      <c r="D103" s="3523"/>
      <c r="E103" s="3523"/>
      <c r="F103" s="3523"/>
      <c r="G103" s="3523"/>
      <c r="H103" s="3523"/>
      <c r="I103" s="3523"/>
      <c r="J103" s="3523"/>
      <c r="K103" s="1667"/>
      <c r="L103" s="1667"/>
      <c r="M103" s="1667"/>
      <c r="N103" s="1667"/>
    </row>
    <row r="104" spans="1:14">
      <c r="A104" s="3524" t="s">
        <v>3292</v>
      </c>
      <c r="B104" s="3524" t="s">
        <v>3293</v>
      </c>
      <c r="C104" s="3090" t="s">
        <v>3294</v>
      </c>
      <c r="D104" s="3091"/>
      <c r="E104" s="3091"/>
      <c r="F104" s="3091"/>
      <c r="G104" s="3091"/>
      <c r="H104" s="3091"/>
      <c r="I104" s="3091"/>
      <c r="J104" s="3092"/>
      <c r="K104" s="3093"/>
      <c r="L104" s="3093"/>
      <c r="M104" s="3093"/>
      <c r="N104" s="3093"/>
    </row>
    <row r="105" spans="1:14">
      <c r="A105" s="3524"/>
      <c r="B105" s="3524"/>
      <c r="C105" s="3094" t="s">
        <v>3295</v>
      </c>
      <c r="D105" s="3094" t="s">
        <v>3296</v>
      </c>
      <c r="E105" s="3094" t="s">
        <v>3297</v>
      </c>
      <c r="F105" s="3094" t="s">
        <v>3298</v>
      </c>
      <c r="G105" s="3094" t="s">
        <v>3299</v>
      </c>
      <c r="H105" s="3094" t="s">
        <v>3300</v>
      </c>
      <c r="I105" s="3094" t="s">
        <v>3301</v>
      </c>
      <c r="J105" s="3094" t="s">
        <v>3302</v>
      </c>
      <c r="K105" s="3094" t="s">
        <v>3303</v>
      </c>
      <c r="L105" s="3094" t="s">
        <v>3304</v>
      </c>
      <c r="M105" s="3094" t="s">
        <v>3305</v>
      </c>
      <c r="N105" s="3094" t="s">
        <v>3306</v>
      </c>
    </row>
    <row r="106" spans="1:14">
      <c r="A106" s="3510" t="s">
        <v>3307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1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1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1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1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11"/>
      <c r="B111" s="3094" t="s">
        <v>3265</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51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513" t="s">
        <v>3308</v>
      </c>
      <c r="B113" s="3513"/>
      <c r="C113" s="3513"/>
      <c r="D113" s="3513"/>
      <c r="E113" s="3513"/>
      <c r="F113" s="3513"/>
      <c r="G113" s="3513"/>
      <c r="H113" s="3513"/>
      <c r="I113" s="3513"/>
      <c r="J113" s="351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3309</v>
      </c>
      <c r="B116" s="3114">
        <f>G3</f>
        <v>2.17</v>
      </c>
      <c r="C116" s="3099" t="s">
        <v>3310</v>
      </c>
      <c r="D116" s="3100">
        <f>SUMPRODUCT((A118:A122=F116)*(B117:M117=H116)*B118:M122)</f>
        <v>0.86619999999999997</v>
      </c>
      <c r="E116" s="162" t="s">
        <v>3311</v>
      </c>
      <c r="F116" s="3101" t="str">
        <f>E2</f>
        <v>公共服务</v>
      </c>
      <c r="G116" s="162" t="s">
        <v>3312</v>
      </c>
      <c r="H116" s="3101" t="str">
        <f>G2</f>
        <v>七级</v>
      </c>
      <c r="I116" s="162"/>
      <c r="J116" s="3102"/>
      <c r="K116" s="3102"/>
      <c r="L116" s="3102"/>
      <c r="M116" s="3102"/>
      <c r="N116" s="3097"/>
    </row>
    <row r="117" spans="1:14">
      <c r="A117" s="3103"/>
      <c r="B117" s="3104" t="s">
        <v>3313</v>
      </c>
      <c r="C117" s="3104" t="s">
        <v>3314</v>
      </c>
      <c r="D117" s="3104" t="s">
        <v>3315</v>
      </c>
      <c r="E117" s="3105" t="s">
        <v>3316</v>
      </c>
      <c r="F117" s="3105" t="s">
        <v>3317</v>
      </c>
      <c r="G117" s="3105" t="s">
        <v>3318</v>
      </c>
      <c r="H117" s="3106" t="s">
        <v>3319</v>
      </c>
      <c r="I117" s="3106" t="s">
        <v>3320</v>
      </c>
      <c r="J117" s="3107" t="s">
        <v>3321</v>
      </c>
      <c r="K117" s="3107" t="s">
        <v>3322</v>
      </c>
      <c r="L117" s="3107" t="s">
        <v>3323</v>
      </c>
      <c r="M117" s="3108" t="s">
        <v>3324</v>
      </c>
      <c r="N117" s="3097"/>
    </row>
    <row r="118" spans="1:14">
      <c r="A118" s="3057" t="s">
        <v>3325</v>
      </c>
      <c r="B118" s="3089">
        <f>ROUND(0.9968-0.011*B116,4)</f>
        <v>0.97289999999999999</v>
      </c>
      <c r="C118" s="3089">
        <f>B118</f>
        <v>0.97289999999999999</v>
      </c>
      <c r="D118" s="3089">
        <f>ROUND(0.949-0.014*B116,4)</f>
        <v>0.91859999999999997</v>
      </c>
      <c r="E118" s="3089">
        <f>D118</f>
        <v>0.91859999999999997</v>
      </c>
      <c r="F118" s="3089">
        <f>E118</f>
        <v>0.91859999999999997</v>
      </c>
      <c r="G118" s="3089">
        <f>F118</f>
        <v>0.91859999999999997</v>
      </c>
      <c r="H118" s="3089">
        <f>G118</f>
        <v>0.91859999999999997</v>
      </c>
      <c r="I118" s="3089">
        <f>ROUND(0.8486-0.018*B116,4)</f>
        <v>0.8095</v>
      </c>
      <c r="J118" s="3089">
        <f t="shared" ref="J118:M122" si="36">I118</f>
        <v>0.8095</v>
      </c>
      <c r="K118" s="3089">
        <f t="shared" si="36"/>
        <v>0.8095</v>
      </c>
      <c r="L118" s="3089">
        <f t="shared" si="36"/>
        <v>0.8095</v>
      </c>
      <c r="M118" s="3109">
        <f t="shared" si="36"/>
        <v>0.8095</v>
      </c>
      <c r="N118" s="3097"/>
    </row>
    <row r="119" spans="1:14">
      <c r="A119" s="3057" t="s">
        <v>3326</v>
      </c>
      <c r="B119" s="3089">
        <f>ROUND(0.993-0.0112*B116,4)</f>
        <v>0.96870000000000001</v>
      </c>
      <c r="C119" s="3089">
        <f>B119</f>
        <v>0.96870000000000001</v>
      </c>
      <c r="D119" s="3089">
        <f>ROUND(0.9415-0.0142*B116,4)</f>
        <v>0.91069999999999995</v>
      </c>
      <c r="E119" s="3089">
        <f t="shared" ref="E119:H120" si="37">D119</f>
        <v>0.91069999999999995</v>
      </c>
      <c r="F119" s="3089">
        <f t="shared" si="37"/>
        <v>0.91069999999999995</v>
      </c>
      <c r="G119" s="3089">
        <f t="shared" si="37"/>
        <v>0.91069999999999995</v>
      </c>
      <c r="H119" s="3089">
        <f t="shared" si="37"/>
        <v>0.91069999999999995</v>
      </c>
      <c r="I119" s="3089">
        <f>ROUND(0.838-0.0182*B116,4)</f>
        <v>0.79849999999999999</v>
      </c>
      <c r="J119" s="3089">
        <f t="shared" si="36"/>
        <v>0.79849999999999999</v>
      </c>
      <c r="K119" s="3089">
        <f t="shared" si="36"/>
        <v>0.79849999999999999</v>
      </c>
      <c r="L119" s="3089">
        <f t="shared" si="36"/>
        <v>0.79849999999999999</v>
      </c>
      <c r="M119" s="3109">
        <f t="shared" si="36"/>
        <v>0.79849999999999999</v>
      </c>
      <c r="N119" s="3097"/>
    </row>
    <row r="120" spans="1:14">
      <c r="A120" s="3057" t="s">
        <v>3327</v>
      </c>
      <c r="B120" s="3089">
        <f>ROUND(0.9448-0.0115*B116,4)</f>
        <v>0.91979999999999995</v>
      </c>
      <c r="C120" s="3089">
        <f>B120</f>
        <v>0.91979999999999995</v>
      </c>
      <c r="D120" s="3089">
        <f>ROUND(0.937-0.0145*B116,4)</f>
        <v>0.90549999999999997</v>
      </c>
      <c r="E120" s="3089">
        <f t="shared" si="37"/>
        <v>0.90549999999999997</v>
      </c>
      <c r="F120" s="3089">
        <f t="shared" si="37"/>
        <v>0.90549999999999997</v>
      </c>
      <c r="G120" s="3089">
        <f t="shared" si="37"/>
        <v>0.90549999999999997</v>
      </c>
      <c r="H120" s="3089">
        <f t="shared" si="37"/>
        <v>0.90549999999999997</v>
      </c>
      <c r="I120" s="3089">
        <f>ROUND(0.7965-0.0185*B116,4)</f>
        <v>0.75639999999999996</v>
      </c>
      <c r="J120" s="3089">
        <f t="shared" si="36"/>
        <v>0.75639999999999996</v>
      </c>
      <c r="K120" s="3089">
        <f t="shared" si="36"/>
        <v>0.75639999999999996</v>
      </c>
      <c r="L120" s="3089">
        <f t="shared" si="36"/>
        <v>0.75639999999999996</v>
      </c>
      <c r="M120" s="3109">
        <f t="shared" si="36"/>
        <v>0.75639999999999996</v>
      </c>
      <c r="N120" s="3097"/>
    </row>
    <row r="121" spans="1:14" ht="13.8" thickBot="1">
      <c r="A121" s="3110" t="s">
        <v>3328</v>
      </c>
      <c r="B121" s="3111">
        <f>ROUND(0.7836-0.012*B116,4)</f>
        <v>0.75760000000000005</v>
      </c>
      <c r="C121" s="3111">
        <f>B121</f>
        <v>0.75760000000000005</v>
      </c>
      <c r="D121" s="3111">
        <f>ROUND(0.753-0.015*B116,4)</f>
        <v>0.72050000000000003</v>
      </c>
      <c r="E121" s="3111">
        <f>D121</f>
        <v>0.72050000000000003</v>
      </c>
      <c r="F121" s="3111">
        <f>E121</f>
        <v>0.72050000000000003</v>
      </c>
      <c r="G121" s="3111">
        <f>ROUND(0.6612-0.018*B116,4)</f>
        <v>0.62209999999999999</v>
      </c>
      <c r="H121" s="3111">
        <f>G121</f>
        <v>0.62209999999999999</v>
      </c>
      <c r="I121" s="3111">
        <f>ROUND(0.5905-0.019*B116,4)</f>
        <v>0.54930000000000001</v>
      </c>
      <c r="J121" s="3111">
        <f t="shared" si="36"/>
        <v>0.54930000000000001</v>
      </c>
      <c r="K121" s="3111">
        <f t="shared" si="36"/>
        <v>0.54930000000000001</v>
      </c>
      <c r="L121" s="3111">
        <f t="shared" si="36"/>
        <v>0.54930000000000001</v>
      </c>
      <c r="M121" s="3112">
        <f t="shared" si="36"/>
        <v>0.54930000000000001</v>
      </c>
      <c r="N121" s="3097"/>
    </row>
    <row r="122" spans="1:14">
      <c r="A122" s="3113" t="s">
        <v>2611</v>
      </c>
      <c r="B122" s="3089">
        <f>ROUND(0.9404-0.0106*B116,4)</f>
        <v>0.91739999999999999</v>
      </c>
      <c r="C122" s="3089">
        <f>B122</f>
        <v>0.91739999999999999</v>
      </c>
      <c r="D122" s="3089">
        <f>ROUND(0.8955-0.0135*B116,4)</f>
        <v>0.86619999999999997</v>
      </c>
      <c r="E122" s="3089">
        <f t="shared" ref="E122:H122" si="38">D122</f>
        <v>0.86619999999999997</v>
      </c>
      <c r="F122" s="3089">
        <f t="shared" si="38"/>
        <v>0.86619999999999997</v>
      </c>
      <c r="G122" s="3089">
        <f t="shared" si="38"/>
        <v>0.86619999999999997</v>
      </c>
      <c r="H122" s="3089">
        <f t="shared" si="38"/>
        <v>0.86619999999999997</v>
      </c>
      <c r="I122" s="3089">
        <f>ROUND(0.7632-0.0166*B116,4)</f>
        <v>0.72719999999999996</v>
      </c>
      <c r="J122" s="3089">
        <f t="shared" si="36"/>
        <v>0.72719999999999996</v>
      </c>
      <c r="K122" s="3089">
        <f t="shared" si="36"/>
        <v>0.72719999999999996</v>
      </c>
      <c r="L122" s="3089">
        <f t="shared" si="36"/>
        <v>0.72719999999999996</v>
      </c>
      <c r="M122" s="3109">
        <f t="shared" si="36"/>
        <v>0.72719999999999996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540" t="s">
        <v>2606</v>
      </c>
      <c r="B20" s="3533" t="s">
        <v>2627</v>
      </c>
      <c r="C20" s="3168" t="s">
        <v>2438</v>
      </c>
      <c r="D20" s="3168"/>
      <c r="E20" s="2844">
        <v>1</v>
      </c>
      <c r="F20" s="2845" t="s">
        <v>2439</v>
      </c>
      <c r="G20" s="2845"/>
    </row>
    <row r="21" spans="1:13" ht="19.5" customHeight="1">
      <c r="A21" s="3541"/>
      <c r="B21" s="3529"/>
      <c r="C21" s="2857" t="s">
        <v>2440</v>
      </c>
      <c r="D21" s="2857"/>
      <c r="E21" s="2848">
        <v>1</v>
      </c>
      <c r="F21" s="2845" t="s">
        <v>2441</v>
      </c>
      <c r="G21" s="2845"/>
    </row>
    <row r="22" spans="1:13" ht="19.5" customHeight="1">
      <c r="A22" s="3541"/>
      <c r="B22" s="3529"/>
      <c r="C22" s="2857" t="s">
        <v>2442</v>
      </c>
      <c r="D22" s="2857"/>
      <c r="E22" s="2848">
        <v>0.9</v>
      </c>
      <c r="F22" s="2845" t="s">
        <v>2443</v>
      </c>
      <c r="G22" s="2845"/>
    </row>
    <row r="23" spans="1:13" ht="19.5" customHeight="1">
      <c r="A23" s="3541"/>
      <c r="B23" s="3529"/>
      <c r="C23" s="2857" t="s">
        <v>2444</v>
      </c>
      <c r="D23" s="2857"/>
      <c r="E23" s="2848">
        <v>0.9</v>
      </c>
      <c r="F23" s="2845" t="s">
        <v>2445</v>
      </c>
      <c r="G23" s="2845"/>
    </row>
    <row r="24" spans="1:13" ht="19.5" customHeight="1">
      <c r="A24" s="3541"/>
      <c r="B24" s="3529"/>
      <c r="C24" s="2857" t="s">
        <v>2446</v>
      </c>
      <c r="D24" s="2857"/>
      <c r="E24" s="2848">
        <v>0.8</v>
      </c>
      <c r="F24" s="2845" t="s">
        <v>2447</v>
      </c>
      <c r="G24" s="2845"/>
    </row>
    <row r="25" spans="1:13" ht="19.5" customHeight="1">
      <c r="A25" s="3541"/>
      <c r="B25" s="3529"/>
      <c r="C25" s="2857" t="s">
        <v>2448</v>
      </c>
      <c r="D25" s="2857"/>
      <c r="E25" s="2848">
        <v>0.8</v>
      </c>
      <c r="F25" s="2845"/>
      <c r="G25" s="2845"/>
    </row>
    <row r="26" spans="1:13" ht="19.5" customHeight="1">
      <c r="A26" s="3541"/>
      <c r="B26" s="3529"/>
      <c r="C26" s="2857" t="s">
        <v>3406</v>
      </c>
      <c r="D26" s="2857"/>
      <c r="E26" s="2848">
        <v>0.43</v>
      </c>
      <c r="F26" s="2845"/>
      <c r="G26" s="2845"/>
    </row>
    <row r="27" spans="1:13" ht="19.5" customHeight="1" thickBot="1">
      <c r="A27" s="3542"/>
      <c r="B27" s="3534"/>
      <c r="C27" s="3164" t="s">
        <v>3407</v>
      </c>
      <c r="D27" s="3164"/>
      <c r="E27" s="2851">
        <f>E26*0.9</f>
        <v>0.38700000000000001</v>
      </c>
      <c r="F27" s="2845" t="s">
        <v>2449</v>
      </c>
      <c r="G27" s="2845"/>
    </row>
    <row r="28" spans="1:13" ht="19.5" customHeight="1" thickBot="1">
      <c r="A28" s="3163" t="s">
        <v>2628</v>
      </c>
      <c r="B28" s="3162" t="s">
        <v>2627</v>
      </c>
      <c r="C28" s="3165" t="s">
        <v>2629</v>
      </c>
      <c r="D28" s="3166"/>
      <c r="E28" s="3167">
        <v>1</v>
      </c>
      <c r="F28" s="2845" t="s">
        <v>2450</v>
      </c>
      <c r="G28" s="2845"/>
    </row>
    <row r="29" spans="1:13" ht="19.5" customHeight="1">
      <c r="A29" s="3535" t="s">
        <v>2630</v>
      </c>
      <c r="B29" s="3538" t="s">
        <v>2611</v>
      </c>
      <c r="C29" s="2842" t="s">
        <v>2451</v>
      </c>
      <c r="D29" s="2843"/>
      <c r="E29" s="2844">
        <v>1</v>
      </c>
      <c r="F29" s="2845" t="s">
        <v>2452</v>
      </c>
      <c r="G29" s="2845"/>
    </row>
    <row r="30" spans="1:13" ht="19.5" customHeight="1">
      <c r="A30" s="3536"/>
      <c r="B30" s="3532"/>
      <c r="C30" s="2846" t="s">
        <v>2453</v>
      </c>
      <c r="D30" s="2847"/>
      <c r="E30" s="2848">
        <v>1</v>
      </c>
      <c r="F30" s="2845" t="s">
        <v>2454</v>
      </c>
      <c r="G30" s="2845"/>
    </row>
    <row r="31" spans="1:13" ht="19.5" customHeight="1">
      <c r="A31" s="3536"/>
      <c r="B31" s="3532"/>
      <c r="C31" s="2846" t="s">
        <v>2455</v>
      </c>
      <c r="D31" s="2847"/>
      <c r="E31" s="2848">
        <v>0.8</v>
      </c>
      <c r="F31" s="2845" t="s">
        <v>2456</v>
      </c>
      <c r="G31" s="2845"/>
    </row>
    <row r="32" spans="1:13" ht="19.5" customHeight="1">
      <c r="A32" s="3536"/>
      <c r="B32" s="3532"/>
      <c r="C32" s="2846" t="s">
        <v>2457</v>
      </c>
      <c r="D32" s="2847"/>
      <c r="E32" s="2848">
        <v>0.8</v>
      </c>
      <c r="F32" s="2845" t="s">
        <v>2458</v>
      </c>
      <c r="G32" s="2845"/>
    </row>
    <row r="33" spans="1:7" ht="19.5" customHeight="1">
      <c r="A33" s="3536"/>
      <c r="B33" s="3532"/>
      <c r="C33" s="2846" t="s">
        <v>2459</v>
      </c>
      <c r="D33" s="2847"/>
      <c r="E33" s="2848">
        <v>0.8</v>
      </c>
      <c r="F33" s="2845" t="s">
        <v>2460</v>
      </c>
      <c r="G33" s="2845"/>
    </row>
    <row r="34" spans="1:7" ht="19.5" customHeight="1">
      <c r="A34" s="3536"/>
      <c r="B34" s="3532"/>
      <c r="C34" s="2846" t="s">
        <v>2461</v>
      </c>
      <c r="D34" s="2847"/>
      <c r="E34" s="2848">
        <v>0.7</v>
      </c>
      <c r="F34" s="2845" t="s">
        <v>2462</v>
      </c>
      <c r="G34" s="2845"/>
    </row>
    <row r="35" spans="1:7" ht="19.5" customHeight="1">
      <c r="A35" s="3536"/>
      <c r="B35" s="3532"/>
      <c r="C35" s="2846" t="s">
        <v>2463</v>
      </c>
      <c r="D35" s="2847"/>
      <c r="E35" s="2848">
        <v>0.8</v>
      </c>
      <c r="F35" s="2845" t="s">
        <v>2464</v>
      </c>
      <c r="G35" s="2845"/>
    </row>
    <row r="36" spans="1:7" ht="19.5" customHeight="1">
      <c r="A36" s="3536"/>
      <c r="B36" s="3532"/>
      <c r="C36" s="2846" t="s">
        <v>2465</v>
      </c>
      <c r="D36" s="2847"/>
      <c r="E36" s="2848">
        <v>0.6</v>
      </c>
      <c r="F36" s="2845" t="s">
        <v>2466</v>
      </c>
      <c r="G36" s="2845"/>
    </row>
    <row r="37" spans="1:7" ht="19.5" customHeight="1">
      <c r="A37" s="3536"/>
      <c r="B37" s="3532"/>
      <c r="C37" s="2846" t="s">
        <v>2467</v>
      </c>
      <c r="D37" s="2847"/>
      <c r="E37" s="2848">
        <v>0.2</v>
      </c>
      <c r="F37" s="2845" t="s">
        <v>2468</v>
      </c>
      <c r="G37" s="2845"/>
    </row>
    <row r="38" spans="1:7" ht="19.5" customHeight="1">
      <c r="A38" s="3536"/>
      <c r="B38" s="3532"/>
      <c r="C38" s="2846" t="s">
        <v>2469</v>
      </c>
      <c r="D38" s="2847"/>
      <c r="E38" s="2848">
        <v>0.2</v>
      </c>
      <c r="F38" s="2845" t="s">
        <v>2470</v>
      </c>
      <c r="G38" s="2845"/>
    </row>
    <row r="39" spans="1:7" ht="19.5" customHeight="1">
      <c r="A39" s="3536"/>
      <c r="B39" s="3530" t="s">
        <v>2631</v>
      </c>
      <c r="C39" s="2846" t="s">
        <v>2471</v>
      </c>
      <c r="D39" s="2847"/>
      <c r="E39" s="2848">
        <v>0.6</v>
      </c>
      <c r="F39" s="2845" t="s">
        <v>2472</v>
      </c>
      <c r="G39" s="2845"/>
    </row>
    <row r="40" spans="1:7" ht="19.5" customHeight="1">
      <c r="A40" s="3536"/>
      <c r="B40" s="3532"/>
      <c r="C40" s="2846" t="s">
        <v>2473</v>
      </c>
      <c r="D40" s="2847"/>
      <c r="E40" s="2848">
        <v>0.6</v>
      </c>
      <c r="F40" s="2845" t="s">
        <v>2474</v>
      </c>
      <c r="G40" s="2845"/>
    </row>
    <row r="41" spans="1:7" ht="19.5" customHeight="1" thickBot="1">
      <c r="A41" s="3537"/>
      <c r="B41" s="3539"/>
      <c r="C41" s="2849" t="s">
        <v>2475</v>
      </c>
      <c r="D41" s="2850"/>
      <c r="E41" s="2851">
        <v>0.6</v>
      </c>
      <c r="F41" s="2845" t="s">
        <v>2476</v>
      </c>
      <c r="G41" s="2845"/>
    </row>
    <row r="42" spans="1:7" ht="19.5" customHeight="1" thickBot="1">
      <c r="A42" s="2852" t="s">
        <v>2608</v>
      </c>
      <c r="B42" s="2853" t="s">
        <v>2608</v>
      </c>
      <c r="C42" s="2854" t="s">
        <v>2632</v>
      </c>
      <c r="D42" s="2855"/>
      <c r="E42" s="2856">
        <v>1</v>
      </c>
      <c r="F42" s="2845" t="s">
        <v>2477</v>
      </c>
      <c r="G42" s="2845"/>
    </row>
    <row r="43" spans="1:7" ht="19.5" customHeight="1">
      <c r="A43" s="3540" t="s">
        <v>2609</v>
      </c>
      <c r="B43" s="3538" t="s">
        <v>2633</v>
      </c>
      <c r="C43" s="2842" t="s">
        <v>2478</v>
      </c>
      <c r="D43" s="2843"/>
      <c r="E43" s="2844">
        <v>1</v>
      </c>
      <c r="F43" s="2845" t="s">
        <v>2479</v>
      </c>
      <c r="G43" s="2845"/>
    </row>
    <row r="44" spans="1:7" ht="19.5" customHeight="1">
      <c r="A44" s="3541"/>
      <c r="B44" s="3532"/>
      <c r="C44" s="2846" t="s">
        <v>2480</v>
      </c>
      <c r="D44" s="2847"/>
      <c r="E44" s="2848">
        <v>1</v>
      </c>
      <c r="F44" s="2845" t="s">
        <v>2481</v>
      </c>
      <c r="G44" s="2845"/>
    </row>
    <row r="45" spans="1:7" ht="19.5" customHeight="1">
      <c r="A45" s="3541"/>
      <c r="B45" s="3531"/>
      <c r="C45" s="2846" t="s">
        <v>2482</v>
      </c>
      <c r="D45" s="2847"/>
      <c r="E45" s="2848">
        <v>1.5</v>
      </c>
      <c r="F45" s="2845" t="s">
        <v>2483</v>
      </c>
      <c r="G45" s="2845"/>
    </row>
    <row r="46" spans="1:7" ht="19.5" customHeight="1">
      <c r="A46" s="3541"/>
      <c r="B46" s="2857" t="s">
        <v>2634</v>
      </c>
      <c r="C46" s="2846" t="s">
        <v>2635</v>
      </c>
      <c r="D46" s="2847"/>
      <c r="E46" s="2848">
        <v>2</v>
      </c>
      <c r="F46" s="2845" t="s">
        <v>2484</v>
      </c>
      <c r="G46" s="2845"/>
    </row>
    <row r="47" spans="1:7" ht="19.5" customHeight="1">
      <c r="A47" s="3541"/>
      <c r="B47" s="3530" t="s">
        <v>2636</v>
      </c>
      <c r="C47" s="2846" t="s">
        <v>2485</v>
      </c>
      <c r="D47" s="2847"/>
      <c r="E47" s="2848">
        <v>1</v>
      </c>
      <c r="F47" s="2845" t="s">
        <v>2486</v>
      </c>
      <c r="G47" s="2845"/>
    </row>
    <row r="48" spans="1:7" ht="19.5" customHeight="1">
      <c r="A48" s="3541"/>
      <c r="B48" s="3532"/>
      <c r="C48" s="2846" t="s">
        <v>2487</v>
      </c>
      <c r="D48" s="2847"/>
      <c r="E48" s="2848">
        <v>1</v>
      </c>
      <c r="F48" s="2845" t="s">
        <v>2488</v>
      </c>
      <c r="G48" s="2845"/>
    </row>
    <row r="49" spans="1:7" ht="19.5" customHeight="1">
      <c r="A49" s="3541"/>
      <c r="B49" s="3532"/>
      <c r="C49" s="2846" t="s">
        <v>2489</v>
      </c>
      <c r="D49" s="2847"/>
      <c r="E49" s="2848">
        <v>1</v>
      </c>
      <c r="F49" s="2845" t="s">
        <v>2490</v>
      </c>
      <c r="G49" s="2845"/>
    </row>
    <row r="50" spans="1:7" ht="19.5" customHeight="1">
      <c r="A50" s="3541"/>
      <c r="B50" s="3532"/>
      <c r="C50" s="2846" t="s">
        <v>2491</v>
      </c>
      <c r="D50" s="2847"/>
      <c r="E50" s="2848">
        <v>1</v>
      </c>
      <c r="F50" s="2845" t="s">
        <v>2492</v>
      </c>
      <c r="G50" s="2845"/>
    </row>
    <row r="51" spans="1:7" ht="19.5" customHeight="1">
      <c r="A51" s="3541"/>
      <c r="B51" s="3532"/>
      <c r="C51" s="2846" t="s">
        <v>2493</v>
      </c>
      <c r="D51" s="2847"/>
      <c r="E51" s="2848">
        <v>1</v>
      </c>
      <c r="F51" s="2845" t="s">
        <v>2494</v>
      </c>
      <c r="G51" s="2845"/>
    </row>
    <row r="52" spans="1:7" ht="19.5" customHeight="1">
      <c r="A52" s="3541"/>
      <c r="B52" s="3532"/>
      <c r="C52" s="2846" t="s">
        <v>2495</v>
      </c>
      <c r="D52" s="2847"/>
      <c r="E52" s="2848">
        <v>1</v>
      </c>
      <c r="F52" s="2845" t="s">
        <v>2496</v>
      </c>
      <c r="G52" s="2845"/>
    </row>
    <row r="53" spans="1:7" ht="19.5" customHeight="1" thickBot="1">
      <c r="A53" s="3542"/>
      <c r="B53" s="3539"/>
      <c r="C53" s="2849" t="s">
        <v>2497</v>
      </c>
      <c r="D53" s="2850"/>
      <c r="E53" s="2851">
        <v>1</v>
      </c>
      <c r="F53" s="2845" t="s">
        <v>2498</v>
      </c>
      <c r="G53" s="2845"/>
    </row>
    <row r="54" spans="1:7" ht="19.5" customHeight="1">
      <c r="A54" s="2858"/>
      <c r="B54" s="2858"/>
      <c r="C54" s="2858"/>
      <c r="D54" s="2858"/>
      <c r="E54" s="2858"/>
      <c r="F54" s="2858"/>
      <c r="G54" s="2858"/>
    </row>
    <row r="56" spans="1:7" ht="19.5" customHeight="1">
      <c r="A56" s="2859"/>
      <c r="B56" s="2831" t="s">
        <v>2637</v>
      </c>
      <c r="C56" s="2831" t="s">
        <v>2637</v>
      </c>
      <c r="D56" s="2831" t="s">
        <v>2637</v>
      </c>
      <c r="E56" s="2834" t="s">
        <v>2637</v>
      </c>
      <c r="F56" s="2834" t="s">
        <v>2638</v>
      </c>
      <c r="G56" s="2834" t="s">
        <v>2639</v>
      </c>
    </row>
    <row r="57" spans="1:7" ht="19.5" customHeight="1">
      <c r="A57" s="2860"/>
      <c r="B57" s="2834" t="s">
        <v>2606</v>
      </c>
      <c r="C57" s="2834" t="s">
        <v>2606</v>
      </c>
      <c r="D57" s="2834" t="s">
        <v>2606</v>
      </c>
      <c r="E57" s="2831" t="s">
        <v>2607</v>
      </c>
      <c r="F57" s="2831" t="s">
        <v>2609</v>
      </c>
      <c r="G57" s="2831" t="s">
        <v>2640</v>
      </c>
    </row>
    <row r="58" spans="1:7" ht="19.5" customHeight="1">
      <c r="A58" s="2861"/>
      <c r="B58" s="2831">
        <v>1</v>
      </c>
      <c r="C58" s="2831">
        <v>2</v>
      </c>
      <c r="D58" s="2831">
        <v>3</v>
      </c>
      <c r="E58" s="2862" t="s">
        <v>2641</v>
      </c>
      <c r="F58" s="2862" t="s">
        <v>2641</v>
      </c>
      <c r="G58" s="2862" t="s">
        <v>2641</v>
      </c>
    </row>
    <row r="59" spans="1:7" ht="19.5" customHeight="1">
      <c r="A59" s="2863" t="s">
        <v>2594</v>
      </c>
      <c r="B59" s="2831">
        <v>0.7</v>
      </c>
      <c r="C59" s="2831">
        <v>0.4</v>
      </c>
      <c r="D59" s="2831">
        <v>0.3</v>
      </c>
      <c r="E59" s="2862">
        <v>0.3</v>
      </c>
      <c r="F59" s="2831">
        <v>0.3</v>
      </c>
      <c r="G59" s="2831">
        <v>0.2</v>
      </c>
    </row>
    <row r="60" spans="1:7" ht="19.5" customHeight="1">
      <c r="A60" s="2863" t="s">
        <v>2595</v>
      </c>
      <c r="B60" s="2831">
        <v>0.7</v>
      </c>
      <c r="C60" s="2831">
        <v>0.4</v>
      </c>
      <c r="D60" s="2831">
        <v>0.3</v>
      </c>
      <c r="E60" s="2831">
        <v>0.3</v>
      </c>
      <c r="F60" s="2831">
        <v>0.3</v>
      </c>
      <c r="G60" s="2831">
        <v>0.2</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0.6</v>
      </c>
      <c r="C64" s="2831">
        <v>0.3</v>
      </c>
      <c r="D64" s="2831">
        <v>0.25</v>
      </c>
      <c r="E64" s="2831">
        <v>0.25</v>
      </c>
      <c r="F64" s="2831">
        <v>0.25</v>
      </c>
      <c r="G64" s="2831">
        <v>0.15</v>
      </c>
    </row>
    <row r="65" spans="1:7" ht="19.5" customHeight="1">
      <c r="A65" s="2863" t="s">
        <v>2600</v>
      </c>
      <c r="B65" s="2831">
        <v>0.6</v>
      </c>
      <c r="C65" s="2831">
        <v>0.3</v>
      </c>
      <c r="D65" s="2831">
        <v>0.25</v>
      </c>
      <c r="E65" s="2831">
        <v>0.25</v>
      </c>
      <c r="F65" s="2831">
        <v>0.25</v>
      </c>
      <c r="G65" s="2831">
        <v>0.15</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69" spans="1:7" ht="19.5" customHeight="1">
      <c r="A69" s="2863" t="s">
        <v>2604</v>
      </c>
      <c r="B69" s="2831">
        <v>0.5</v>
      </c>
      <c r="C69" s="2831">
        <v>0.2</v>
      </c>
      <c r="D69" s="2831">
        <v>0.2</v>
      </c>
      <c r="E69" s="2831">
        <v>0.2</v>
      </c>
      <c r="F69" s="2831">
        <v>0.2</v>
      </c>
      <c r="G69" s="2831">
        <v>0.1</v>
      </c>
    </row>
    <row r="70" spans="1:7" ht="19.5" customHeight="1">
      <c r="A70" s="2863" t="s">
        <v>2605</v>
      </c>
      <c r="B70" s="2831">
        <v>0.5</v>
      </c>
      <c r="C70" s="2831">
        <v>0.2</v>
      </c>
      <c r="D70" s="2831">
        <v>0.2</v>
      </c>
      <c r="E70" s="2831">
        <v>0.2</v>
      </c>
      <c r="F70" s="2831">
        <v>0.2</v>
      </c>
      <c r="G70" s="2831">
        <v>0.1</v>
      </c>
    </row>
    <row r="72" spans="1:7" ht="19.5" customHeight="1">
      <c r="A72" s="2845"/>
      <c r="B72" s="2864"/>
      <c r="C72" s="2864"/>
      <c r="D72" s="2864" t="s">
        <v>2642</v>
      </c>
      <c r="E72" s="2864"/>
      <c r="F72" s="2864"/>
    </row>
    <row r="73" spans="1:7" ht="19.5" customHeight="1">
      <c r="A73" s="2857" t="s">
        <v>2643</v>
      </c>
      <c r="B73" s="2857" t="s">
        <v>2644</v>
      </c>
      <c r="C73" s="2857" t="s">
        <v>2645</v>
      </c>
      <c r="D73" s="2857" t="s">
        <v>2646</v>
      </c>
      <c r="E73" s="2857" t="s">
        <v>2647</v>
      </c>
      <c r="F73" s="2857" t="s">
        <v>2648</v>
      </c>
    </row>
    <row r="74" spans="1:7" ht="14.4">
      <c r="A74" s="2857"/>
      <c r="B74" s="2857"/>
      <c r="C74" s="2857" t="s">
        <v>2649</v>
      </c>
      <c r="D74" s="2857"/>
      <c r="E74" s="2857" t="s">
        <v>2620</v>
      </c>
      <c r="F74" s="2857" t="s">
        <v>2620</v>
      </c>
    </row>
    <row r="75" spans="1:7" ht="14.4">
      <c r="A75" s="2857">
        <v>1</v>
      </c>
      <c r="B75" s="3530" t="s">
        <v>2650</v>
      </c>
      <c r="C75" s="2831" t="s">
        <v>2651</v>
      </c>
      <c r="D75" s="2831" t="s">
        <v>2652</v>
      </c>
      <c r="E75" s="2857">
        <v>0.2</v>
      </c>
      <c r="F75" s="2857">
        <v>25</v>
      </c>
    </row>
    <row r="76" spans="1:7" ht="24">
      <c r="A76" s="2857">
        <v>2</v>
      </c>
      <c r="B76" s="3532"/>
      <c r="C76" s="2831" t="s">
        <v>2653</v>
      </c>
      <c r="D76" s="2831" t="s">
        <v>2654</v>
      </c>
      <c r="E76" s="2857">
        <v>0.2</v>
      </c>
      <c r="F76" s="2857">
        <v>25</v>
      </c>
    </row>
    <row r="77" spans="1:7" ht="24">
      <c r="A77" s="2857">
        <v>3</v>
      </c>
      <c r="B77" s="3532"/>
      <c r="C77" s="2831" t="s">
        <v>2655</v>
      </c>
      <c r="D77" s="2831" t="s">
        <v>2656</v>
      </c>
      <c r="E77" s="2857">
        <v>0.2</v>
      </c>
      <c r="F77" s="2857">
        <v>25</v>
      </c>
    </row>
    <row r="78" spans="1:7" ht="14.4">
      <c r="A78" s="2857">
        <v>4</v>
      </c>
      <c r="B78" s="3532"/>
      <c r="C78" s="2831" t="s">
        <v>2657</v>
      </c>
      <c r="D78" s="2831" t="s">
        <v>2658</v>
      </c>
      <c r="E78" s="2857">
        <v>0.15</v>
      </c>
      <c r="F78" s="2857">
        <v>20</v>
      </c>
    </row>
    <row r="79" spans="1:7" ht="24">
      <c r="A79" s="2857">
        <v>5</v>
      </c>
      <c r="B79" s="3532"/>
      <c r="C79" s="2831" t="s">
        <v>2659</v>
      </c>
      <c r="D79" s="2831" t="s">
        <v>2660</v>
      </c>
      <c r="E79" s="2857">
        <v>0.15</v>
      </c>
      <c r="F79" s="2857">
        <v>20</v>
      </c>
    </row>
    <row r="80" spans="1:7" ht="24">
      <c r="A80" s="2857">
        <v>6</v>
      </c>
      <c r="B80" s="3532"/>
      <c r="C80" s="2831" t="s">
        <v>2661</v>
      </c>
      <c r="D80" s="2831" t="s">
        <v>2662</v>
      </c>
      <c r="E80" s="2857">
        <v>0.15</v>
      </c>
      <c r="F80" s="2857">
        <v>20</v>
      </c>
    </row>
    <row r="81" spans="1:6" ht="24">
      <c r="A81" s="2857">
        <v>7</v>
      </c>
      <c r="B81" s="3532"/>
      <c r="C81" s="2831" t="s">
        <v>2663</v>
      </c>
      <c r="D81" s="2831" t="s">
        <v>2664</v>
      </c>
      <c r="E81" s="2857">
        <v>0.15</v>
      </c>
      <c r="F81" s="2857">
        <v>20</v>
      </c>
    </row>
    <row r="82" spans="1:6" ht="24">
      <c r="A82" s="2857">
        <v>8</v>
      </c>
      <c r="B82" s="3532"/>
      <c r="C82" s="2831" t="s">
        <v>2665</v>
      </c>
      <c r="D82" s="2831" t="s">
        <v>2666</v>
      </c>
      <c r="E82" s="2857">
        <v>0.1</v>
      </c>
      <c r="F82" s="2857">
        <v>15</v>
      </c>
    </row>
    <row r="83" spans="1:6" ht="24">
      <c r="A83" s="2857">
        <v>9</v>
      </c>
      <c r="B83" s="3532"/>
      <c r="C83" s="2831" t="s">
        <v>2667</v>
      </c>
      <c r="D83" s="2831" t="s">
        <v>2668</v>
      </c>
      <c r="E83" s="2857">
        <v>0.1</v>
      </c>
      <c r="F83" s="2857">
        <v>15</v>
      </c>
    </row>
    <row r="84" spans="1:6" ht="24">
      <c r="A84" s="2857">
        <v>10</v>
      </c>
      <c r="B84" s="3532"/>
      <c r="C84" s="2831" t="s">
        <v>2669</v>
      </c>
      <c r="D84" s="2831" t="s">
        <v>2670</v>
      </c>
      <c r="E84" s="2857">
        <v>0.1</v>
      </c>
      <c r="F84" s="2857">
        <v>15</v>
      </c>
    </row>
    <row r="85" spans="1:6" ht="24">
      <c r="A85" s="2857">
        <v>11</v>
      </c>
      <c r="B85" s="3532"/>
      <c r="C85" s="2831" t="s">
        <v>2671</v>
      </c>
      <c r="D85" s="2831" t="s">
        <v>2672</v>
      </c>
      <c r="E85" s="2857">
        <v>0.1</v>
      </c>
      <c r="F85" s="2857">
        <v>15</v>
      </c>
    </row>
    <row r="86" spans="1:6" ht="24">
      <c r="A86" s="2857">
        <v>12</v>
      </c>
      <c r="B86" s="3532"/>
      <c r="C86" s="2831" t="s">
        <v>2673</v>
      </c>
      <c r="D86" s="2831" t="s">
        <v>2674</v>
      </c>
      <c r="E86" s="2857">
        <v>0.1</v>
      </c>
      <c r="F86" s="2857">
        <v>15</v>
      </c>
    </row>
    <row r="87" spans="1:6" ht="24">
      <c r="A87" s="2857">
        <v>13</v>
      </c>
      <c r="B87" s="3532"/>
      <c r="C87" s="2831" t="s">
        <v>2675</v>
      </c>
      <c r="D87" s="2831" t="s">
        <v>2676</v>
      </c>
      <c r="E87" s="2857">
        <v>0.1</v>
      </c>
      <c r="F87" s="2857">
        <v>15</v>
      </c>
    </row>
    <row r="88" spans="1:6" ht="24">
      <c r="A88" s="2857">
        <v>14</v>
      </c>
      <c r="B88" s="3532"/>
      <c r="C88" s="2831" t="s">
        <v>2677</v>
      </c>
      <c r="D88" s="2831" t="s">
        <v>2678</v>
      </c>
      <c r="E88" s="2857">
        <v>0.1</v>
      </c>
      <c r="F88" s="2857">
        <v>15</v>
      </c>
    </row>
    <row r="89" spans="1:6" ht="24">
      <c r="A89" s="2857">
        <v>15</v>
      </c>
      <c r="B89" s="3532"/>
      <c r="C89" s="2831" t="s">
        <v>2679</v>
      </c>
      <c r="D89" s="2831" t="s">
        <v>2680</v>
      </c>
      <c r="E89" s="2857">
        <v>0.1</v>
      </c>
      <c r="F89" s="2857">
        <v>15</v>
      </c>
    </row>
    <row r="90" spans="1:6" ht="24">
      <c r="A90" s="2857">
        <v>16</v>
      </c>
      <c r="B90" s="3532"/>
      <c r="C90" s="2831" t="s">
        <v>2681</v>
      </c>
      <c r="D90" s="2831" t="s">
        <v>2682</v>
      </c>
      <c r="E90" s="2857">
        <v>0.1</v>
      </c>
      <c r="F90" s="2857">
        <v>15</v>
      </c>
    </row>
    <row r="91" spans="1:6" ht="24">
      <c r="A91" s="2857">
        <v>17</v>
      </c>
      <c r="B91" s="3531"/>
      <c r="C91" s="2831" t="s">
        <v>2683</v>
      </c>
      <c r="D91" s="2831" t="s">
        <v>2684</v>
      </c>
      <c r="E91" s="2857">
        <v>0.1</v>
      </c>
      <c r="F91" s="2857">
        <v>15</v>
      </c>
    </row>
    <row r="92" spans="1:6" ht="14.4">
      <c r="A92" s="2857">
        <v>18</v>
      </c>
      <c r="B92" s="3530" t="s">
        <v>2685</v>
      </c>
      <c r="C92" s="2831" t="s">
        <v>2686</v>
      </c>
      <c r="D92" s="2831" t="s">
        <v>2687</v>
      </c>
      <c r="E92" s="2857">
        <v>0.2</v>
      </c>
      <c r="F92" s="2857">
        <v>25</v>
      </c>
    </row>
    <row r="93" spans="1:6" ht="24">
      <c r="A93" s="2857">
        <v>19</v>
      </c>
      <c r="B93" s="3532"/>
      <c r="C93" s="2831" t="s">
        <v>2688</v>
      </c>
      <c r="D93" s="2831" t="s">
        <v>2689</v>
      </c>
      <c r="E93" s="2857">
        <v>0.2</v>
      </c>
      <c r="F93" s="2857">
        <v>25</v>
      </c>
    </row>
    <row r="94" spans="1:6" ht="14.4">
      <c r="A94" s="2857">
        <v>20</v>
      </c>
      <c r="B94" s="3532"/>
      <c r="C94" s="2831" t="s">
        <v>2690</v>
      </c>
      <c r="D94" s="2831" t="s">
        <v>2691</v>
      </c>
      <c r="E94" s="2857">
        <v>0.15</v>
      </c>
      <c r="F94" s="2857">
        <v>20</v>
      </c>
    </row>
    <row r="95" spans="1:6" ht="24">
      <c r="A95" s="2857">
        <v>21</v>
      </c>
      <c r="B95" s="3532"/>
      <c r="C95" s="2831" t="s">
        <v>2692</v>
      </c>
      <c r="D95" s="2831" t="s">
        <v>2693</v>
      </c>
      <c r="E95" s="2857">
        <v>0.15</v>
      </c>
      <c r="F95" s="2857">
        <v>20</v>
      </c>
    </row>
    <row r="96" spans="1:6" ht="24">
      <c r="A96" s="2857">
        <v>22</v>
      </c>
      <c r="B96" s="3532"/>
      <c r="C96" s="2831" t="s">
        <v>2694</v>
      </c>
      <c r="D96" s="2831" t="s">
        <v>2695</v>
      </c>
      <c r="E96" s="2857">
        <v>0.15</v>
      </c>
      <c r="F96" s="2857">
        <v>20</v>
      </c>
    </row>
    <row r="97" spans="1:6" ht="36">
      <c r="A97" s="2857">
        <v>23</v>
      </c>
      <c r="B97" s="3532"/>
      <c r="C97" s="2831" t="s">
        <v>2696</v>
      </c>
      <c r="D97" s="2831" t="s">
        <v>2697</v>
      </c>
      <c r="E97" s="2857">
        <v>0.15</v>
      </c>
      <c r="F97" s="2857">
        <v>20</v>
      </c>
    </row>
    <row r="98" spans="1:6" ht="24">
      <c r="A98" s="2857">
        <v>24</v>
      </c>
      <c r="B98" s="3532"/>
      <c r="C98" s="2831" t="s">
        <v>2698</v>
      </c>
      <c r="D98" s="2831" t="s">
        <v>2699</v>
      </c>
      <c r="E98" s="2857">
        <v>0.1</v>
      </c>
      <c r="F98" s="2857">
        <v>15</v>
      </c>
    </row>
    <row r="99" spans="1:6" ht="24">
      <c r="A99" s="2857">
        <v>25</v>
      </c>
      <c r="B99" s="3532"/>
      <c r="C99" s="2831" t="s">
        <v>2700</v>
      </c>
      <c r="D99" s="2831" t="s">
        <v>2701</v>
      </c>
      <c r="E99" s="2857">
        <v>0.1</v>
      </c>
      <c r="F99" s="2857">
        <v>15</v>
      </c>
    </row>
    <row r="100" spans="1:6" ht="24">
      <c r="A100" s="2857">
        <v>26</v>
      </c>
      <c r="B100" s="3532"/>
      <c r="C100" s="2831" t="s">
        <v>2702</v>
      </c>
      <c r="D100" s="2831" t="s">
        <v>2703</v>
      </c>
      <c r="E100" s="2857">
        <v>0.1</v>
      </c>
      <c r="F100" s="2857">
        <v>15</v>
      </c>
    </row>
    <row r="101" spans="1:6" ht="24">
      <c r="A101" s="2857">
        <v>27</v>
      </c>
      <c r="B101" s="3532"/>
      <c r="C101" s="2831" t="s">
        <v>2704</v>
      </c>
      <c r="D101" s="2831" t="s">
        <v>2705</v>
      </c>
      <c r="E101" s="2857">
        <v>0.1</v>
      </c>
      <c r="F101" s="2857">
        <v>15</v>
      </c>
    </row>
    <row r="102" spans="1:6" ht="24">
      <c r="A102" s="2857">
        <v>28</v>
      </c>
      <c r="B102" s="3532"/>
      <c r="C102" s="2831" t="s">
        <v>2706</v>
      </c>
      <c r="D102" s="2831" t="s">
        <v>2707</v>
      </c>
      <c r="E102" s="2857">
        <v>0.1</v>
      </c>
      <c r="F102" s="2857">
        <v>15</v>
      </c>
    </row>
    <row r="103" spans="1:6" ht="24">
      <c r="A103" s="2857">
        <v>29</v>
      </c>
      <c r="B103" s="3532"/>
      <c r="C103" s="2831" t="s">
        <v>2708</v>
      </c>
      <c r="D103" s="2831" t="s">
        <v>2709</v>
      </c>
      <c r="E103" s="2857">
        <v>0.1</v>
      </c>
      <c r="F103" s="2857">
        <v>15</v>
      </c>
    </row>
    <row r="104" spans="1:6" ht="24">
      <c r="A104" s="2857">
        <v>30</v>
      </c>
      <c r="B104" s="3532"/>
      <c r="C104" s="2831" t="s">
        <v>2710</v>
      </c>
      <c r="D104" s="2831" t="s">
        <v>2711</v>
      </c>
      <c r="E104" s="2857">
        <v>0.1</v>
      </c>
      <c r="F104" s="2857">
        <v>15</v>
      </c>
    </row>
    <row r="105" spans="1:6" ht="24">
      <c r="A105" s="2857">
        <v>31</v>
      </c>
      <c r="B105" s="3532"/>
      <c r="C105" s="2831" t="s">
        <v>2712</v>
      </c>
      <c r="D105" s="2831" t="s">
        <v>2713</v>
      </c>
      <c r="E105" s="2857">
        <v>0.1</v>
      </c>
      <c r="F105" s="2857">
        <v>15</v>
      </c>
    </row>
    <row r="106" spans="1:6" ht="24">
      <c r="A106" s="2857">
        <v>32</v>
      </c>
      <c r="B106" s="3532"/>
      <c r="C106" s="2831" t="s">
        <v>2714</v>
      </c>
      <c r="D106" s="2831" t="s">
        <v>2715</v>
      </c>
      <c r="E106" s="2857">
        <v>0.1</v>
      </c>
      <c r="F106" s="2857">
        <v>15</v>
      </c>
    </row>
    <row r="107" spans="1:6" ht="24">
      <c r="A107" s="2857">
        <v>33</v>
      </c>
      <c r="B107" s="3532"/>
      <c r="C107" s="2831" t="s">
        <v>2716</v>
      </c>
      <c r="D107" s="2831" t="s">
        <v>2717</v>
      </c>
      <c r="E107" s="2857">
        <v>0.1</v>
      </c>
      <c r="F107" s="2857">
        <v>15</v>
      </c>
    </row>
    <row r="108" spans="1:6" ht="24">
      <c r="A108" s="2857">
        <v>34</v>
      </c>
      <c r="B108" s="3531"/>
      <c r="C108" s="2831" t="s">
        <v>2718</v>
      </c>
      <c r="D108" s="2831" t="s">
        <v>2719</v>
      </c>
      <c r="E108" s="2857">
        <v>0.1</v>
      </c>
      <c r="F108" s="2857">
        <v>15</v>
      </c>
    </row>
    <row r="109" spans="1:6" ht="36">
      <c r="A109" s="2857">
        <v>35</v>
      </c>
      <c r="B109" s="3530" t="s">
        <v>2720</v>
      </c>
      <c r="C109" s="2857" t="s">
        <v>2721</v>
      </c>
      <c r="D109" s="2831" t="s">
        <v>2722</v>
      </c>
      <c r="E109" s="2857">
        <v>0.15</v>
      </c>
      <c r="F109" s="2857">
        <v>20</v>
      </c>
    </row>
    <row r="110" spans="1:6" ht="24">
      <c r="A110" s="2857">
        <v>36</v>
      </c>
      <c r="B110" s="3532"/>
      <c r="C110" s="2857" t="s">
        <v>2723</v>
      </c>
      <c r="D110" s="2831" t="s">
        <v>2724</v>
      </c>
      <c r="E110" s="2857">
        <v>0.15</v>
      </c>
      <c r="F110" s="2857">
        <v>20</v>
      </c>
    </row>
    <row r="111" spans="1:6" ht="24">
      <c r="A111" s="2857">
        <v>37</v>
      </c>
      <c r="B111" s="3532"/>
      <c r="C111" s="2857" t="s">
        <v>2725</v>
      </c>
      <c r="D111" s="2831" t="s">
        <v>2726</v>
      </c>
      <c r="E111" s="2857">
        <v>0.15</v>
      </c>
      <c r="F111" s="2857">
        <v>20</v>
      </c>
    </row>
    <row r="112" spans="1:6" ht="24">
      <c r="A112" s="2857">
        <v>38</v>
      </c>
      <c r="B112" s="3532"/>
      <c r="C112" s="2857" t="s">
        <v>2727</v>
      </c>
      <c r="D112" s="2831" t="s">
        <v>2728</v>
      </c>
      <c r="E112" s="2857">
        <v>0.1</v>
      </c>
      <c r="F112" s="2857">
        <v>15</v>
      </c>
    </row>
    <row r="113" spans="1:6" ht="24">
      <c r="A113" s="2857">
        <v>39</v>
      </c>
      <c r="B113" s="3532"/>
      <c r="C113" s="2857" t="s">
        <v>2729</v>
      </c>
      <c r="D113" s="2831" t="s">
        <v>2730</v>
      </c>
      <c r="E113" s="2857">
        <v>0.1</v>
      </c>
      <c r="F113" s="2857">
        <v>15</v>
      </c>
    </row>
    <row r="114" spans="1:6" ht="24">
      <c r="A114" s="2857">
        <v>40</v>
      </c>
      <c r="B114" s="3531"/>
      <c r="C114" s="2857" t="s">
        <v>2731</v>
      </c>
      <c r="D114" s="2831" t="s">
        <v>2732</v>
      </c>
      <c r="E114" s="2857">
        <v>0.1</v>
      </c>
      <c r="F114" s="2857">
        <v>15</v>
      </c>
    </row>
    <row r="115" spans="1:6" ht="24">
      <c r="A115" s="2857">
        <v>41</v>
      </c>
      <c r="B115" s="3529" t="s">
        <v>2733</v>
      </c>
      <c r="C115" s="2857" t="s">
        <v>2734</v>
      </c>
      <c r="D115" s="2831" t="s">
        <v>2735</v>
      </c>
      <c r="E115" s="2857">
        <v>0.1</v>
      </c>
      <c r="F115" s="2857">
        <v>15</v>
      </c>
    </row>
    <row r="116" spans="1:6" ht="24">
      <c r="A116" s="2857">
        <v>42</v>
      </c>
      <c r="B116" s="3529"/>
      <c r="C116" s="2857" t="s">
        <v>2736</v>
      </c>
      <c r="D116" s="2831" t="s">
        <v>2737</v>
      </c>
      <c r="E116" s="2857">
        <v>0.1</v>
      </c>
      <c r="F116" s="2857">
        <v>15</v>
      </c>
    </row>
    <row r="117" spans="1:6" ht="24">
      <c r="A117" s="2857">
        <v>43</v>
      </c>
      <c r="B117" s="3529"/>
      <c r="C117" s="2857" t="s">
        <v>2738</v>
      </c>
      <c r="D117" s="2831" t="s">
        <v>2739</v>
      </c>
      <c r="E117" s="2857">
        <v>0.1</v>
      </c>
      <c r="F117" s="2857">
        <v>15</v>
      </c>
    </row>
    <row r="118" spans="1:6" ht="24">
      <c r="A118" s="2857">
        <v>44</v>
      </c>
      <c r="B118" s="3530" t="s">
        <v>2740</v>
      </c>
      <c r="C118" s="2857" t="s">
        <v>2741</v>
      </c>
      <c r="D118" s="2831" t="s">
        <v>2742</v>
      </c>
      <c r="E118" s="2857">
        <v>0.1</v>
      </c>
      <c r="F118" s="2857">
        <v>15</v>
      </c>
    </row>
    <row r="119" spans="1:6" ht="24">
      <c r="A119" s="2857">
        <v>45</v>
      </c>
      <c r="B119" s="3531"/>
      <c r="C119" s="2831" t="s">
        <v>2743</v>
      </c>
      <c r="D119" s="2831" t="s">
        <v>2744</v>
      </c>
      <c r="E119" s="2857">
        <v>0.1</v>
      </c>
      <c r="F119" s="2857">
        <v>15</v>
      </c>
    </row>
    <row r="120" spans="1:6" ht="24">
      <c r="A120" s="2857">
        <v>46</v>
      </c>
      <c r="B120" s="3530" t="s">
        <v>2745</v>
      </c>
      <c r="C120" s="2857" t="s">
        <v>2746</v>
      </c>
      <c r="D120" s="2831" t="s">
        <v>2747</v>
      </c>
      <c r="E120" s="2857">
        <v>0.1</v>
      </c>
      <c r="F120" s="2857">
        <v>15</v>
      </c>
    </row>
    <row r="121" spans="1:6" ht="24">
      <c r="A121" s="2857">
        <v>47</v>
      </c>
      <c r="B121" s="3531"/>
      <c r="C121" s="2857" t="s">
        <v>2748</v>
      </c>
      <c r="D121" s="2831" t="s">
        <v>2749</v>
      </c>
      <c r="E121" s="2857">
        <v>0.1</v>
      </c>
      <c r="F121" s="2857">
        <v>15</v>
      </c>
    </row>
    <row r="122" spans="1:6" ht="24">
      <c r="A122" s="2857">
        <v>48</v>
      </c>
      <c r="B122" s="3530" t="s">
        <v>2750</v>
      </c>
      <c r="C122" s="2857" t="s">
        <v>2751</v>
      </c>
      <c r="D122" s="2831" t="s">
        <v>2752</v>
      </c>
      <c r="E122" s="2857">
        <v>0.1</v>
      </c>
      <c r="F122" s="2857">
        <v>15</v>
      </c>
    </row>
    <row r="123" spans="1:6" ht="24">
      <c r="A123" s="2857">
        <v>49</v>
      </c>
      <c r="B123" s="3531"/>
      <c r="C123" s="2857" t="s">
        <v>2753</v>
      </c>
      <c r="D123" s="2831" t="s">
        <v>2754</v>
      </c>
      <c r="E123" s="2857">
        <v>0.1</v>
      </c>
      <c r="F123" s="2857">
        <v>15</v>
      </c>
    </row>
    <row r="124" spans="1:6" ht="24">
      <c r="A124" s="2857">
        <v>50</v>
      </c>
      <c r="B124" s="3529" t="s">
        <v>2755</v>
      </c>
      <c r="C124" s="2857" t="s">
        <v>2756</v>
      </c>
      <c r="D124" s="2831" t="s">
        <v>2757</v>
      </c>
      <c r="E124" s="2857">
        <v>0.1</v>
      </c>
      <c r="F124" s="2857">
        <v>15</v>
      </c>
    </row>
    <row r="125" spans="1:6" ht="24">
      <c r="A125" s="2857">
        <v>51</v>
      </c>
      <c r="B125" s="3529"/>
      <c r="C125" s="2857" t="s">
        <v>2758</v>
      </c>
      <c r="D125" s="2831" t="s">
        <v>2759</v>
      </c>
      <c r="E125" s="2857">
        <v>0.1</v>
      </c>
      <c r="F125" s="2857">
        <v>15</v>
      </c>
    </row>
    <row r="126" spans="1:6" ht="24">
      <c r="A126" s="2857">
        <v>52</v>
      </c>
      <c r="B126" s="3529" t="s">
        <v>2760</v>
      </c>
      <c r="C126" s="2857" t="s">
        <v>2761</v>
      </c>
      <c r="D126" s="2831" t="s">
        <v>2762</v>
      </c>
      <c r="E126" s="2857">
        <v>0.1</v>
      </c>
      <c r="F126" s="2857">
        <v>15</v>
      </c>
    </row>
    <row r="127" spans="1:6" ht="24">
      <c r="A127" s="2857">
        <v>53</v>
      </c>
      <c r="B127" s="3529"/>
      <c r="C127" s="2857" t="s">
        <v>2763</v>
      </c>
      <c r="D127" s="2831" t="s">
        <v>2764</v>
      </c>
      <c r="E127" s="2857">
        <v>0.1</v>
      </c>
      <c r="F127" s="2857">
        <v>15</v>
      </c>
    </row>
    <row r="128" spans="1:6" ht="24">
      <c r="A128" s="2857">
        <v>54</v>
      </c>
      <c r="B128" s="2857" t="s">
        <v>2765</v>
      </c>
      <c r="C128" s="2857" t="s">
        <v>2766</v>
      </c>
      <c r="D128" s="2831" t="s">
        <v>2767</v>
      </c>
      <c r="E128" s="2857">
        <v>0.1</v>
      </c>
      <c r="F128" s="2857">
        <v>15</v>
      </c>
    </row>
    <row r="129" spans="1:6" ht="24">
      <c r="A129" s="2857">
        <v>55</v>
      </c>
      <c r="B129" s="3529" t="s">
        <v>2768</v>
      </c>
      <c r="C129" s="2857" t="s">
        <v>2769</v>
      </c>
      <c r="D129" s="2831" t="s">
        <v>2770</v>
      </c>
      <c r="E129" s="2857">
        <v>0.1</v>
      </c>
      <c r="F129" s="2857">
        <v>15</v>
      </c>
    </row>
    <row r="130" spans="1:6" ht="24">
      <c r="A130" s="2857">
        <v>56</v>
      </c>
      <c r="B130" s="3529"/>
      <c r="C130" s="2857" t="s">
        <v>2771</v>
      </c>
      <c r="D130" s="2831" t="s">
        <v>2772</v>
      </c>
      <c r="E130" s="2857">
        <v>0.1</v>
      </c>
      <c r="F130" s="2857">
        <v>15</v>
      </c>
    </row>
    <row r="131" spans="1:6" ht="24">
      <c r="A131" s="2857">
        <v>57</v>
      </c>
      <c r="B131" s="3529"/>
      <c r="C131" s="2857" t="s">
        <v>2773</v>
      </c>
      <c r="D131" s="2831" t="s">
        <v>2774</v>
      </c>
      <c r="E131" s="2857">
        <v>0.1</v>
      </c>
      <c r="F131" s="2857">
        <v>15</v>
      </c>
    </row>
    <row r="132" spans="1:6" ht="24">
      <c r="A132" s="2857">
        <v>58</v>
      </c>
      <c r="B132" s="3529" t="s">
        <v>2775</v>
      </c>
      <c r="C132" s="2857" t="s">
        <v>2776</v>
      </c>
      <c r="D132" s="2831" t="s">
        <v>2777</v>
      </c>
      <c r="E132" s="2857">
        <v>0.1</v>
      </c>
      <c r="F132" s="2857">
        <v>15</v>
      </c>
    </row>
    <row r="133" spans="1:6" ht="24">
      <c r="A133" s="2857">
        <v>59</v>
      </c>
      <c r="B133" s="3529"/>
      <c r="C133" s="2857" t="s">
        <v>2778</v>
      </c>
      <c r="D133" s="2831" t="s">
        <v>2779</v>
      </c>
      <c r="E133" s="2857">
        <v>0.1</v>
      </c>
      <c r="F133" s="2857">
        <v>15</v>
      </c>
    </row>
    <row r="134" spans="1:6" ht="24">
      <c r="A134" s="2857">
        <v>60</v>
      </c>
      <c r="B134" s="3530" t="s">
        <v>2780</v>
      </c>
      <c r="C134" s="2857" t="s">
        <v>2781</v>
      </c>
      <c r="D134" s="2831" t="s">
        <v>2782</v>
      </c>
      <c r="E134" s="2857">
        <v>0.1</v>
      </c>
      <c r="F134" s="2857">
        <v>15</v>
      </c>
    </row>
    <row r="135" spans="1:6" ht="24">
      <c r="A135" s="2857">
        <v>61</v>
      </c>
      <c r="B135" s="3531"/>
      <c r="C135" s="2857" t="s">
        <v>2783</v>
      </c>
      <c r="D135" s="2831" t="s">
        <v>2784</v>
      </c>
      <c r="E135" s="2857">
        <v>0.1</v>
      </c>
      <c r="F135" s="2857">
        <v>15</v>
      </c>
    </row>
    <row r="136" spans="1:6" ht="24">
      <c r="A136" s="2857">
        <v>62</v>
      </c>
      <c r="B136" s="2857" t="s">
        <v>2785</v>
      </c>
      <c r="C136" s="2857" t="s">
        <v>2786</v>
      </c>
      <c r="D136" s="2831" t="s">
        <v>2787</v>
      </c>
      <c r="E136" s="2857">
        <v>0.1</v>
      </c>
      <c r="F136" s="2857">
        <v>15</v>
      </c>
    </row>
    <row r="137" spans="1:6" ht="24">
      <c r="A137" s="2857">
        <v>63</v>
      </c>
      <c r="B137" s="3529" t="s">
        <v>2788</v>
      </c>
      <c r="C137" s="2857" t="s">
        <v>2789</v>
      </c>
      <c r="D137" s="2831" t="s">
        <v>2790</v>
      </c>
      <c r="E137" s="2857">
        <v>0.1</v>
      </c>
      <c r="F137" s="2857">
        <v>15</v>
      </c>
    </row>
    <row r="138" spans="1:6" ht="24">
      <c r="A138" s="2857">
        <v>64</v>
      </c>
      <c r="B138" s="3529"/>
      <c r="C138" s="2857" t="s">
        <v>2791</v>
      </c>
      <c r="D138" s="2831" t="s">
        <v>2792</v>
      </c>
      <c r="E138" s="2857">
        <v>0.1</v>
      </c>
      <c r="F138" s="2857">
        <v>15</v>
      </c>
    </row>
    <row r="139" spans="1:6" ht="24">
      <c r="A139" s="2857">
        <v>65</v>
      </c>
      <c r="B139" s="2857" t="s">
        <v>2793</v>
      </c>
      <c r="C139" s="2857" t="s">
        <v>2794</v>
      </c>
      <c r="D139" s="2831" t="s">
        <v>2795</v>
      </c>
      <c r="E139" s="2857">
        <v>0.1</v>
      </c>
      <c r="F139" s="2857">
        <v>15</v>
      </c>
    </row>
    <row r="140" spans="1:6" ht="14.4">
      <c r="A140" s="2857"/>
      <c r="B140" s="2857"/>
      <c r="C140" s="2857"/>
      <c r="D140" s="2857"/>
      <c r="E140" s="2857" t="s">
        <v>2796</v>
      </c>
      <c r="F140" s="2857"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8" thickBot="1">
      <c r="A4" s="1391"/>
      <c r="B4" s="3209" t="s">
        <v>917</v>
      </c>
      <c r="C4" s="3209"/>
      <c r="D4" s="3209"/>
      <c r="E4" s="1391"/>
    </row>
    <row r="5" spans="1:5" ht="16.2" thickTop="1">
      <c r="B5" s="3207" t="s">
        <v>909</v>
      </c>
      <c r="C5" s="1392" t="s">
        <v>910</v>
      </c>
      <c r="D5" s="797">
        <f ca="1">结果表!H101</f>
        <v>773228</v>
      </c>
    </row>
    <row r="6" spans="1:5" ht="31.2">
      <c r="B6" s="3207"/>
      <c r="C6" s="1392" t="s">
        <v>911</v>
      </c>
      <c r="D6" s="797" t="str">
        <f ca="1">NUMBERSTRING(INT(D5*10000),2)&amp;"元整"</f>
        <v>柒拾柒亿叁仟贰佰贰拾捌万元整</v>
      </c>
    </row>
    <row r="7" spans="1:5" ht="15.6">
      <c r="B7" s="3212"/>
      <c r="C7" s="1393" t="s">
        <v>912</v>
      </c>
      <c r="D7" s="798">
        <f ca="1">结果表!H102</f>
        <v>21994</v>
      </c>
    </row>
    <row r="8" spans="1:5" ht="15.6">
      <c r="B8" s="3213" t="str">
        <f>结果表!E103</f>
        <v>2.估价师知悉的法定优先受偿款</v>
      </c>
      <c r="C8" s="1394" t="s">
        <v>913</v>
      </c>
      <c r="D8" s="798">
        <f>结果表!H103</f>
        <v>0</v>
      </c>
    </row>
    <row r="9" spans="1:5" ht="15.6">
      <c r="B9" s="321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6" t="str">
        <f>结果表!E107</f>
        <v>3.房地产抵押价值</v>
      </c>
      <c r="C13" s="1397" t="s">
        <v>910</v>
      </c>
      <c r="D13" s="800">
        <f ca="1">结果表!H107</f>
        <v>773228</v>
      </c>
    </row>
    <row r="14" spans="1:5" ht="31.2">
      <c r="B14" s="3207"/>
      <c r="C14" s="1392" t="s">
        <v>911</v>
      </c>
      <c r="D14" s="797" t="str">
        <f ca="1">NUMBERSTRING(INT(D13*10000),2)&amp;"元整"</f>
        <v>柒拾柒亿叁仟贰佰贰拾捌万元整</v>
      </c>
    </row>
    <row r="15" spans="1:5" ht="15.6">
      <c r="B15" s="3212"/>
      <c r="C15" s="1393" t="s">
        <v>921</v>
      </c>
      <c r="D15" s="806">
        <f ca="1">结果表!H108</f>
        <v>21994</v>
      </c>
    </row>
    <row r="16" spans="1:5" ht="15.6">
      <c r="B16" s="3213" t="str">
        <f>结果表!E109</f>
        <v>——</v>
      </c>
      <c r="C16" s="1397" t="s">
        <v>922</v>
      </c>
      <c r="D16" s="1398" t="str">
        <f>结果表!H109</f>
        <v>——</v>
      </c>
    </row>
    <row r="17" spans="1:5" ht="15.6">
      <c r="B17" s="3214"/>
      <c r="C17" s="1392" t="s">
        <v>923</v>
      </c>
      <c r="D17" s="797" t="e">
        <f>NUMBERSTRING(INT(D16*10000),2)&amp;"元整"</f>
        <v>#VALUE!</v>
      </c>
    </row>
    <row r="18" spans="1:5" ht="15.6">
      <c r="B18" s="3215"/>
      <c r="C18" s="1393" t="s">
        <v>912</v>
      </c>
      <c r="D18" s="806" t="str">
        <f>结果表!H110</f>
        <v>——</v>
      </c>
    </row>
    <row r="19" spans="1:5" ht="15.6">
      <c r="B19" s="3206" t="str">
        <f>结果表!E111</f>
        <v>——</v>
      </c>
      <c r="C19" s="1397" t="s">
        <v>910</v>
      </c>
      <c r="D19" s="798" t="str">
        <f>结果表!H111</f>
        <v>——</v>
      </c>
    </row>
    <row r="20" spans="1:5" ht="15.6">
      <c r="B20" s="3207"/>
      <c r="C20" s="1392" t="s">
        <v>923</v>
      </c>
      <c r="D20" s="797" t="e">
        <f>NUMBERSTRING(INT(D19*10000),2)&amp;"元整"</f>
        <v>#VALUE!</v>
      </c>
    </row>
    <row r="21" spans="1:5" ht="16.2" thickBot="1">
      <c r="B21" s="320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1.0397000000000001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0.98899999999999999</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535585</v>
      </c>
      <c r="C2" s="2" t="s">
        <v>106</v>
      </c>
      <c r="D2" s="191"/>
      <c r="E2" s="191"/>
      <c r="F2" s="191"/>
      <c r="G2" s="191"/>
    </row>
    <row r="3" spans="1:7" s="192" customFormat="1" ht="18" customHeight="1" thickBot="1">
      <c r="A3" s="195" t="s">
        <v>58</v>
      </c>
      <c r="B3" s="196">
        <f ca="1">ROUND(B2*10000/'数据-汇总表'!E3,0)</f>
        <v>15234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5977</v>
      </c>
      <c r="D10" s="795">
        <f>'数据-汇总表'!E6</f>
        <v>351565.27</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7031</v>
      </c>
      <c r="D19" s="204">
        <f>'数据-汇总表'!E3</f>
        <v>351565.27</v>
      </c>
      <c r="E19" s="203">
        <f>'数据-取费表'!B31</f>
        <v>200</v>
      </c>
      <c r="F19" s="223"/>
      <c r="G19" s="1" t="s">
        <v>436</v>
      </c>
    </row>
    <row r="20" spans="1:7" s="206" customFormat="1" ht="13.5" customHeight="1">
      <c r="A20" s="731" t="s">
        <v>419</v>
      </c>
      <c r="B20" s="202" t="s">
        <v>77</v>
      </c>
      <c r="C20" s="224">
        <f>ROUND((C5+C19)*F20,0)</f>
        <v>553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2810</v>
      </c>
      <c r="D22" s="227">
        <f ca="1">C26</f>
        <v>1E-3</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708</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6.4">
      <c r="A27" s="731" t="s">
        <v>342</v>
      </c>
      <c r="B27" s="236" t="s">
        <v>85</v>
      </c>
      <c r="C27" s="237">
        <f>C28</f>
        <v>5639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5639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39716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412722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359018</v>
      </c>
      <c r="D34" s="209"/>
      <c r="E34" s="212"/>
      <c r="F34" s="249">
        <f>IF('数据-取费表'!B24=0,1,'数据-取费表'!N16)</f>
        <v>1</v>
      </c>
      <c r="G34" s="211" t="s">
        <v>89</v>
      </c>
    </row>
    <row r="35" spans="1:7" ht="13.5" customHeight="1">
      <c r="A35" s="734" t="s">
        <v>351</v>
      </c>
      <c r="B35" s="207" t="s">
        <v>33</v>
      </c>
      <c r="C35" s="212">
        <f>ROUND(C34*F35,0)</f>
        <v>35902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7031</v>
      </c>
      <c r="D37" s="209">
        <f>'数据-汇总表'!E3</f>
        <v>351565.27</v>
      </c>
      <c r="E37" s="241">
        <f>'数据-取费表'!B35</f>
        <v>200</v>
      </c>
      <c r="F37" s="251"/>
      <c r="G37" s="253" t="s">
        <v>92</v>
      </c>
    </row>
    <row r="38" spans="1:7" ht="13.5" customHeight="1">
      <c r="A38" s="734" t="s">
        <v>354</v>
      </c>
      <c r="B38" s="207" t="s">
        <v>36</v>
      </c>
      <c r="C38" s="212">
        <f>ROUND(C34*F38,0)</f>
        <v>10771</v>
      </c>
      <c r="D38" s="212"/>
      <c r="E38" s="212"/>
      <c r="F38" s="251">
        <f>'数据-取费表'!B36</f>
        <v>0.03</v>
      </c>
      <c r="G38" s="211" t="s">
        <v>90</v>
      </c>
    </row>
    <row r="39" spans="1:7" s="206" customFormat="1" ht="13.5" customHeight="1">
      <c r="A39" s="731" t="s">
        <v>338</v>
      </c>
      <c r="B39" s="202" t="s">
        <v>77</v>
      </c>
      <c r="C39" s="224">
        <f>ROUND(C33*F20,0)</f>
        <v>8254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20689</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20283</v>
      </c>
      <c r="D42" s="230"/>
      <c r="E42" s="230"/>
      <c r="F42" s="231"/>
      <c r="G42" s="3406" t="s">
        <v>94</v>
      </c>
    </row>
    <row r="43" spans="1:7" ht="13.5" customHeight="1">
      <c r="A43" s="734" t="s">
        <v>347</v>
      </c>
      <c r="B43" s="207" t="s">
        <v>426</v>
      </c>
      <c r="C43" s="230">
        <f ca="1">ROUND(IF('数据-取费表'!B22&lt;=1,C39*F22*'数据-取费表'!B21/2,C39*(POWER((1+F22),'数据-取费表'!B21/2)-1)),0)</f>
        <v>406</v>
      </c>
      <c r="D43" s="230"/>
      <c r="E43" s="230"/>
      <c r="F43" s="231"/>
      <c r="G43" s="3407"/>
    </row>
    <row r="44" spans="1:7" ht="13.5" customHeight="1">
      <c r="A44" s="734" t="s">
        <v>348</v>
      </c>
      <c r="B44" s="207" t="s">
        <v>428</v>
      </c>
      <c r="C44" s="230">
        <f ca="1">ROUND(IF('数据-取费表'!B22&lt;=1,C40*F22*'数据-取费表'!B21/2,C40*(POWER((1+F22),'数据-取费表'!B21/2)-1)),4)</f>
        <v>1E-3</v>
      </c>
      <c r="D44" s="230"/>
      <c r="E44" s="230"/>
      <c r="F44" s="231"/>
      <c r="G44" s="3408"/>
    </row>
    <row r="45" spans="1:7" s="206" customFormat="1" ht="13.5" customHeight="1">
      <c r="A45" s="731" t="s">
        <v>341</v>
      </c>
      <c r="B45" s="236" t="s">
        <v>85</v>
      </c>
      <c r="C45" s="237">
        <f>C46</f>
        <v>84195</v>
      </c>
      <c r="D45" s="227">
        <f>C47</f>
        <v>4.0000000000000001E-3</v>
      </c>
      <c r="E45" s="228" t="s">
        <v>102</v>
      </c>
      <c r="F45" s="238"/>
      <c r="G45" s="239" t="s">
        <v>434</v>
      </c>
    </row>
    <row r="46" spans="1:7" s="206" customFormat="1" ht="13.5" customHeight="1">
      <c r="A46" s="734" t="s">
        <v>349</v>
      </c>
      <c r="B46" s="240" t="s">
        <v>427</v>
      </c>
      <c r="C46" s="241">
        <f>ROUND((C33+C39)*F27,0)</f>
        <v>84195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569964</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495869</v>
      </c>
      <c r="D51" s="224"/>
      <c r="E51" s="224"/>
      <c r="F51" s="256"/>
      <c r="G51" s="226" t="s">
        <v>37</v>
      </c>
    </row>
    <row r="52" spans="1:7" s="200" customFormat="1" ht="16.8" thickBot="1">
      <c r="A52" s="257" t="s">
        <v>38</v>
      </c>
      <c r="B52" s="258"/>
      <c r="C52" s="259">
        <f ca="1">C31+C51</f>
        <v>535585</v>
      </c>
      <c r="D52" s="258"/>
      <c r="E52" s="258"/>
      <c r="F52" s="258"/>
      <c r="G52" s="260"/>
    </row>
    <row r="55" spans="1:7" ht="15">
      <c r="B55" s="262" t="s">
        <v>39</v>
      </c>
      <c r="C55" s="263"/>
    </row>
    <row r="56" spans="1:7">
      <c r="B56" s="265" t="s">
        <v>40</v>
      </c>
      <c r="C56" s="266">
        <f ca="1">ROUND(C51/C52,3)</f>
        <v>0.92600000000000005</v>
      </c>
    </row>
    <row r="57" spans="1:7">
      <c r="B57" s="265" t="s">
        <v>41</v>
      </c>
      <c r="C57" s="267">
        <f ca="1">1-C56</f>
        <v>7.3999999999999955E-2</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43" t="s">
        <v>3180</v>
      </c>
      <c r="B1" s="3543"/>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3"/>
  </cols>
  <sheetData>
    <row r="1" spans="1:6">
      <c r="A1" s="3544" t="s">
        <v>3231</v>
      </c>
      <c r="B1" s="3544"/>
      <c r="C1" s="3544"/>
      <c r="D1" s="3544"/>
      <c r="E1" s="3544"/>
      <c r="F1" s="3545"/>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20" zoomScale="90" zoomScaleNormal="90" workbookViewId="0">
      <selection activeCell="I52" sqref="I52"/>
    </sheetView>
  </sheetViews>
  <sheetFormatPr defaultRowHeight="14.4"/>
  <cols>
    <col min="1" max="1" width="13.88671875" customWidth="1"/>
    <col min="11" max="17" width="0" hidden="1" customWidth="1"/>
    <col min="25" max="30" width="0" hidden="1" customWidth="1"/>
  </cols>
  <sheetData>
    <row r="1" spans="1:44">
      <c r="A1" s="2937">
        <f>基准地价修正!G23</f>
        <v>45993</v>
      </c>
      <c r="B1" s="2929" t="s">
        <v>3375</v>
      </c>
      <c r="C1" s="2930"/>
      <c r="D1" s="2930"/>
      <c r="E1" s="2930"/>
      <c r="F1" s="2930"/>
      <c r="G1" s="2930"/>
      <c r="H1" s="2930"/>
      <c r="I1" s="2930"/>
      <c r="J1" s="2896"/>
      <c r="K1" s="2930" t="s">
        <v>454</v>
      </c>
      <c r="L1" s="2930"/>
      <c r="M1" s="2930"/>
      <c r="N1" s="2930"/>
      <c r="O1" s="2930"/>
      <c r="P1" s="2930"/>
      <c r="Q1" s="2896"/>
      <c r="R1" s="3546" t="s">
        <v>456</v>
      </c>
      <c r="S1" s="3547"/>
      <c r="T1" s="3547"/>
      <c r="U1" s="3547"/>
      <c r="V1" s="3547"/>
      <c r="W1" s="3547"/>
      <c r="X1" s="2896"/>
      <c r="Y1" s="3546" t="s">
        <v>457</v>
      </c>
      <c r="Z1" s="3547"/>
      <c r="AA1" s="3547"/>
      <c r="AB1" s="3547"/>
      <c r="AC1" s="3547"/>
      <c r="AD1" s="3547"/>
    </row>
    <row r="2" spans="1:44"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3400</v>
      </c>
      <c r="AG2" t="s">
        <v>673</v>
      </c>
      <c r="AH2" t="s">
        <v>21</v>
      </c>
      <c r="AI2" t="s">
        <v>3401</v>
      </c>
      <c r="AJ2" t="s">
        <v>3</v>
      </c>
      <c r="AK2" t="s">
        <v>3402</v>
      </c>
      <c r="AM2" t="s">
        <v>3400</v>
      </c>
      <c r="AN2" t="s">
        <v>673</v>
      </c>
      <c r="AO2" t="s">
        <v>21</v>
      </c>
      <c r="AP2" t="s">
        <v>3401</v>
      </c>
      <c r="AQ2" t="s">
        <v>3</v>
      </c>
      <c r="AR2" t="s">
        <v>3402</v>
      </c>
    </row>
    <row r="3" spans="1:44" s="2886" customFormat="1" ht="13.2">
      <c r="A3" s="2884" t="s">
        <v>2818</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2">
      <c r="A6" s="2907" t="s">
        <v>3413</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2">
      <c r="A7" s="2040" t="s">
        <v>3414</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2">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2">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2">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2">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2">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2">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2">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2">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2">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2">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2">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2">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2">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2">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2">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5" thickTop="1"/>
    <row r="26" spans="1:44">
      <c r="A26" s="3143" t="s">
        <v>3378</v>
      </c>
    </row>
    <row r="27" spans="1:44">
      <c r="I27" s="1405" t="s">
        <v>2824</v>
      </c>
    </row>
    <row r="29" spans="1:44" s="2009" customFormat="1" ht="13.2">
      <c r="B29" s="2929" t="s">
        <v>3376</v>
      </c>
      <c r="C29" s="2930"/>
      <c r="D29" s="2930"/>
      <c r="E29" s="2930"/>
      <c r="F29" s="2930"/>
      <c r="G29" s="2930"/>
      <c r="H29" s="2930"/>
      <c r="I29" s="2930"/>
      <c r="J29" s="2896"/>
      <c r="K29" s="2930" t="s">
        <v>2825</v>
      </c>
      <c r="L29" s="2930"/>
      <c r="M29" s="2930"/>
      <c r="N29" s="2930"/>
      <c r="O29" s="2930"/>
      <c r="P29" s="2930"/>
      <c r="Q29" s="2896"/>
      <c r="R29" s="3546" t="s">
        <v>2826</v>
      </c>
      <c r="S29" s="3547"/>
      <c r="T29" s="3547"/>
      <c r="U29" s="3547"/>
      <c r="V29" s="3547"/>
      <c r="W29" s="3547"/>
      <c r="X29" s="2896"/>
      <c r="Y29" s="3546" t="s">
        <v>2827</v>
      </c>
      <c r="Z29" s="3547"/>
      <c r="AA29" s="3547"/>
      <c r="AB29" s="3547"/>
      <c r="AC29" s="3547"/>
      <c r="AD29" s="3547"/>
    </row>
    <row r="30" spans="1:44" s="2010" customFormat="1" ht="1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3401</v>
      </c>
      <c r="AJ30"/>
      <c r="AK30" t="s">
        <v>3402</v>
      </c>
      <c r="AN30" t="s">
        <v>673</v>
      </c>
      <c r="AO30" t="s">
        <v>21</v>
      </c>
      <c r="AP30" t="s">
        <v>3401</v>
      </c>
      <c r="AQ30"/>
      <c r="AR30" t="s">
        <v>3402</v>
      </c>
    </row>
    <row r="31" spans="1:44" s="2886" customFormat="1" ht="13.2">
      <c r="A31" s="2884" t="s">
        <v>2833</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2">
      <c r="A34" s="2907" t="s">
        <v>3415</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2">
      <c r="A35" s="2040" t="s">
        <v>3414</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2">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2">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2">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2">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2">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2">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2">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2">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2">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2">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2">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2">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2">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2">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2">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2">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20" sqref="H20"/>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51" t="s">
        <v>452</v>
      </c>
      <c r="C1" s="3551"/>
      <c r="D1" s="3551"/>
      <c r="E1" s="3551"/>
      <c r="F1" s="3551"/>
      <c r="G1" s="3547" t="s">
        <v>453</v>
      </c>
      <c r="H1" s="3547"/>
      <c r="I1" s="3547"/>
      <c r="J1" s="3547"/>
      <c r="K1" s="3547"/>
      <c r="L1" s="3547"/>
      <c r="N1" s="3547" t="s">
        <v>454</v>
      </c>
      <c r="O1" s="3547"/>
      <c r="P1" s="3547"/>
      <c r="Q1" s="3547"/>
      <c r="S1" s="3547" t="s">
        <v>455</v>
      </c>
      <c r="T1" s="3547"/>
      <c r="U1" s="3547"/>
      <c r="V1" s="3547"/>
      <c r="X1" s="3546" t="s">
        <v>456</v>
      </c>
      <c r="Y1" s="3547"/>
      <c r="Z1" s="3547"/>
      <c r="AA1" s="3547"/>
      <c r="AB1" s="3547"/>
      <c r="AD1" s="3546" t="s">
        <v>457</v>
      </c>
      <c r="AE1" s="3547"/>
      <c r="AF1" s="3547"/>
      <c r="AG1" s="3547"/>
      <c r="AH1" s="354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5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4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4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5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4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5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4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4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4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4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4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4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4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4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4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5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4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5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20" sqref="H20"/>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59" t="s">
        <v>2838</v>
      </c>
      <c r="B1" s="3559"/>
      <c r="C1" s="3559"/>
      <c r="D1" s="3559"/>
      <c r="E1" s="3559"/>
      <c r="F1" s="3559"/>
      <c r="G1" s="3560"/>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557"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558"/>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20" sqref="H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45993</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N9:O35"/>
  <sheetViews>
    <sheetView topLeftCell="A4" workbookViewId="0">
      <selection activeCell="Q37" sqref="Q37"/>
    </sheetView>
  </sheetViews>
  <sheetFormatPr defaultRowHeight="14.4"/>
  <sheetData>
    <row r="9" spans="15:15">
      <c r="O9">
        <f>13000/9600</f>
        <v>1.3541666666666667</v>
      </c>
    </row>
    <row r="33" spans="14:14">
      <c r="N33">
        <f>27300/面积表!F3</f>
        <v>1.3794420687386593</v>
      </c>
    </row>
    <row r="34" spans="14:14">
      <c r="N34">
        <f>27300/面积表!F4</f>
        <v>1.3797920607876744</v>
      </c>
    </row>
    <row r="35" spans="14:14">
      <c r="N35">
        <f>20700/面积表!F20</f>
        <v>1.4824809426000567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6">
      <c r="A3" s="3219"/>
      <c r="B3" s="3219"/>
      <c r="C3" s="3219"/>
      <c r="D3" s="801" t="s">
        <v>925</v>
      </c>
      <c r="E3" s="801" t="s">
        <v>931</v>
      </c>
      <c r="F3" s="801" t="s">
        <v>925</v>
      </c>
      <c r="G3" s="801" t="s">
        <v>926</v>
      </c>
      <c r="H3" s="801" t="s">
        <v>925</v>
      </c>
      <c r="I3" s="801" t="s">
        <v>926</v>
      </c>
    </row>
    <row r="4" spans="1:9" ht="30">
      <c r="A4" s="1403" t="str">
        <f>项目基本情况!S2</f>
        <v>北京市通州区尹各庄甲1号房地产</v>
      </c>
      <c r="B4" s="801">
        <f>项目基本情况!C17</f>
        <v>351565.27</v>
      </c>
      <c r="C4" s="801">
        <f>项目基本情况!C18</f>
        <v>116233.68</v>
      </c>
      <c r="D4" s="801">
        <f ca="1">结果表!D118</f>
        <v>187121</v>
      </c>
      <c r="E4" s="801">
        <f ca="1">结果表!E118</f>
        <v>5323</v>
      </c>
      <c r="F4" s="801">
        <f ca="1">结果表!F118</f>
        <v>586107</v>
      </c>
      <c r="G4" s="801">
        <f ca="1">结果表!G118</f>
        <v>16671</v>
      </c>
      <c r="H4" s="801">
        <f ca="1">结果表!H118</f>
        <v>773228</v>
      </c>
      <c r="I4" s="801">
        <f ca="1">结果表!I118</f>
        <v>21994</v>
      </c>
    </row>
    <row r="5" spans="1:9" ht="30" customHeight="1">
      <c r="A5" s="3219" t="s">
        <v>927</v>
      </c>
      <c r="B5" s="3219"/>
      <c r="C5" s="3219"/>
      <c r="D5" s="3219" t="str">
        <f ca="1">结果表!D119</f>
        <v>壹拾捌亿柒仟壹佰贰拾壹万元整</v>
      </c>
      <c r="E5" s="3219"/>
      <c r="F5" s="3219" t="str">
        <f ca="1">结果表!F119</f>
        <v>伍拾捌亿陆仟壹佰零柒万元整</v>
      </c>
      <c r="G5" s="3219"/>
      <c r="H5" s="3219" t="str">
        <f ca="1">结果表!H119</f>
        <v>柒拾柒亿叁仟贰佰贰拾捌万元整</v>
      </c>
      <c r="I5" s="3219"/>
    </row>
    <row r="6" spans="1:9" ht="15.6">
      <c r="A6" s="3218" t="str">
        <f>结果表!A120</f>
        <v>估价师知悉的法定优先受偿款</v>
      </c>
      <c r="B6" s="3218"/>
      <c r="C6" s="3218"/>
      <c r="D6" s="3218">
        <f>结果表!D120</f>
        <v>0</v>
      </c>
      <c r="E6" s="3218"/>
      <c r="F6" s="3218"/>
      <c r="G6" s="3218"/>
      <c r="H6" s="3218"/>
      <c r="I6" s="3218"/>
    </row>
    <row r="7" spans="1:9" ht="15">
      <c r="A7" s="3219" t="s">
        <v>927</v>
      </c>
      <c r="B7" s="3219"/>
      <c r="C7" s="3219"/>
      <c r="D7" s="3220" t="str">
        <f>结果表!D121</f>
        <v>零元整</v>
      </c>
      <c r="E7" s="3221"/>
      <c r="F7" s="3221"/>
      <c r="G7" s="3221"/>
      <c r="H7" s="3221"/>
      <c r="I7" s="3222"/>
    </row>
    <row r="8" spans="1:9" ht="15.6">
      <c r="A8" s="3218" t="str">
        <f>结果表!A122</f>
        <v>房地产抵押价值</v>
      </c>
      <c r="B8" s="3218"/>
      <c r="C8" s="3218"/>
      <c r="D8" s="3218">
        <f ca="1">结果表!D122</f>
        <v>773228</v>
      </c>
      <c r="E8" s="3218"/>
      <c r="F8" s="3218"/>
      <c r="G8" s="3218"/>
      <c r="H8" s="3218"/>
      <c r="I8" s="3218"/>
    </row>
    <row r="9" spans="1:9" ht="15">
      <c r="A9" s="3219" t="s">
        <v>927</v>
      </c>
      <c r="B9" s="3219"/>
      <c r="C9" s="3219"/>
      <c r="D9" s="3219" t="str">
        <f ca="1">结果表!D123</f>
        <v>柒拾柒亿叁仟贰佰贰拾捌万元整</v>
      </c>
      <c r="E9" s="3219"/>
      <c r="F9" s="3219"/>
      <c r="G9" s="3219"/>
      <c r="H9" s="3219"/>
      <c r="I9" s="3219"/>
    </row>
    <row r="10" spans="1:9" ht="15.6">
      <c r="A10" s="3218" t="str">
        <f>结果表!A124</f>
        <v/>
      </c>
      <c r="B10" s="3218"/>
      <c r="C10" s="3218"/>
      <c r="D10" s="3218" t="str">
        <f>结果表!D124</f>
        <v>——</v>
      </c>
      <c r="E10" s="3218"/>
      <c r="F10" s="3218"/>
      <c r="G10" s="3218"/>
      <c r="H10" s="3218"/>
      <c r="I10" s="3218"/>
    </row>
    <row r="11" spans="1:9" ht="15">
      <c r="A11" s="3219" t="s">
        <v>927</v>
      </c>
      <c r="B11" s="3219"/>
      <c r="C11" s="3219"/>
      <c r="D11" s="3219" t="e">
        <f>结果表!D125</f>
        <v>#VALUE!</v>
      </c>
      <c r="E11" s="3219"/>
      <c r="F11" s="3219"/>
      <c r="G11" s="3219"/>
      <c r="H11" s="3219"/>
      <c r="I11" s="3219"/>
    </row>
    <row r="12" spans="1:9" ht="15.6">
      <c r="A12" s="3218" t="str">
        <f>结果表!A126</f>
        <v/>
      </c>
      <c r="B12" s="3218"/>
      <c r="C12" s="3218"/>
      <c r="D12" s="3218" t="str">
        <f>结果表!D126</f>
        <v>——</v>
      </c>
      <c r="E12" s="3218"/>
      <c r="F12" s="3218"/>
      <c r="G12" s="3218"/>
      <c r="H12" s="3218"/>
      <c r="I12" s="3218"/>
    </row>
    <row r="13" spans="1:9" ht="15.6" thickBot="1">
      <c r="A13" s="3216" t="s">
        <v>927</v>
      </c>
      <c r="B13" s="3216"/>
      <c r="C13" s="3216"/>
      <c r="D13" s="3216" t="e">
        <f>结果表!D127</f>
        <v>#VALUE!</v>
      </c>
      <c r="E13" s="3216"/>
      <c r="F13" s="3216"/>
      <c r="G13" s="3216"/>
      <c r="H13" s="3216"/>
      <c r="I13" s="3216"/>
    </row>
    <row r="14" spans="1:9" ht="14.4" thickTop="1">
      <c r="A14" s="3217" t="s">
        <v>932</v>
      </c>
      <c r="B14" s="3217"/>
      <c r="C14" s="3217"/>
      <c r="D14" s="3217"/>
      <c r="E14" s="3217"/>
      <c r="F14" s="3217"/>
      <c r="G14" s="3217"/>
      <c r="H14" s="3217"/>
      <c r="I14" s="321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1" t="s">
        <v>949</v>
      </c>
      <c r="B1" s="3231"/>
      <c r="C1" s="3231"/>
      <c r="D1" s="3231"/>
    </row>
    <row r="2" spans="1:4" ht="17.399999999999999">
      <c r="A2" s="3232" t="s">
        <v>933</v>
      </c>
      <c r="B2" s="3232"/>
      <c r="C2" s="3232"/>
      <c r="D2" s="323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32" t="s">
        <v>939</v>
      </c>
      <c r="B6" s="3232"/>
      <c r="C6" s="3232"/>
      <c r="D6" s="323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3"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5" t="str">
        <f>IF(项目基本情况!B8="抵押","4.本次评估估价师所知悉的法定优先受偿款情况说明如下：","——")</f>
        <v>4.本次评估估价师所知悉的法定优先受偿款情况说明如下：</v>
      </c>
      <c r="B14" s="3230"/>
      <c r="C14" s="3230"/>
      <c r="D14" s="3230"/>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7" t="s">
        <v>943</v>
      </c>
      <c r="B16" s="3227"/>
      <c r="C16" s="3227"/>
      <c r="D16" s="3227"/>
    </row>
    <row r="17" spans="1:4" ht="144" customHeight="1">
      <c r="A17" s="3227" t="s">
        <v>944</v>
      </c>
      <c r="B17" s="3227"/>
      <c r="C17" s="3227"/>
      <c r="D17" s="3227"/>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945</v>
      </c>
      <c r="B22" s="3229"/>
      <c r="C22" s="3229"/>
      <c r="D22" s="322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9" t="s">
        <v>956</v>
      </c>
      <c r="B15" s="3234" t="s">
        <v>109</v>
      </c>
      <c r="C15" s="3235"/>
    </row>
    <row r="16" spans="1:7" ht="14.4">
      <c r="A16" s="3240"/>
      <c r="B16" s="3234" t="s">
        <v>42</v>
      </c>
      <c r="C16" s="3235"/>
    </row>
    <row r="17" spans="1:3" ht="14.4">
      <c r="A17" s="3240"/>
      <c r="B17" s="3237" t="s">
        <v>957</v>
      </c>
      <c r="C17" s="1429" t="s">
        <v>956</v>
      </c>
    </row>
    <row r="18" spans="1:3" ht="14.4">
      <c r="A18" s="3240"/>
      <c r="B18" s="3237"/>
      <c r="C18" s="1429" t="s">
        <v>958</v>
      </c>
    </row>
    <row r="19" spans="1:3" ht="14.4">
      <c r="A19" s="3240"/>
      <c r="B19" s="3237"/>
      <c r="C19" s="1429" t="s">
        <v>959</v>
      </c>
    </row>
    <row r="20" spans="1:3" ht="14.4">
      <c r="A20" s="3241"/>
      <c r="B20" s="3236" t="s">
        <v>960</v>
      </c>
      <c r="C20" s="3235"/>
    </row>
    <row r="21" spans="1:3" ht="14.4">
      <c r="A21" s="1430" t="s">
        <v>961</v>
      </c>
      <c r="B21" s="1431"/>
      <c r="C21" s="1432"/>
    </row>
    <row r="22" spans="1:3" ht="14.4">
      <c r="A22" s="3238" t="s">
        <v>962</v>
      </c>
      <c r="B22" s="3236" t="s">
        <v>963</v>
      </c>
      <c r="C22" s="3235"/>
    </row>
    <row r="23" spans="1:3" ht="14.4">
      <c r="A23" s="3238"/>
      <c r="B23" s="3236" t="s">
        <v>964</v>
      </c>
      <c r="C23" s="3235"/>
    </row>
    <row r="24" spans="1:3" ht="14.4">
      <c r="A24" s="3238"/>
      <c r="B24" s="3236" t="s">
        <v>965</v>
      </c>
      <c r="C24" s="3235"/>
    </row>
    <row r="25" spans="1:3" ht="14.4">
      <c r="A25" s="3238"/>
      <c r="B25" s="3237" t="s">
        <v>966</v>
      </c>
      <c r="C25" s="1429" t="s">
        <v>967</v>
      </c>
    </row>
    <row r="26" spans="1:3" ht="14.4">
      <c r="A26" s="3238"/>
      <c r="B26" s="3237"/>
      <c r="C26" s="1429" t="s">
        <v>968</v>
      </c>
    </row>
    <row r="27" spans="1:3" ht="14.4">
      <c r="A27" s="3238"/>
      <c r="B27" s="3237"/>
      <c r="C27" s="1429" t="s">
        <v>969</v>
      </c>
    </row>
    <row r="28" spans="1:3" ht="14.4">
      <c r="A28" s="3238"/>
      <c r="B28" s="3237"/>
      <c r="C28" s="1429" t="s">
        <v>970</v>
      </c>
    </row>
    <row r="29" spans="1:3" ht="14.4">
      <c r="A29" s="3238"/>
      <c r="B29" s="3237"/>
      <c r="C29" s="1429" t="s">
        <v>971</v>
      </c>
    </row>
    <row r="30" spans="1:3" ht="14.4">
      <c r="A30" s="3238"/>
      <c r="B30" s="3237"/>
      <c r="C30" s="1429" t="s">
        <v>972</v>
      </c>
    </row>
    <row r="31" spans="1:3" ht="14.4">
      <c r="A31" s="3238"/>
      <c r="B31" s="3237"/>
      <c r="C31" s="1429" t="s">
        <v>973</v>
      </c>
    </row>
    <row r="32" spans="1:3" ht="14.4">
      <c r="A32" s="3238"/>
      <c r="B32" s="3237"/>
      <c r="C32" s="1429" t="s">
        <v>974</v>
      </c>
    </row>
    <row r="33" spans="1:3" ht="14.4">
      <c r="A33" s="3238"/>
      <c r="B33" s="323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45998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2" t="s">
        <v>2159</v>
      </c>
      <c r="B17" s="3242"/>
      <c r="C17" s="3242"/>
      <c r="D17" s="3242"/>
      <c r="E17" s="3242"/>
      <c r="F17" s="3242"/>
      <c r="G17" s="3242"/>
      <c r="H17" s="3242"/>
    </row>
    <row r="18" spans="1:8" ht="24" customHeight="1">
      <c r="A18" s="3243" t="s">
        <v>2160</v>
      </c>
      <c r="B18" s="3243"/>
      <c r="C18" s="3243"/>
      <c r="D18" s="2160"/>
      <c r="E18" s="3244" t="s">
        <v>2161</v>
      </c>
      <c r="F18" s="3243"/>
      <c r="G18" s="324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价值拆分</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2025-12-07T12:34:55Z</dcterms:modified>
</cp:coreProperties>
</file>