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4层" sheetId="80" state="hidden" r:id="rId23"/>
    <sheet name="收益法-3层" sheetId="78" state="hidden" r:id="rId24"/>
    <sheet name="收益法" sheetId="77" r:id="rId25"/>
    <sheet name="收益法-2、3"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Sheet1" sheetId="81"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82"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5">'收益法-2、3'!$A$1:$AK$69</definedName>
    <definedName name="_xlnm.Print_Area" localSheetId="23">'收益法-3层'!$A$1:$AK$69</definedName>
    <definedName name="_xlnm.Print_Area" localSheetId="22">'收益法-4层'!$A$1:$AK$69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6" i="3" l="1"/>
  <c r="B25" i="3"/>
  <c r="B19" i="3"/>
  <c r="D4" i="73"/>
  <c r="E20" i="43"/>
  <c r="M17" i="43"/>
  <c r="G20" i="43"/>
  <c r="C20" i="43"/>
  <c r="T2" i="43"/>
  <c r="V2" i="43"/>
  <c r="T3" i="43"/>
  <c r="V3" i="43"/>
  <c r="T4" i="43"/>
  <c r="V4" i="43"/>
  <c r="T5" i="43"/>
  <c r="V5" i="43"/>
  <c r="C6" i="68"/>
  <c r="C7" i="68"/>
  <c r="C5" i="68"/>
  <c r="F20" i="68"/>
  <c r="C20" i="68"/>
  <c r="D5" i="73"/>
  <c r="K1" i="73"/>
  <c r="G1" i="73"/>
  <c r="B40" i="1"/>
  <c r="F22" i="68"/>
  <c r="C23" i="68"/>
  <c r="C24" i="68"/>
  <c r="C25" i="68"/>
  <c r="C22" i="68"/>
  <c r="F27" i="68"/>
  <c r="C28" i="68"/>
  <c r="C27" i="68"/>
  <c r="F21" i="68"/>
  <c r="C26" i="68"/>
  <c r="D22" i="68"/>
  <c r="C21" i="68"/>
  <c r="C29" i="68"/>
  <c r="D27" i="68"/>
  <c r="C31" i="68"/>
  <c r="F34" i="68"/>
  <c r="C18" i="3"/>
  <c r="C19" i="3"/>
  <c r="C20" i="3"/>
  <c r="C21" i="3"/>
  <c r="B21" i="3"/>
  <c r="M6" i="1"/>
  <c r="M16" i="1"/>
  <c r="C34" i="68"/>
  <c r="C35" i="68"/>
  <c r="C36" i="68"/>
  <c r="D9" i="68"/>
  <c r="D10" i="68"/>
  <c r="D19" i="68"/>
  <c r="D37" i="68"/>
  <c r="C37" i="68"/>
  <c r="C38" i="68"/>
  <c r="C33" i="68"/>
  <c r="C39" i="68"/>
  <c r="C42" i="68"/>
  <c r="C43" i="68"/>
  <c r="C41" i="68"/>
  <c r="C46" i="68"/>
  <c r="C45" i="68"/>
  <c r="C40" i="68"/>
  <c r="C44" i="68"/>
  <c r="D41" i="68"/>
  <c r="C47" i="68"/>
  <c r="D45" i="68"/>
  <c r="C49" i="68"/>
  <c r="N16" i="1"/>
  <c r="F50" i="68"/>
  <c r="C51" i="68"/>
  <c r="C52" i="68"/>
  <c r="B2" i="68"/>
  <c r="C19" i="9"/>
  <c r="B27" i="3"/>
  <c r="U6" i="1"/>
  <c r="F6" i="77"/>
  <c r="F8" i="77"/>
  <c r="F7" i="77"/>
  <c r="F9" i="77"/>
  <c r="C6" i="77"/>
  <c r="F4" i="73"/>
  <c r="I1" i="73"/>
  <c r="B39" i="1"/>
  <c r="F11" i="77"/>
  <c r="C10" i="77"/>
  <c r="C5" i="77"/>
  <c r="C32" i="77"/>
  <c r="C14" i="77"/>
  <c r="C15" i="77"/>
  <c r="F16" i="77"/>
  <c r="C16" i="77"/>
  <c r="F43" i="77"/>
  <c r="C17" i="77"/>
  <c r="C18" i="77"/>
  <c r="C19" i="77"/>
  <c r="C20" i="77"/>
  <c r="F24" i="77"/>
  <c r="C23" i="77"/>
  <c r="F26" i="77"/>
  <c r="C26" i="77"/>
  <c r="C24" i="77"/>
  <c r="C27" i="77"/>
  <c r="C29" i="77"/>
  <c r="F33" i="77"/>
  <c r="C33" i="77"/>
  <c r="R6" i="1"/>
  <c r="F35" i="77"/>
  <c r="C34" i="77"/>
  <c r="C31" i="77"/>
  <c r="F20" i="77"/>
  <c r="F21" i="77"/>
  <c r="F36" i="77"/>
  <c r="C36" i="77"/>
  <c r="F13" i="77"/>
  <c r="C13" i="77"/>
  <c r="F37" i="77"/>
  <c r="C37" i="77"/>
  <c r="F38" i="77"/>
  <c r="C38" i="77"/>
  <c r="C30" i="77"/>
  <c r="C39" i="77"/>
  <c r="F42" i="77"/>
  <c r="F40" i="77"/>
  <c r="L48" i="77"/>
  <c r="J53" i="77"/>
  <c r="F1" i="77"/>
  <c r="AE6" i="1"/>
  <c r="F41" i="77"/>
  <c r="C40" i="77"/>
  <c r="M6" i="77"/>
  <c r="M8" i="77"/>
  <c r="M7" i="77"/>
  <c r="M9" i="77"/>
  <c r="J6" i="77"/>
  <c r="M11" i="77"/>
  <c r="J10" i="77"/>
  <c r="J5" i="77"/>
  <c r="J26" i="77"/>
  <c r="J29" i="77"/>
  <c r="J60" i="77"/>
  <c r="L46" i="77"/>
  <c r="B2" i="77"/>
  <c r="AO6" i="1"/>
  <c r="B6" i="70"/>
  <c r="AO7" i="1"/>
  <c r="B7" i="70"/>
  <c r="AO8" i="1"/>
  <c r="B8" i="70"/>
  <c r="AO9" i="1"/>
  <c r="B9" i="70"/>
  <c r="AO10" i="1"/>
  <c r="B10" i="70"/>
  <c r="AO11" i="1"/>
  <c r="B11" i="70"/>
  <c r="AO12" i="1"/>
  <c r="B12" i="70"/>
  <c r="AO13" i="1"/>
  <c r="B13" i="70"/>
  <c r="B2" i="70"/>
  <c r="D19" i="9"/>
  <c r="G19" i="9"/>
  <c r="D27" i="9"/>
  <c r="D30" i="9"/>
  <c r="J19" i="9"/>
  <c r="C17" i="3"/>
  <c r="F19" i="6"/>
  <c r="D29" i="43"/>
  <c r="U3" i="43"/>
  <c r="U2" i="43"/>
  <c r="I16" i="3"/>
  <c r="I15" i="3"/>
  <c r="I14" i="3"/>
  <c r="I13" i="3"/>
  <c r="N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27" i="9"/>
  <c r="B30" i="9"/>
  <c r="A6" i="1"/>
  <c r="E19" i="6"/>
  <c r="K6" i="1"/>
  <c r="A9" i="1"/>
  <c r="E22" i="6"/>
  <c r="K9" i="1"/>
  <c r="A7" i="1"/>
  <c r="E20" i="6"/>
  <c r="K7" i="1"/>
  <c r="A8" i="1"/>
  <c r="E21" i="6"/>
  <c r="K8" i="1"/>
  <c r="Q72" i="80"/>
  <c r="B43" i="1"/>
  <c r="B41" i="1"/>
  <c r="F32" i="80"/>
  <c r="F60" i="80"/>
  <c r="Q59" i="80"/>
  <c r="K59" i="80"/>
  <c r="P74" i="80"/>
  <c r="F59" i="80"/>
  <c r="Q58" i="80"/>
  <c r="Q51" i="80"/>
  <c r="J50" i="80"/>
  <c r="M47" i="80"/>
  <c r="D46" i="80"/>
  <c r="B52" i="1"/>
  <c r="F34" i="80"/>
  <c r="F62" i="80"/>
  <c r="F33" i="80"/>
  <c r="F61" i="80"/>
  <c r="F31" i="80"/>
  <c r="F28" i="80"/>
  <c r="D3" i="4"/>
  <c r="B2" i="1"/>
  <c r="C42" i="1"/>
  <c r="C28" i="80"/>
  <c r="F23" i="80"/>
  <c r="F21" i="80"/>
  <c r="M20" i="80"/>
  <c r="F20" i="80"/>
  <c r="M19" i="80"/>
  <c r="M18" i="80"/>
  <c r="F18" i="80"/>
  <c r="M17" i="80"/>
  <c r="F17" i="80"/>
  <c r="F15" i="80"/>
  <c r="G1" i="80"/>
  <c r="K59" i="78"/>
  <c r="P74" i="78"/>
  <c r="Q72" i="78"/>
  <c r="F33" i="78"/>
  <c r="F61" i="78"/>
  <c r="Q59" i="78"/>
  <c r="P61" i="78"/>
  <c r="F59" i="78"/>
  <c r="Q58" i="78"/>
  <c r="Q51" i="78"/>
  <c r="J50" i="78"/>
  <c r="J51" i="78"/>
  <c r="M47" i="78"/>
  <c r="D46" i="78"/>
  <c r="F34" i="78"/>
  <c r="F32" i="78"/>
  <c r="F60" i="78"/>
  <c r="F31" i="78"/>
  <c r="F28" i="78"/>
  <c r="C28" i="78"/>
  <c r="F23" i="78"/>
  <c r="D24" i="78"/>
  <c r="D23" i="78"/>
  <c r="D22" i="78"/>
  <c r="F21" i="78"/>
  <c r="M20" i="78"/>
  <c r="F20" i="78"/>
  <c r="M19" i="78"/>
  <c r="M18" i="78"/>
  <c r="F18" i="78"/>
  <c r="M17" i="78"/>
  <c r="F17" i="78"/>
  <c r="F15" i="78"/>
  <c r="G1" i="78"/>
  <c r="Q72" i="77"/>
  <c r="F32" i="77"/>
  <c r="F60" i="77"/>
  <c r="Q59" i="77"/>
  <c r="K59" i="77"/>
  <c r="P74" i="77"/>
  <c r="F59" i="77"/>
  <c r="Q58" i="77"/>
  <c r="Q51" i="77"/>
  <c r="J50" i="77"/>
  <c r="M47" i="77"/>
  <c r="D46" i="77"/>
  <c r="F34" i="77"/>
  <c r="F62" i="77"/>
  <c r="F61" i="77"/>
  <c r="F31" i="77"/>
  <c r="F28" i="77"/>
  <c r="C28" i="77"/>
  <c r="F23" i="77"/>
  <c r="M20" i="77"/>
  <c r="M19" i="77"/>
  <c r="M18" i="77"/>
  <c r="F18" i="77"/>
  <c r="M17" i="77"/>
  <c r="F17" i="77"/>
  <c r="F15" i="77"/>
  <c r="G1" i="77"/>
  <c r="Y6" i="1"/>
  <c r="C11" i="4"/>
  <c r="B7" i="4"/>
  <c r="C76" i="78"/>
  <c r="F7" i="78"/>
  <c r="M22" i="78"/>
  <c r="D8" i="1"/>
  <c r="L47" i="78"/>
  <c r="F8" i="78"/>
  <c r="F9" i="78"/>
  <c r="M28" i="78"/>
  <c r="F43" i="78"/>
  <c r="F42" i="78"/>
  <c r="M24" i="78"/>
  <c r="F40" i="78"/>
  <c r="D23" i="80"/>
  <c r="D22" i="80"/>
  <c r="D24" i="80"/>
  <c r="J51" i="80"/>
  <c r="P61" i="80"/>
  <c r="F51" i="78"/>
  <c r="M7" i="78"/>
  <c r="F50" i="78"/>
  <c r="F68" i="78"/>
  <c r="F71" i="78"/>
  <c r="B24" i="1"/>
  <c r="M59" i="78"/>
  <c r="N59" i="78"/>
  <c r="L59" i="78"/>
  <c r="Q71" i="78"/>
  <c r="F62" i="78"/>
  <c r="D23" i="77"/>
  <c r="D22" i="77"/>
  <c r="D24" i="77"/>
  <c r="J51" i="77"/>
  <c r="P61" i="77"/>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E5" i="71"/>
  <c r="O7" i="71"/>
  <c r="N7" i="71"/>
  <c r="B6" i="71"/>
  <c r="S6" i="71"/>
  <c r="V6" i="71"/>
  <c r="B5" i="71"/>
  <c r="D6" i="71"/>
  <c r="U6" i="71"/>
  <c r="C5" i="71"/>
  <c r="D5" i="71"/>
  <c r="A2" i="53"/>
  <c r="B19" i="72"/>
  <c r="K59" i="67"/>
  <c r="P61" i="67"/>
  <c r="K59" i="15"/>
  <c r="P74" i="15"/>
  <c r="P61" i="15"/>
  <c r="P74" i="67"/>
  <c r="D116" i="39"/>
  <c r="E116" i="39"/>
  <c r="F116" i="39"/>
  <c r="G116" i="39"/>
  <c r="H116" i="39"/>
  <c r="I116" i="39"/>
  <c r="J116" i="39"/>
  <c r="K116" i="39"/>
  <c r="L116" i="39"/>
  <c r="M116" i="39"/>
  <c r="C116" i="39"/>
  <c r="A21" i="62"/>
  <c r="A20" i="62"/>
  <c r="B66" i="72"/>
  <c r="A22" i="51"/>
  <c r="A21" i="51"/>
  <c r="B16" i="72"/>
  <c r="A20" i="51"/>
  <c r="B15" i="72"/>
  <c r="A14" i="62"/>
  <c r="B60" i="72"/>
  <c r="A13" i="62"/>
  <c r="A19" i="62"/>
  <c r="B65" i="72"/>
  <c r="A12" i="62"/>
  <c r="A120" i="9"/>
  <c r="H105" i="9"/>
  <c r="H106" i="9"/>
  <c r="H103" i="9"/>
  <c r="D120" i="9"/>
  <c r="K120" i="9"/>
  <c r="A18" i="62"/>
  <c r="B64" i="72"/>
  <c r="H2" i="52"/>
  <c r="A1" i="52"/>
  <c r="A3" i="53"/>
  <c r="Q8" i="71"/>
  <c r="P8" i="71"/>
  <c r="O8" i="71"/>
  <c r="N8" i="71"/>
  <c r="A15" i="51"/>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9" i="71"/>
  <c r="C20" i="71"/>
  <c r="O20" i="71"/>
  <c r="C21" i="71"/>
  <c r="O21" i="71"/>
  <c r="C22" i="71"/>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59" i="72"/>
  <c r="B58" i="72"/>
  <c r="B67" i="72"/>
  <c r="B12" i="72"/>
  <c r="B10" i="72"/>
  <c r="C53" i="10"/>
  <c r="B51" i="10"/>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D41"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F33"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Q21" i="71"/>
  <c r="AB21" i="71"/>
  <c r="P21" i="71"/>
  <c r="AA21" i="71"/>
  <c r="Y21" i="71"/>
  <c r="Z21" i="71"/>
  <c r="N21" i="71"/>
  <c r="X21" i="71"/>
  <c r="Q20" i="71"/>
  <c r="AB20" i="71"/>
  <c r="P20" i="71"/>
  <c r="N20" i="71"/>
  <c r="Q19" i="71"/>
  <c r="F20" i="71"/>
  <c r="F21" i="71"/>
  <c r="F22" i="71"/>
  <c r="V22" i="71"/>
  <c r="Q16" i="71"/>
  <c r="Q17" i="71"/>
  <c r="Q18" i="71"/>
  <c r="AB16" i="71"/>
  <c r="P19" i="71"/>
  <c r="N19" i="71"/>
  <c r="D19" i="71"/>
  <c r="AB18" i="71"/>
  <c r="P18" i="71"/>
  <c r="O18" i="71"/>
  <c r="Y18" i="71"/>
  <c r="Z18" i="71"/>
  <c r="N18" i="71"/>
  <c r="P17" i="71"/>
  <c r="O17" i="71"/>
  <c r="Y17" i="71"/>
  <c r="Z17" i="71"/>
  <c r="N17" i="71"/>
  <c r="P16" i="71"/>
  <c r="O16" i="71"/>
  <c r="N16" i="71"/>
  <c r="Q15" i="71"/>
  <c r="P15" i="71"/>
  <c r="O15" i="71"/>
  <c r="N15" i="71"/>
  <c r="D15" i="71"/>
  <c r="Q14" i="71"/>
  <c r="AB14" i="71"/>
  <c r="P14" i="71"/>
  <c r="O14" i="71"/>
  <c r="N14" i="71"/>
  <c r="Q13" i="71"/>
  <c r="P13" i="71"/>
  <c r="O13" i="71"/>
  <c r="N13" i="71"/>
  <c r="N11" i="71"/>
  <c r="N12" i="71"/>
  <c r="X11" i="71"/>
  <c r="Q12" i="71"/>
  <c r="P12" i="71"/>
  <c r="O12" i="71"/>
  <c r="Q11" i="71"/>
  <c r="F12" i="71"/>
  <c r="F13" i="71"/>
  <c r="F14" i="71"/>
  <c r="V14" i="71"/>
  <c r="P11" i="71"/>
  <c r="O11" i="71"/>
  <c r="D11" i="71"/>
  <c r="O10" i="71"/>
  <c r="N10" i="71"/>
  <c r="B12" i="71"/>
  <c r="B13" i="71"/>
  <c r="B14" i="71"/>
  <c r="S14" i="71"/>
  <c r="E12" i="71"/>
  <c r="E13" i="71"/>
  <c r="E14" i="71"/>
  <c r="U14" i="71"/>
  <c r="B16" i="71"/>
  <c r="B17" i="71"/>
  <c r="B18" i="71"/>
  <c r="S18" i="71"/>
  <c r="B20" i="71"/>
  <c r="B21" i="71"/>
  <c r="B22" i="71"/>
  <c r="S22" i="71"/>
  <c r="X19" i="71"/>
  <c r="E20" i="71"/>
  <c r="E21" i="71"/>
  <c r="E22" i="71"/>
  <c r="U22" i="71"/>
  <c r="AA19" i="71"/>
  <c r="N50" i="71"/>
  <c r="E16" i="71"/>
  <c r="E17" i="71"/>
  <c r="X12" i="71"/>
  <c r="X13" i="71"/>
  <c r="X14" i="71"/>
  <c r="AB15" i="71"/>
  <c r="X18" i="71"/>
  <c r="AA18" i="71"/>
  <c r="AB19" i="71"/>
  <c r="X20" i="71"/>
  <c r="AA20" i="71"/>
  <c r="F34" i="71"/>
  <c r="V34" i="71"/>
  <c r="C10" i="71"/>
  <c r="X9" i="71"/>
  <c r="C25" i="71"/>
  <c r="D25" i="71"/>
  <c r="C29" i="71"/>
  <c r="D29" i="71"/>
  <c r="D28" i="71"/>
  <c r="P10" i="71"/>
  <c r="E37" i="71"/>
  <c r="E38" i="71"/>
  <c r="U38" i="71"/>
  <c r="E41" i="71"/>
  <c r="E42" i="71"/>
  <c r="U42" i="71"/>
  <c r="E45" i="71"/>
  <c r="E46" i="71"/>
  <c r="U46" i="71"/>
  <c r="U50" i="71"/>
  <c r="Q10" i="71"/>
  <c r="D40" i="71"/>
  <c r="C45" i="71"/>
  <c r="D44" i="71"/>
  <c r="N49" i="71"/>
  <c r="B48" i="71"/>
  <c r="T50" i="71"/>
  <c r="O50" i="71"/>
  <c r="D50" i="71"/>
  <c r="C49" i="71"/>
  <c r="Q50" i="71"/>
  <c r="C53" i="71"/>
  <c r="E53" i="71"/>
  <c r="E52" i="71"/>
  <c r="D54" i="71"/>
  <c r="C57" i="71"/>
  <c r="E57" i="71"/>
  <c r="E56" i="71"/>
  <c r="D58" i="71"/>
  <c r="C61" i="71"/>
  <c r="E61" i="71"/>
  <c r="E60" i="71"/>
  <c r="D62" i="71"/>
  <c r="C65" i="71"/>
  <c r="C69" i="71"/>
  <c r="D69" i="71"/>
  <c r="F10" i="71"/>
  <c r="F9" i="71"/>
  <c r="F8" i="71"/>
  <c r="AB7" i="71"/>
  <c r="E10" i="71"/>
  <c r="AA7" i="71"/>
  <c r="D10" i="71"/>
  <c r="U10" i="71"/>
  <c r="C48" i="71"/>
  <c r="D48" i="71"/>
  <c r="O49" i="71"/>
  <c r="D49" i="71"/>
  <c r="C46" i="71"/>
  <c r="D45" i="71"/>
  <c r="D65" i="71"/>
  <c r="C64" i="71"/>
  <c r="D64" i="71"/>
  <c r="D57" i="71"/>
  <c r="C56" i="71"/>
  <c r="D56" i="71"/>
  <c r="C68" i="71"/>
  <c r="D68" i="71"/>
  <c r="D61" i="71"/>
  <c r="C60" i="71"/>
  <c r="D60" i="71"/>
  <c r="D53" i="71"/>
  <c r="C52" i="71"/>
  <c r="D52" i="71"/>
  <c r="C42" i="71"/>
  <c r="C26" i="71"/>
  <c r="T26" i="71"/>
  <c r="O48" i="71"/>
  <c r="O47" i="71"/>
  <c r="T46" i="71"/>
  <c r="D46" i="71"/>
  <c r="O27" i="6"/>
  <c r="N27" i="6"/>
  <c r="P20" i="6"/>
  <c r="P21" i="6"/>
  <c r="P22" i="6"/>
  <c r="P23" i="6"/>
  <c r="P24" i="6"/>
  <c r="P25" i="6"/>
  <c r="P26" i="6"/>
  <c r="P19" i="6"/>
  <c r="P27" i="6"/>
  <c r="AP8" i="1"/>
  <c r="AP9" i="1"/>
  <c r="AP10" i="1"/>
  <c r="AP11" i="1"/>
  <c r="AP12" i="1"/>
  <c r="AP13" i="1"/>
  <c r="L21" i="6"/>
  <c r="L22" i="6"/>
  <c r="L23" i="6"/>
  <c r="L24" i="6"/>
  <c r="L25" i="6"/>
  <c r="L26" i="6"/>
  <c r="A7" i="70"/>
  <c r="A8" i="70"/>
  <c r="BQ5" i="3"/>
  <c r="BS5" i="3"/>
  <c r="F28" i="6"/>
  <c r="BR5" i="3"/>
  <c r="BT5" i="3"/>
  <c r="G28" i="6"/>
  <c r="E28" i="6"/>
  <c r="E23" i="6"/>
  <c r="E24" i="6"/>
  <c r="E25" i="6"/>
  <c r="E26" i="6"/>
  <c r="BA5" i="3"/>
  <c r="BB5" i="3"/>
  <c r="E8" i="6"/>
  <c r="F27" i="6"/>
  <c r="E27" i="6"/>
  <c r="K21" i="6"/>
  <c r="S8" i="1"/>
  <c r="E8" i="70"/>
  <c r="A9" i="70"/>
  <c r="K22" i="6"/>
  <c r="S9" i="1"/>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68" i="35"/>
  <c r="F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C25" i="40"/>
  <c r="S25" i="40"/>
  <c r="S18" i="36"/>
  <c r="U18" i="36"/>
  <c r="S21" i="34"/>
  <c r="H25" i="40"/>
  <c r="AB25" i="40"/>
  <c r="J25" i="40"/>
  <c r="AC25" i="40"/>
  <c r="H29" i="39"/>
  <c r="J29" i="39"/>
  <c r="AC29" i="39"/>
  <c r="J18" i="36"/>
  <c r="H18" i="35"/>
  <c r="AB18" i="35"/>
  <c r="G68" i="35"/>
  <c r="J18" i="35"/>
  <c r="H21" i="37"/>
  <c r="F21" i="37"/>
  <c r="AA21" i="37"/>
  <c r="H21" i="34"/>
  <c r="AB21" i="34"/>
  <c r="H21" i="33"/>
  <c r="U21" i="33"/>
  <c r="F21" i="33"/>
  <c r="E83" i="21"/>
  <c r="F83" i="21"/>
  <c r="S21" i="21"/>
  <c r="H1" i="69"/>
  <c r="W25" i="40"/>
  <c r="U25" i="40"/>
  <c r="W29" i="39"/>
  <c r="AB21" i="37"/>
  <c r="U21" i="37"/>
  <c r="S21" i="37"/>
  <c r="U21" i="34"/>
  <c r="AB21" i="33"/>
  <c r="AA21" i="33"/>
  <c r="S21" i="33"/>
  <c r="U18" i="35"/>
  <c r="AC18" i="35"/>
  <c r="W18" i="35"/>
  <c r="J21" i="37"/>
  <c r="W21" i="37"/>
  <c r="J21" i="34"/>
  <c r="W21" i="34"/>
  <c r="J21" i="33"/>
  <c r="W21" i="33"/>
  <c r="H21" i="21"/>
  <c r="U21" i="21"/>
  <c r="F38" i="69"/>
  <c r="E37" i="69"/>
  <c r="F36" i="69"/>
  <c r="F35" i="69"/>
  <c r="F21" i="69"/>
  <c r="C21" i="69"/>
  <c r="F20" i="69"/>
  <c r="E10" i="69"/>
  <c r="E9" i="69"/>
  <c r="F7" i="69"/>
  <c r="C7" i="69"/>
  <c r="AC21" i="37"/>
  <c r="AC21" i="34"/>
  <c r="AC21" i="33"/>
  <c r="AB21" i="21"/>
  <c r="G83" i="21"/>
  <c r="J21" i="21"/>
  <c r="C40" i="69"/>
  <c r="F38" i="68"/>
  <c r="E37" i="68"/>
  <c r="F36" i="68"/>
  <c r="F35" i="68"/>
  <c r="E10" i="68"/>
  <c r="E9" i="68"/>
  <c r="F7" i="68"/>
  <c r="W21" i="21"/>
  <c r="AC21" i="21"/>
  <c r="Q72" i="67"/>
  <c r="Q59" i="67"/>
  <c r="Q58" i="67"/>
  <c r="Q51" i="67"/>
  <c r="J50" i="67"/>
  <c r="M47" i="67"/>
  <c r="D46" i="67"/>
  <c r="F33" i="67"/>
  <c r="F61" i="67"/>
  <c r="F23" i="67"/>
  <c r="F21" i="67"/>
  <c r="F20" i="67"/>
  <c r="M19" i="67"/>
  <c r="F18" i="67"/>
  <c r="F17" i="67"/>
  <c r="F15" i="67"/>
  <c r="S2" i="4"/>
  <c r="C51" i="10"/>
  <c r="A13" i="51"/>
  <c r="B11" i="72"/>
  <c r="S1" i="4"/>
  <c r="A4" i="51"/>
  <c r="B6" i="72"/>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E99" i="43"/>
  <c r="F99" i="43"/>
  <c r="F108" i="43"/>
  <c r="G99" i="43"/>
  <c r="G108" i="43"/>
  <c r="H99" i="43"/>
  <c r="H108" i="43"/>
  <c r="I99" i="43"/>
  <c r="J99" i="43"/>
  <c r="J108" i="43"/>
  <c r="K99" i="43"/>
  <c r="K108" i="43"/>
  <c r="L99" i="43"/>
  <c r="L108" i="43"/>
  <c r="M99"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G11" i="1"/>
  <c r="D12" i="1"/>
  <c r="D13" i="1"/>
  <c r="D7" i="1"/>
  <c r="B7" i="1"/>
  <c r="E7" i="1"/>
  <c r="B8" i="1"/>
  <c r="E8" i="1"/>
  <c r="M9" i="1"/>
  <c r="A10" i="1"/>
  <c r="A11" i="1"/>
  <c r="A12" i="1"/>
  <c r="A13" i="1"/>
  <c r="B11" i="1"/>
  <c r="E11" i="1"/>
  <c r="K10" i="1"/>
  <c r="M10" i="1"/>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AX200" i="3"/>
  <c r="AW200" i="3"/>
  <c r="AV200" i="3"/>
  <c r="AC200" i="3"/>
  <c r="H200" i="3"/>
  <c r="G200" i="3"/>
  <c r="AX199" i="3"/>
  <c r="AW199" i="3"/>
  <c r="AV199" i="3"/>
  <c r="AC199" i="3"/>
  <c r="H199" i="3"/>
  <c r="G199" i="3"/>
  <c r="AX198" i="3"/>
  <c r="AW198" i="3"/>
  <c r="AV198" i="3"/>
  <c r="AC198" i="3"/>
  <c r="H198" i="3"/>
  <c r="G198" i="3"/>
  <c r="AX197" i="3"/>
  <c r="AW197" i="3"/>
  <c r="AV197" i="3"/>
  <c r="AC197" i="3"/>
  <c r="H197" i="3"/>
  <c r="AX196" i="3"/>
  <c r="AW196" i="3"/>
  <c r="AV196" i="3"/>
  <c r="AC196" i="3"/>
  <c r="H196" i="3"/>
  <c r="G196" i="3"/>
  <c r="AX195" i="3"/>
  <c r="AW195" i="3"/>
  <c r="AV195" i="3"/>
  <c r="AC195" i="3"/>
  <c r="H195" i="3"/>
  <c r="G195" i="3"/>
  <c r="AX194" i="3"/>
  <c r="AW194" i="3"/>
  <c r="AV194" i="3"/>
  <c r="AC194" i="3"/>
  <c r="H194" i="3"/>
  <c r="G194" i="3"/>
  <c r="AX193" i="3"/>
  <c r="AW193" i="3"/>
  <c r="AV193" i="3"/>
  <c r="AC193" i="3"/>
  <c r="H193" i="3"/>
  <c r="AX192" i="3"/>
  <c r="AW192" i="3"/>
  <c r="AV192" i="3"/>
  <c r="AC192" i="3"/>
  <c r="H192" i="3"/>
  <c r="G192" i="3"/>
  <c r="AX191" i="3"/>
  <c r="AW191" i="3"/>
  <c r="AV191" i="3"/>
  <c r="AC191" i="3"/>
  <c r="H191" i="3"/>
  <c r="G191" i="3"/>
  <c r="AX190" i="3"/>
  <c r="AW190" i="3"/>
  <c r="AV190" i="3"/>
  <c r="AC190" i="3"/>
  <c r="H190" i="3"/>
  <c r="G190" i="3"/>
  <c r="AX189" i="3"/>
  <c r="AW189" i="3"/>
  <c r="AV189" i="3"/>
  <c r="AC189" i="3"/>
  <c r="H189" i="3"/>
  <c r="AX188" i="3"/>
  <c r="AW188" i="3"/>
  <c r="AV188" i="3"/>
  <c r="AC188" i="3"/>
  <c r="H188" i="3"/>
  <c r="G188" i="3"/>
  <c r="AX187" i="3"/>
  <c r="AW187" i="3"/>
  <c r="AV187" i="3"/>
  <c r="AC187" i="3"/>
  <c r="H187" i="3"/>
  <c r="G187" i="3"/>
  <c r="AX186" i="3"/>
  <c r="AW186" i="3"/>
  <c r="AV186" i="3"/>
  <c r="AC186" i="3"/>
  <c r="H186" i="3"/>
  <c r="G186" i="3"/>
  <c r="AX185" i="3"/>
  <c r="AW185" i="3"/>
  <c r="AV185" i="3"/>
  <c r="AC185" i="3"/>
  <c r="H185" i="3"/>
  <c r="AX184" i="3"/>
  <c r="AW184" i="3"/>
  <c r="AV184" i="3"/>
  <c r="AC184" i="3"/>
  <c r="H184" i="3"/>
  <c r="G184" i="3"/>
  <c r="AX183" i="3"/>
  <c r="AW183" i="3"/>
  <c r="AV183" i="3"/>
  <c r="AC183" i="3"/>
  <c r="H183" i="3"/>
  <c r="G183" i="3"/>
  <c r="AX182" i="3"/>
  <c r="AW182" i="3"/>
  <c r="AV182" i="3"/>
  <c r="AC182" i="3"/>
  <c r="H182" i="3"/>
  <c r="G182" i="3"/>
  <c r="AX181" i="3"/>
  <c r="AW181" i="3"/>
  <c r="AV181" i="3"/>
  <c r="AC181" i="3"/>
  <c r="H181" i="3"/>
  <c r="AX180" i="3"/>
  <c r="AW180" i="3"/>
  <c r="AV180" i="3"/>
  <c r="AC180" i="3"/>
  <c r="H180" i="3"/>
  <c r="G180" i="3"/>
  <c r="AX179" i="3"/>
  <c r="AW179" i="3"/>
  <c r="AV179" i="3"/>
  <c r="AC179" i="3"/>
  <c r="H179" i="3"/>
  <c r="G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G174" i="3"/>
  <c r="AX173" i="3"/>
  <c r="AW173" i="3"/>
  <c r="AV173" i="3"/>
  <c r="AC173" i="3"/>
  <c r="H173" i="3"/>
  <c r="AX172" i="3"/>
  <c r="AW172" i="3"/>
  <c r="AV172" i="3"/>
  <c r="AC172" i="3"/>
  <c r="H172" i="3"/>
  <c r="G172" i="3"/>
  <c r="AX171" i="3"/>
  <c r="AW171" i="3"/>
  <c r="AV171" i="3"/>
  <c r="AC171" i="3"/>
  <c r="H171" i="3"/>
  <c r="G171" i="3"/>
  <c r="AX170" i="3"/>
  <c r="AW170" i="3"/>
  <c r="AV170" i="3"/>
  <c r="AC170" i="3"/>
  <c r="H170" i="3"/>
  <c r="G170" i="3"/>
  <c r="AX169" i="3"/>
  <c r="AW169" i="3"/>
  <c r="AV169" i="3"/>
  <c r="AC169" i="3"/>
  <c r="H169" i="3"/>
  <c r="AX168" i="3"/>
  <c r="AW168" i="3"/>
  <c r="AV168" i="3"/>
  <c r="AC168" i="3"/>
  <c r="H168" i="3"/>
  <c r="G168" i="3"/>
  <c r="AX167" i="3"/>
  <c r="AW167" i="3"/>
  <c r="AV167" i="3"/>
  <c r="AC167" i="3"/>
  <c r="H167" i="3"/>
  <c r="G167" i="3"/>
  <c r="AX166" i="3"/>
  <c r="AW166" i="3"/>
  <c r="AV166" i="3"/>
  <c r="AC166" i="3"/>
  <c r="H166" i="3"/>
  <c r="G166" i="3"/>
  <c r="AX165" i="3"/>
  <c r="AW165" i="3"/>
  <c r="AV165" i="3"/>
  <c r="AC165" i="3"/>
  <c r="H165" i="3"/>
  <c r="AX164" i="3"/>
  <c r="AW164" i="3"/>
  <c r="AV164" i="3"/>
  <c r="AC164" i="3"/>
  <c r="H164" i="3"/>
  <c r="G164" i="3"/>
  <c r="AX163" i="3"/>
  <c r="AW163" i="3"/>
  <c r="AV163" i="3"/>
  <c r="AC163" i="3"/>
  <c r="H163" i="3"/>
  <c r="G163" i="3"/>
  <c r="AX162" i="3"/>
  <c r="AW162" i="3"/>
  <c r="AV162" i="3"/>
  <c r="AC162" i="3"/>
  <c r="H162" i="3"/>
  <c r="G162" i="3"/>
  <c r="AX161" i="3"/>
  <c r="AW161" i="3"/>
  <c r="AV161" i="3"/>
  <c r="AC161" i="3"/>
  <c r="H161" i="3"/>
  <c r="AX160" i="3"/>
  <c r="AW160" i="3"/>
  <c r="AV160" i="3"/>
  <c r="AC160" i="3"/>
  <c r="H160" i="3"/>
  <c r="G160" i="3"/>
  <c r="AX159" i="3"/>
  <c r="AW159" i="3"/>
  <c r="AV159" i="3"/>
  <c r="AC159" i="3"/>
  <c r="H159" i="3"/>
  <c r="G159" i="3"/>
  <c r="AX158" i="3"/>
  <c r="AW158" i="3"/>
  <c r="AV158" i="3"/>
  <c r="AC158" i="3"/>
  <c r="H158" i="3"/>
  <c r="G158" i="3"/>
  <c r="AX157" i="3"/>
  <c r="AW157" i="3"/>
  <c r="AV157" i="3"/>
  <c r="AC157" i="3"/>
  <c r="H157" i="3"/>
  <c r="AX156" i="3"/>
  <c r="AW156" i="3"/>
  <c r="AV156" i="3"/>
  <c r="AC156" i="3"/>
  <c r="H156" i="3"/>
  <c r="G156" i="3"/>
  <c r="AX155" i="3"/>
  <c r="AW155" i="3"/>
  <c r="AV155" i="3"/>
  <c r="AC155" i="3"/>
  <c r="H155" i="3"/>
  <c r="G155" i="3"/>
  <c r="AX154" i="3"/>
  <c r="AW154" i="3"/>
  <c r="AV154" i="3"/>
  <c r="AC154" i="3"/>
  <c r="H154" i="3"/>
  <c r="G154" i="3"/>
  <c r="AX153" i="3"/>
  <c r="AW153" i="3"/>
  <c r="AV153" i="3"/>
  <c r="AC153" i="3"/>
  <c r="H153" i="3"/>
  <c r="AX152" i="3"/>
  <c r="AW152" i="3"/>
  <c r="AV152" i="3"/>
  <c r="AC152" i="3"/>
  <c r="H152" i="3"/>
  <c r="G152" i="3"/>
  <c r="AX151" i="3"/>
  <c r="AW151" i="3"/>
  <c r="AV151" i="3"/>
  <c r="AC151" i="3"/>
  <c r="H151" i="3"/>
  <c r="G151" i="3"/>
  <c r="AX150" i="3"/>
  <c r="AW150" i="3"/>
  <c r="AV150" i="3"/>
  <c r="AC150" i="3"/>
  <c r="H150" i="3"/>
  <c r="G150" i="3"/>
  <c r="AX149" i="3"/>
  <c r="AW149" i="3"/>
  <c r="AV149" i="3"/>
  <c r="AC149" i="3"/>
  <c r="H149" i="3"/>
  <c r="AX148" i="3"/>
  <c r="AW148" i="3"/>
  <c r="AV148" i="3"/>
  <c r="AC148" i="3"/>
  <c r="H148" i="3"/>
  <c r="G148" i="3"/>
  <c r="AX147" i="3"/>
  <c r="AW147" i="3"/>
  <c r="AV147" i="3"/>
  <c r="AC147" i="3"/>
  <c r="H147" i="3"/>
  <c r="G147" i="3"/>
  <c r="AX146" i="3"/>
  <c r="AW146" i="3"/>
  <c r="AV146" i="3"/>
  <c r="AC146" i="3"/>
  <c r="H146" i="3"/>
  <c r="G146" i="3"/>
  <c r="AX145" i="3"/>
  <c r="AW145" i="3"/>
  <c r="AV145" i="3"/>
  <c r="AC145" i="3"/>
  <c r="H145" i="3"/>
  <c r="AX144" i="3"/>
  <c r="AW144" i="3"/>
  <c r="AV144" i="3"/>
  <c r="AC144" i="3"/>
  <c r="H144" i="3"/>
  <c r="G144" i="3"/>
  <c r="AX143" i="3"/>
  <c r="AW143" i="3"/>
  <c r="AV143" i="3"/>
  <c r="AC143" i="3"/>
  <c r="H143" i="3"/>
  <c r="G143" i="3"/>
  <c r="AX142" i="3"/>
  <c r="AW142" i="3"/>
  <c r="AV142" i="3"/>
  <c r="AC142" i="3"/>
  <c r="H142" i="3"/>
  <c r="G142" i="3"/>
  <c r="AX141" i="3"/>
  <c r="AW141" i="3"/>
  <c r="AV141" i="3"/>
  <c r="AC141" i="3"/>
  <c r="H141" i="3"/>
  <c r="AX140" i="3"/>
  <c r="AW140" i="3"/>
  <c r="AV140" i="3"/>
  <c r="AC140" i="3"/>
  <c r="H140" i="3"/>
  <c r="G140" i="3"/>
  <c r="AX139" i="3"/>
  <c r="AW139" i="3"/>
  <c r="AV139" i="3"/>
  <c r="AC139" i="3"/>
  <c r="H139" i="3"/>
  <c r="G139" i="3"/>
  <c r="AX138" i="3"/>
  <c r="AW138" i="3"/>
  <c r="AV138" i="3"/>
  <c r="AC138" i="3"/>
  <c r="H138" i="3"/>
  <c r="G138" i="3"/>
  <c r="AX137" i="3"/>
  <c r="AW137" i="3"/>
  <c r="AV137" i="3"/>
  <c r="AC137" i="3"/>
  <c r="H137" i="3"/>
  <c r="AX136" i="3"/>
  <c r="AW136" i="3"/>
  <c r="AV136" i="3"/>
  <c r="AC136" i="3"/>
  <c r="H136" i="3"/>
  <c r="G136" i="3"/>
  <c r="AX135" i="3"/>
  <c r="AW135" i="3"/>
  <c r="AV135" i="3"/>
  <c r="AC135" i="3"/>
  <c r="H135" i="3"/>
  <c r="G135" i="3"/>
  <c r="AX134" i="3"/>
  <c r="AW134" i="3"/>
  <c r="AV134" i="3"/>
  <c r="AC134" i="3"/>
  <c r="H134" i="3"/>
  <c r="G134" i="3"/>
  <c r="AX133" i="3"/>
  <c r="AW133" i="3"/>
  <c r="AV133" i="3"/>
  <c r="AC133" i="3"/>
  <c r="H133" i="3"/>
  <c r="AX132" i="3"/>
  <c r="AW132" i="3"/>
  <c r="AV132" i="3"/>
  <c r="AC132" i="3"/>
  <c r="H132" i="3"/>
  <c r="G132" i="3"/>
  <c r="AX131" i="3"/>
  <c r="AW131" i="3"/>
  <c r="AV131" i="3"/>
  <c r="AC131" i="3"/>
  <c r="H131" i="3"/>
  <c r="G131" i="3"/>
  <c r="AX130" i="3"/>
  <c r="AW130" i="3"/>
  <c r="AV130" i="3"/>
  <c r="AC130" i="3"/>
  <c r="H130" i="3"/>
  <c r="G130" i="3"/>
  <c r="AX129" i="3"/>
  <c r="AW129" i="3"/>
  <c r="AV129" i="3"/>
  <c r="AC129" i="3"/>
  <c r="H129" i="3"/>
  <c r="AX128" i="3"/>
  <c r="AW128" i="3"/>
  <c r="AV128" i="3"/>
  <c r="AC128" i="3"/>
  <c r="H128" i="3"/>
  <c r="G128" i="3"/>
  <c r="AX127" i="3"/>
  <c r="AW127" i="3"/>
  <c r="AV127" i="3"/>
  <c r="AC127" i="3"/>
  <c r="H127" i="3"/>
  <c r="G127" i="3"/>
  <c r="AX126" i="3"/>
  <c r="AW126" i="3"/>
  <c r="AV126" i="3"/>
  <c r="AC126" i="3"/>
  <c r="H126" i="3"/>
  <c r="G126" i="3"/>
  <c r="AX125" i="3"/>
  <c r="AW125" i="3"/>
  <c r="AV125" i="3"/>
  <c r="AC125" i="3"/>
  <c r="H125" i="3"/>
  <c r="AX124" i="3"/>
  <c r="AW124" i="3"/>
  <c r="AV124" i="3"/>
  <c r="AC124" i="3"/>
  <c r="H124" i="3"/>
  <c r="G124" i="3"/>
  <c r="AX123" i="3"/>
  <c r="AW123" i="3"/>
  <c r="AV123" i="3"/>
  <c r="AC123" i="3"/>
  <c r="H123" i="3"/>
  <c r="G123" i="3"/>
  <c r="AX122" i="3"/>
  <c r="AW122" i="3"/>
  <c r="AV122" i="3"/>
  <c r="AC122" i="3"/>
  <c r="H122" i="3"/>
  <c r="G122" i="3"/>
  <c r="AX121" i="3"/>
  <c r="AW121" i="3"/>
  <c r="AV121" i="3"/>
  <c r="AC121" i="3"/>
  <c r="H121" i="3"/>
  <c r="AX120" i="3"/>
  <c r="AW120" i="3"/>
  <c r="AV120" i="3"/>
  <c r="AC120" i="3"/>
  <c r="H120" i="3"/>
  <c r="G120" i="3"/>
  <c r="AX119" i="3"/>
  <c r="AW119" i="3"/>
  <c r="AV119" i="3"/>
  <c r="AC119" i="3"/>
  <c r="H119" i="3"/>
  <c r="G119" i="3"/>
  <c r="AX118" i="3"/>
  <c r="AW118" i="3"/>
  <c r="AV118" i="3"/>
  <c r="AC118" i="3"/>
  <c r="H118" i="3"/>
  <c r="G118" i="3"/>
  <c r="AX117" i="3"/>
  <c r="AW117" i="3"/>
  <c r="AV117" i="3"/>
  <c r="AC117" i="3"/>
  <c r="H117" i="3"/>
  <c r="AX116" i="3"/>
  <c r="AW116" i="3"/>
  <c r="AV116" i="3"/>
  <c r="AC116" i="3"/>
  <c r="H116" i="3"/>
  <c r="G116" i="3"/>
  <c r="AX115" i="3"/>
  <c r="AW115" i="3"/>
  <c r="AV115" i="3"/>
  <c r="AC115" i="3"/>
  <c r="H115" i="3"/>
  <c r="G115" i="3"/>
  <c r="AX114" i="3"/>
  <c r="AW114" i="3"/>
  <c r="AV114" i="3"/>
  <c r="AC114" i="3"/>
  <c r="H114" i="3"/>
  <c r="G114" i="3"/>
  <c r="AX113" i="3"/>
  <c r="AW113" i="3"/>
  <c r="AV113" i="3"/>
  <c r="AC113" i="3"/>
  <c r="H11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G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G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G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G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G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G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G327" i="3"/>
  <c r="AX326" i="3"/>
  <c r="AW326" i="3"/>
  <c r="AV326" i="3"/>
  <c r="AC326" i="3"/>
  <c r="H326" i="3"/>
  <c r="AX325" i="3"/>
  <c r="AW325" i="3"/>
  <c r="AV325" i="3"/>
  <c r="AC325" i="3"/>
  <c r="H325" i="3"/>
  <c r="AX324" i="3"/>
  <c r="AW324" i="3"/>
  <c r="AV324" i="3"/>
  <c r="AC324" i="3"/>
  <c r="H324" i="3"/>
  <c r="AX323" i="3"/>
  <c r="AW323" i="3"/>
  <c r="AV323" i="3"/>
  <c r="AC323" i="3"/>
  <c r="H323" i="3"/>
  <c r="G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S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R500" i="31"/>
  <c r="R501" i="31"/>
  <c r="R502" i="31"/>
  <c r="R503" i="31"/>
  <c r="R504" i="31"/>
  <c r="R505" i="31"/>
  <c r="R506" i="31"/>
  <c r="R507" i="31"/>
  <c r="S507" i="31"/>
  <c r="R508" i="31"/>
  <c r="R509" i="31"/>
  <c r="S509" i="31"/>
  <c r="R510" i="31"/>
  <c r="R511" i="31"/>
  <c r="S511" i="31"/>
  <c r="R512" i="31"/>
  <c r="R513" i="31"/>
  <c r="S513" i="31"/>
  <c r="R514" i="31"/>
  <c r="R515" i="31"/>
  <c r="S515" i="31"/>
  <c r="R516" i="31"/>
  <c r="R517" i="31"/>
  <c r="S517" i="31"/>
  <c r="R518" i="31"/>
  <c r="R519" i="31"/>
  <c r="S519" i="31"/>
  <c r="R520" i="31"/>
  <c r="R521" i="31"/>
  <c r="S521" i="31"/>
  <c r="R522" i="31"/>
  <c r="R523" i="31"/>
  <c r="S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R35" i="4"/>
  <c r="Q35" i="4"/>
  <c r="P35" i="4"/>
  <c r="O35" i="4"/>
  <c r="N35" i="4"/>
  <c r="M35" i="4"/>
  <c r="L35" i="4"/>
  <c r="K34" i="4"/>
  <c r="T34" i="4"/>
  <c r="G13" i="1"/>
  <c r="I15" i="4"/>
  <c r="H15" i="4"/>
  <c r="G15" i="4"/>
  <c r="E15" i="4"/>
  <c r="F8" i="1"/>
  <c r="D15" i="4"/>
  <c r="F7" i="1"/>
  <c r="L21" i="4"/>
  <c r="F19" i="4"/>
  <c r="F2" i="52"/>
  <c r="B50" i="72"/>
  <c r="D2" i="52"/>
  <c r="B46" i="72"/>
  <c r="B8" i="53"/>
  <c r="B23" i="72"/>
  <c r="L4" i="9"/>
  <c r="B17" i="72"/>
  <c r="A3" i="51"/>
  <c r="C8" i="11"/>
  <c r="B2" i="49"/>
  <c r="B23" i="49"/>
  <c r="B40" i="48"/>
  <c r="B3" i="72"/>
  <c r="I2" i="43"/>
  <c r="N1" i="43"/>
  <c r="F35" i="4"/>
  <c r="J55" i="39"/>
  <c r="H34" i="43"/>
  <c r="H35" i="43"/>
  <c r="H36" i="43"/>
  <c r="H37" i="43"/>
  <c r="H38" i="43"/>
  <c r="H39" i="43"/>
  <c r="H33" i="43"/>
  <c r="J20" i="43"/>
  <c r="C18" i="43"/>
  <c r="F15" i="43"/>
  <c r="E15" i="43"/>
  <c r="D15" i="43"/>
  <c r="C15" i="43"/>
  <c r="C10" i="43"/>
  <c r="C11" i="43"/>
  <c r="E11" i="43"/>
  <c r="C9" i="43"/>
  <c r="A7" i="43"/>
  <c r="F33" i="15"/>
  <c r="F61" i="15"/>
  <c r="M19" i="15"/>
  <c r="B22" i="1"/>
  <c r="G41" i="69"/>
  <c r="B23" i="1"/>
  <c r="F11" i="12"/>
  <c r="D78" i="9"/>
  <c r="F23" i="15"/>
  <c r="D24" i="15"/>
  <c r="BC10" i="3"/>
  <c r="BD10" i="3"/>
  <c r="BB10" i="3"/>
  <c r="H13" i="3"/>
  <c r="AC13" i="3"/>
  <c r="H14" i="3"/>
  <c r="AC14" i="3"/>
  <c r="G14" i="3"/>
  <c r="H15" i="3"/>
  <c r="AC15" i="3"/>
  <c r="H16" i="3"/>
  <c r="AC16" i="3"/>
  <c r="H17" i="3"/>
  <c r="AC17" i="3"/>
  <c r="AT5" i="3"/>
  <c r="I5" i="3"/>
  <c r="AD5" i="3"/>
  <c r="AH5" i="3"/>
  <c r="AL5" i="3"/>
  <c r="AP5" i="3"/>
  <c r="I4" i="6"/>
  <c r="BE10" i="3"/>
  <c r="BF10" i="3"/>
  <c r="BG10" i="3"/>
  <c r="BH10" i="3"/>
  <c r="BI10" i="3"/>
  <c r="BJ10" i="3"/>
  <c r="BK10" i="3"/>
  <c r="BC5" i="3"/>
  <c r="BD5" i="3"/>
  <c r="BE5" i="3"/>
  <c r="BF5" i="3"/>
  <c r="BG5" i="3"/>
  <c r="BH5" i="3"/>
  <c r="BI5" i="3"/>
  <c r="BJ5" i="3"/>
  <c r="BK5" i="3"/>
  <c r="BM5" i="3"/>
  <c r="BO5" i="3"/>
  <c r="F29" i="6"/>
  <c r="F30" i="6"/>
  <c r="F31" i="6"/>
  <c r="G13" i="3"/>
  <c r="G15" i="3"/>
  <c r="G16" i="3"/>
  <c r="G17" i="3"/>
  <c r="G113" i="3"/>
  <c r="G117" i="3"/>
  <c r="G121" i="3"/>
  <c r="G125" i="3"/>
  <c r="G129" i="3"/>
  <c r="G133" i="3"/>
  <c r="G137" i="3"/>
  <c r="G141" i="3"/>
  <c r="G145" i="3"/>
  <c r="G149" i="3"/>
  <c r="G153" i="3"/>
  <c r="G157" i="3"/>
  <c r="G161" i="3"/>
  <c r="G165" i="3"/>
  <c r="G169" i="3"/>
  <c r="G173" i="3"/>
  <c r="G177" i="3"/>
  <c r="G181" i="3"/>
  <c r="G185" i="3"/>
  <c r="G189" i="3"/>
  <c r="G193" i="3"/>
  <c r="G197" i="3"/>
  <c r="G201" i="3"/>
  <c r="G303" i="3"/>
  <c r="G304" i="3"/>
  <c r="G305" i="3"/>
  <c r="G306" i="3"/>
  <c r="G308" i="3"/>
  <c r="G309" i="3"/>
  <c r="G310" i="3"/>
  <c r="G312" i="3"/>
  <c r="G314" i="3"/>
  <c r="G316" i="3"/>
  <c r="G317" i="3"/>
  <c r="G319" i="3"/>
  <c r="G320" i="3"/>
  <c r="G321" i="3"/>
  <c r="G322" i="3"/>
  <c r="G324" i="3"/>
  <c r="G325" i="3"/>
  <c r="G326" i="3"/>
  <c r="G328" i="3"/>
  <c r="G330" i="3"/>
  <c r="G332" i="3"/>
  <c r="G333" i="3"/>
  <c r="G335" i="3"/>
  <c r="G336" i="3"/>
  <c r="G337" i="3"/>
  <c r="G338" i="3"/>
  <c r="G340" i="3"/>
  <c r="G341" i="3"/>
  <c r="G342" i="3"/>
  <c r="G344" i="3"/>
  <c r="G346" i="3"/>
  <c r="G348" i="3"/>
  <c r="G350" i="3"/>
  <c r="G352" i="3"/>
  <c r="G353" i="3"/>
  <c r="G354" i="3"/>
  <c r="G355" i="3"/>
  <c r="G356" i="3"/>
  <c r="G357" i="3"/>
  <c r="G359" i="3"/>
  <c r="G360" i="3"/>
  <c r="G361" i="3"/>
  <c r="G363" i="3"/>
  <c r="G365" i="3"/>
  <c r="G367" i="3"/>
  <c r="G368" i="3"/>
  <c r="G370" i="3"/>
  <c r="G371" i="3"/>
  <c r="G372" i="3"/>
  <c r="G373" i="3"/>
  <c r="G375" i="3"/>
  <c r="G376" i="3"/>
  <c r="G377" i="3"/>
  <c r="G379" i="3"/>
  <c r="G381" i="3"/>
  <c r="G383" i="3"/>
  <c r="G385" i="3"/>
  <c r="G386" i="3"/>
  <c r="G388" i="3"/>
  <c r="G389" i="3"/>
  <c r="G390" i="3"/>
  <c r="G391" i="3"/>
  <c r="G393" i="3"/>
  <c r="G394"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19" i="6"/>
  <c r="D20" i="6"/>
  <c r="D21" i="6"/>
  <c r="D22" i="6"/>
  <c r="D23" i="6"/>
  <c r="D24" i="6"/>
  <c r="D25" i="6"/>
  <c r="D26" i="6"/>
  <c r="D27" i="6"/>
  <c r="D28" i="6"/>
  <c r="BN5" i="3"/>
  <c r="BP5" i="3"/>
  <c r="G29" i="6"/>
  <c r="E29" i="6"/>
  <c r="D29" i="6"/>
  <c r="D30" i="6"/>
  <c r="D31" i="6"/>
  <c r="I6" i="6"/>
  <c r="G3" i="43"/>
  <c r="F35" i="11"/>
  <c r="F36" i="11"/>
  <c r="F38" i="11"/>
  <c r="E37" i="11"/>
  <c r="F20" i="11"/>
  <c r="F21" i="11"/>
  <c r="C21" i="11"/>
  <c r="F7" i="11"/>
  <c r="C7" i="11"/>
  <c r="C5" i="11"/>
  <c r="F12" i="12"/>
  <c r="F13" i="12"/>
  <c r="F15" i="12"/>
  <c r="E14" i="12"/>
  <c r="BC11" i="3"/>
  <c r="BD11" i="3"/>
  <c r="BB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BL5" i="3"/>
  <c r="E5" i="6"/>
  <c r="E19" i="12"/>
  <c r="E20" i="12"/>
  <c r="E17" i="12"/>
  <c r="F22" i="12"/>
  <c r="F23" i="12"/>
  <c r="F24" i="12"/>
  <c r="C17" i="9"/>
  <c r="D17" i="9"/>
  <c r="C18" i="9"/>
  <c r="D18" i="9"/>
  <c r="I55" i="9"/>
  <c r="F55" i="9"/>
  <c r="O53" i="9"/>
  <c r="D89" i="9"/>
  <c r="C89" i="9"/>
  <c r="C87" i="9"/>
  <c r="C94" i="9"/>
  <c r="J55" i="9"/>
  <c r="B31" i="1"/>
  <c r="E19" i="6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W30" i="36"/>
  <c r="H30" i="36"/>
  <c r="F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S516" i="31"/>
  <c r="S518" i="31"/>
  <c r="S520" i="31"/>
  <c r="S522"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E101" i="39"/>
  <c r="F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G73" i="37"/>
  <c r="D71" i="37"/>
  <c r="H15" i="37"/>
  <c r="AB15" i="37"/>
  <c r="B68" i="37"/>
  <c r="H14" i="37"/>
  <c r="AB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H12" i="35"/>
  <c r="F12" i="35"/>
  <c r="Q11" i="35"/>
  <c r="Z11" i="35"/>
  <c r="Q10" i="35"/>
  <c r="Z10" i="35"/>
  <c r="Q9" i="35"/>
  <c r="Z9" i="35"/>
  <c r="J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F9" i="34"/>
  <c r="J8" i="34"/>
  <c r="H8" i="34"/>
  <c r="U8" i="34"/>
  <c r="F8" i="34"/>
  <c r="AA8" i="34"/>
  <c r="D121" i="33"/>
  <c r="E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B92" i="33"/>
  <c r="B90" i="33"/>
  <c r="D87" i="33"/>
  <c r="E87" i="33"/>
  <c r="D85" i="33"/>
  <c r="E85" i="33"/>
  <c r="F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c r="G19" i="20"/>
  <c r="B85" i="43"/>
  <c r="G16" i="20"/>
  <c r="B82" i="43"/>
  <c r="G15" i="20"/>
  <c r="B81" i="43"/>
  <c r="C24" i="20"/>
  <c r="B73" i="43"/>
  <c r="C21" i="20"/>
  <c r="C20" i="20"/>
  <c r="C18" i="20"/>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B130" i="21"/>
  <c r="B128" i="21"/>
  <c r="B126" i="21"/>
  <c r="B98" i="21"/>
  <c r="H31" i="21"/>
  <c r="B96" i="21"/>
  <c r="B94" i="21"/>
  <c r="J29" i="21"/>
  <c r="B92" i="21"/>
  <c r="B90" i="21"/>
  <c r="J27" i="21"/>
  <c r="W27" i="21"/>
  <c r="B7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AB41" i="21"/>
  <c r="AA41" i="21"/>
  <c r="F45" i="39"/>
  <c r="S45" i="39"/>
  <c r="J45" i="39"/>
  <c r="W45" i="39"/>
  <c r="J44" i="39"/>
  <c r="AC44" i="39"/>
  <c r="F36" i="39"/>
  <c r="S36" i="39"/>
  <c r="H36" i="39"/>
  <c r="AB36" i="39"/>
  <c r="J36" i="39"/>
  <c r="AC36" i="39"/>
  <c r="U9" i="39"/>
  <c r="W40" i="39"/>
  <c r="W25" i="37"/>
  <c r="U30" i="37"/>
  <c r="W31" i="37"/>
  <c r="E103" i="37"/>
  <c r="F103" i="37"/>
  <c r="G103" i="37"/>
  <c r="H103" i="37"/>
  <c r="I103" i="37"/>
  <c r="J103" i="37"/>
  <c r="K103" i="37"/>
  <c r="L103" i="37"/>
  <c r="M103" i="37"/>
  <c r="F39" i="37"/>
  <c r="S39" i="37"/>
  <c r="U14" i="37"/>
  <c r="F29" i="36"/>
  <c r="W8" i="36"/>
  <c r="F16" i="36"/>
  <c r="AA16" i="36"/>
  <c r="U9" i="36"/>
  <c r="W28" i="36"/>
  <c r="AC31" i="36"/>
  <c r="W31" i="36"/>
  <c r="U31" i="36"/>
  <c r="J33" i="36"/>
  <c r="H22" i="35"/>
  <c r="AB22" i="35"/>
  <c r="AC27" i="35"/>
  <c r="U31" i="35"/>
  <c r="S34" i="35"/>
  <c r="W34" i="35"/>
  <c r="W36" i="35"/>
  <c r="W22" i="35"/>
  <c r="S31" i="35"/>
  <c r="U34" i="35"/>
  <c r="F36" i="34"/>
  <c r="J35" i="34"/>
  <c r="S34" i="34"/>
  <c r="U34" i="34"/>
  <c r="H39" i="33"/>
  <c r="F26" i="33"/>
  <c r="S9" i="33"/>
  <c r="U33" i="33"/>
  <c r="U35" i="33"/>
  <c r="S40" i="33"/>
  <c r="W33" i="33"/>
  <c r="W39" i="33"/>
  <c r="H39" i="37"/>
  <c r="AB39" i="37"/>
  <c r="S27" i="35"/>
  <c r="F11" i="40"/>
  <c r="AA11" i="40"/>
  <c r="H11" i="40"/>
  <c r="AB11" i="40"/>
  <c r="W8" i="40"/>
  <c r="AC40" i="40"/>
  <c r="AA9" i="40"/>
  <c r="AC9" i="40"/>
  <c r="U9" i="40"/>
  <c r="S34" i="40"/>
  <c r="S40" i="40"/>
  <c r="U34" i="40"/>
  <c r="U40" i="40"/>
  <c r="F42" i="39"/>
  <c r="AA42" i="39"/>
  <c r="F41" i="39"/>
  <c r="S41" i="39"/>
  <c r="H40" i="39"/>
  <c r="AB40" i="39"/>
  <c r="H39" i="39"/>
  <c r="S38" i="39"/>
  <c r="S34" i="39"/>
  <c r="H34" i="39"/>
  <c r="U34" i="39"/>
  <c r="E109" i="39"/>
  <c r="H31" i="39"/>
  <c r="AB31" i="39"/>
  <c r="F31" i="39"/>
  <c r="AA31" i="39"/>
  <c r="H19" i="39"/>
  <c r="AB19" i="39"/>
  <c r="F19" i="39"/>
  <c r="AA19" i="39"/>
  <c r="H17" i="39"/>
  <c r="AB17" i="39"/>
  <c r="F17" i="39"/>
  <c r="J23" i="40"/>
  <c r="AC23" i="40"/>
  <c r="F21" i="40"/>
  <c r="J21" i="40"/>
  <c r="W21" i="40"/>
  <c r="H42" i="39"/>
  <c r="J34" i="39"/>
  <c r="AC34" i="39"/>
  <c r="F109" i="39"/>
  <c r="G109" i="39"/>
  <c r="H109" i="39"/>
  <c r="I109" i="39"/>
  <c r="J109" i="39"/>
  <c r="K109" i="39"/>
  <c r="L109" i="39"/>
  <c r="M109" i="39"/>
  <c r="J31" i="39"/>
  <c r="W31" i="39"/>
  <c r="H27" i="39"/>
  <c r="U27" i="39"/>
  <c r="J19" i="39"/>
  <c r="J17" i="39"/>
  <c r="J27" i="39"/>
  <c r="AC27" i="39"/>
  <c r="F27" i="39"/>
  <c r="F11" i="21"/>
  <c r="S11" i="21"/>
  <c r="S40" i="21"/>
  <c r="U34" i="21"/>
  <c r="S34" i="21"/>
  <c r="H11" i="39"/>
  <c r="AB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W32" i="40"/>
  <c r="S44" i="39"/>
  <c r="F37" i="39"/>
  <c r="AA37" i="39"/>
  <c r="J34" i="36"/>
  <c r="W34" i="36"/>
  <c r="U30" i="36"/>
  <c r="J30" i="35"/>
  <c r="H30" i="35"/>
  <c r="F22" i="35"/>
  <c r="H10" i="35"/>
  <c r="U10" i="35"/>
  <c r="AC16" i="36"/>
  <c r="F33" i="36"/>
  <c r="AA33" i="36"/>
  <c r="H16" i="36"/>
  <c r="AB16" i="36"/>
  <c r="E85" i="36"/>
  <c r="F85" i="36"/>
  <c r="G85" i="36"/>
  <c r="H85" i="36"/>
  <c r="I85" i="36"/>
  <c r="J85" i="36"/>
  <c r="K85" i="36"/>
  <c r="L85" i="36"/>
  <c r="M85" i="36"/>
  <c r="J29" i="36"/>
  <c r="AC29" i="36"/>
  <c r="F12" i="36"/>
  <c r="F24" i="36"/>
  <c r="F34" i="36"/>
  <c r="S34" i="36"/>
  <c r="S10" i="36"/>
  <c r="AB8" i="36"/>
  <c r="S8" i="36"/>
  <c r="F14" i="35"/>
  <c r="AA14" i="35"/>
  <c r="F23" i="35"/>
  <c r="J32" i="35"/>
  <c r="AC32" i="35"/>
  <c r="J16" i="35"/>
  <c r="AC16" i="35"/>
  <c r="H16" i="35"/>
  <c r="U16" i="35"/>
  <c r="F16" i="35"/>
  <c r="H14" i="35"/>
  <c r="AB14" i="35"/>
  <c r="J29" i="35"/>
  <c r="H33" i="35"/>
  <c r="AB33" i="35"/>
  <c r="J20" i="35"/>
  <c r="W20" i="35"/>
  <c r="F35" i="37"/>
  <c r="E101" i="37"/>
  <c r="F101" i="37"/>
  <c r="G101" i="37"/>
  <c r="H101" i="37"/>
  <c r="I101" i="37"/>
  <c r="J101" i="37"/>
  <c r="K101" i="37"/>
  <c r="L101" i="37"/>
  <c r="M101" i="37"/>
  <c r="J34" i="37"/>
  <c r="W34" i="37"/>
  <c r="S10" i="37"/>
  <c r="AA39" i="37"/>
  <c r="J33" i="37"/>
  <c r="U42" i="34"/>
  <c r="H40" i="34"/>
  <c r="U40" i="34"/>
  <c r="E114" i="34"/>
  <c r="H36" i="34"/>
  <c r="U36" i="34"/>
  <c r="F37" i="34"/>
  <c r="S35" i="34"/>
  <c r="F27" i="34"/>
  <c r="AA27" i="34"/>
  <c r="F25" i="34"/>
  <c r="S25" i="34"/>
  <c r="H23" i="34"/>
  <c r="U23" i="34"/>
  <c r="J23" i="34"/>
  <c r="F19" i="34"/>
  <c r="H17" i="34"/>
  <c r="U17" i="34"/>
  <c r="F15" i="34"/>
  <c r="J15" i="34"/>
  <c r="H15" i="34"/>
  <c r="AB15" i="34"/>
  <c r="F41" i="33"/>
  <c r="AA41" i="33"/>
  <c r="S38" i="33"/>
  <c r="E113" i="33"/>
  <c r="F113" i="33"/>
  <c r="F32" i="33"/>
  <c r="AA32" i="33"/>
  <c r="J19" i="33"/>
  <c r="AC19" i="33"/>
  <c r="J15" i="33"/>
  <c r="AC15" i="33"/>
  <c r="F11" i="33"/>
  <c r="AA11" i="33"/>
  <c r="U40" i="33"/>
  <c r="U8" i="33"/>
  <c r="S8" i="33"/>
  <c r="F37" i="40"/>
  <c r="AA37" i="40"/>
  <c r="F36" i="40"/>
  <c r="AA36" i="40"/>
  <c r="H28" i="40"/>
  <c r="F23" i="40"/>
  <c r="AA23" i="40"/>
  <c r="F17" i="40"/>
  <c r="J17" i="40"/>
  <c r="W17" i="40"/>
  <c r="F15" i="40"/>
  <c r="H15" i="40"/>
  <c r="AB15" i="40"/>
  <c r="AC11" i="40"/>
  <c r="S12" i="36"/>
  <c r="AA12" i="36"/>
  <c r="AB30" i="36"/>
  <c r="AC34" i="36"/>
  <c r="U33" i="35"/>
  <c r="F29" i="35"/>
  <c r="S29" i="35"/>
  <c r="H29" i="35"/>
  <c r="AB29" i="35"/>
  <c r="H33" i="37"/>
  <c r="AB33" i="37"/>
  <c r="F33" i="37"/>
  <c r="AA33"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G123" i="21"/>
  <c r="H123" i="21"/>
  <c r="I123" i="21"/>
  <c r="J123" i="21"/>
  <c r="K123" i="21"/>
  <c r="L123" i="21"/>
  <c r="M123" i="21"/>
  <c r="J42" i="21"/>
  <c r="AC42" i="21"/>
  <c r="H42" i="21"/>
  <c r="U42" i="21"/>
  <c r="J44" i="34"/>
  <c r="F44" i="34"/>
  <c r="J10" i="35"/>
  <c r="W10" i="35"/>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J28" i="33"/>
  <c r="W28" i="33"/>
  <c r="F33" i="35"/>
  <c r="J33" i="35"/>
  <c r="AC33" i="35"/>
  <c r="F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F13" i="33"/>
  <c r="J29" i="33"/>
  <c r="H29" i="33"/>
  <c r="F29" i="33"/>
  <c r="J31" i="33"/>
  <c r="W31" i="33"/>
  <c r="H31" i="33"/>
  <c r="AB31" i="33"/>
  <c r="F31" i="33"/>
  <c r="H45" i="33"/>
  <c r="J45" i="33"/>
  <c r="F45" i="33"/>
  <c r="J14" i="34"/>
  <c r="F14" i="34"/>
  <c r="S14" i="34"/>
  <c r="H14" i="34"/>
  <c r="U14" i="34"/>
  <c r="H30" i="34"/>
  <c r="F30" i="34"/>
  <c r="J30" i="34"/>
  <c r="H32" i="34"/>
  <c r="U32" i="34"/>
  <c r="F32" i="34"/>
  <c r="J32" i="34"/>
  <c r="W32" i="34"/>
  <c r="H46" i="34"/>
  <c r="F46" i="34"/>
  <c r="S46" i="34"/>
  <c r="J46" i="34"/>
  <c r="H11" i="35"/>
  <c r="U11" i="35"/>
  <c r="J11" i="35"/>
  <c r="F11" i="35"/>
  <c r="J26" i="36"/>
  <c r="W26" i="36"/>
  <c r="H28" i="36"/>
  <c r="U28" i="36"/>
  <c r="H32" i="36"/>
  <c r="J32" i="36"/>
  <c r="W32" i="36"/>
  <c r="J11" i="36"/>
  <c r="AC11" i="36"/>
  <c r="H11" i="36"/>
  <c r="F11" i="36"/>
  <c r="H13" i="36"/>
  <c r="J13" i="36"/>
  <c r="F13" i="36"/>
  <c r="S13" i="36"/>
  <c r="E89" i="37"/>
  <c r="F89" i="37"/>
  <c r="G89" i="37"/>
  <c r="H89" i="37"/>
  <c r="I89" i="37"/>
  <c r="J89" i="37"/>
  <c r="K89" i="37"/>
  <c r="L89" i="37"/>
  <c r="M89" i="37"/>
  <c r="J29" i="37"/>
  <c r="F29" i="37"/>
  <c r="F105" i="37"/>
  <c r="H36" i="37"/>
  <c r="AB36" i="37"/>
  <c r="F107" i="37"/>
  <c r="J37" i="37"/>
  <c r="H37" i="37"/>
  <c r="U37" i="37"/>
  <c r="H40" i="37"/>
  <c r="J40" i="37"/>
  <c r="F40" i="37"/>
  <c r="AA40" i="37"/>
  <c r="AC12" i="40"/>
  <c r="W12" i="40"/>
  <c r="H14" i="33"/>
  <c r="F14" i="33"/>
  <c r="J14" i="33"/>
  <c r="AC14" i="33"/>
  <c r="H30" i="33"/>
  <c r="AB30" i="33"/>
  <c r="F30" i="33"/>
  <c r="J30" i="33"/>
  <c r="AC30" i="33"/>
  <c r="H44" i="33"/>
  <c r="J44" i="33"/>
  <c r="AC44" i="33"/>
  <c r="F44" i="33"/>
  <c r="J46" i="33"/>
  <c r="AC46" i="33"/>
  <c r="F46" i="33"/>
  <c r="AA46" i="33"/>
  <c r="H46" i="33"/>
  <c r="AB46" i="33"/>
  <c r="H13" i="34"/>
  <c r="J13" i="34"/>
  <c r="F13" i="34"/>
  <c r="AA13" i="34"/>
  <c r="J29" i="34"/>
  <c r="AC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c r="H14" i="40"/>
  <c r="AB14" i="40"/>
  <c r="J14" i="40"/>
  <c r="W14" i="40"/>
  <c r="F14" i="40"/>
  <c r="AA14" i="40"/>
  <c r="J14" i="37"/>
  <c r="AC14" i="37"/>
  <c r="J27" i="37"/>
  <c r="AC27" i="37"/>
  <c r="AA13" i="35"/>
  <c r="U31" i="34"/>
  <c r="U46" i="33"/>
  <c r="J36" i="37"/>
  <c r="G105" i="37"/>
  <c r="AB11" i="35"/>
  <c r="J10" i="36"/>
  <c r="AC10" i="36"/>
  <c r="AA14" i="37"/>
  <c r="W31" i="34"/>
  <c r="AA14" i="34"/>
  <c r="AC28" i="21"/>
  <c r="F17" i="21"/>
  <c r="AA17" i="21"/>
  <c r="H17" i="21"/>
  <c r="AB17" i="21"/>
  <c r="F15" i="21"/>
  <c r="S15" i="21"/>
  <c r="AB11" i="21"/>
  <c r="J41" i="39"/>
  <c r="W41" i="39"/>
  <c r="AC45" i="39"/>
  <c r="W44" i="39"/>
  <c r="W36" i="39"/>
  <c r="U36" i="39"/>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U35" i="35"/>
  <c r="W14" i="37"/>
  <c r="AB28" i="37"/>
  <c r="U33" i="37"/>
  <c r="U39" i="37"/>
  <c r="W26" i="37"/>
  <c r="AC8" i="37"/>
  <c r="U26" i="37"/>
  <c r="W47" i="34"/>
  <c r="W37" i="34"/>
  <c r="AB37" i="34"/>
  <c r="AC36" i="34"/>
  <c r="AC31" i="33"/>
  <c r="W44" i="33"/>
  <c r="U11" i="33"/>
  <c r="U19" i="21"/>
  <c r="W44" i="21"/>
  <c r="U26" i="21"/>
  <c r="AC46" i="21"/>
  <c r="U12" i="21"/>
  <c r="AB38" i="21"/>
  <c r="F43" i="33"/>
  <c r="AA43" i="33"/>
  <c r="W16" i="35"/>
  <c r="G107" i="37"/>
  <c r="H107" i="37"/>
  <c r="I107" i="37"/>
  <c r="J107" i="37"/>
  <c r="K107" i="37"/>
  <c r="L107" i="37"/>
  <c r="M107" i="37"/>
  <c r="H37" i="21"/>
  <c r="U37" i="21"/>
  <c r="S42" i="21"/>
  <c r="H19" i="34"/>
  <c r="AB19" i="34"/>
  <c r="F36" i="35"/>
  <c r="J9" i="37"/>
  <c r="H9" i="37"/>
  <c r="AB9" i="37"/>
  <c r="F9" i="37"/>
  <c r="H12" i="37"/>
  <c r="E71" i="37"/>
  <c r="F71" i="37"/>
  <c r="F15" i="37"/>
  <c r="AA15" i="37"/>
  <c r="E94" i="37"/>
  <c r="F31" i="37"/>
  <c r="F12" i="39"/>
  <c r="J42" i="39"/>
  <c r="H21" i="40"/>
  <c r="AB21" i="40"/>
  <c r="F94" i="37"/>
  <c r="G94" i="37"/>
  <c r="H94" i="37"/>
  <c r="I94" i="37"/>
  <c r="J94" i="37"/>
  <c r="K94" i="37"/>
  <c r="L94" i="37"/>
  <c r="M94" i="37"/>
  <c r="H31" i="37"/>
  <c r="U31" i="37"/>
  <c r="G71" i="37"/>
  <c r="J15" i="37"/>
  <c r="W15" i="37"/>
  <c r="AA25" i="21"/>
  <c r="C12" i="43"/>
  <c r="H19" i="40"/>
  <c r="F88" i="40"/>
  <c r="G88" i="40"/>
  <c r="F19" i="40"/>
  <c r="S14" i="40"/>
  <c r="AC13" i="40"/>
  <c r="AB33" i="40"/>
  <c r="W23" i="39"/>
  <c r="AC43" i="39"/>
  <c r="W43" i="39"/>
  <c r="U45" i="39"/>
  <c r="AB45" i="39"/>
  <c r="AB44" i="39"/>
  <c r="U44" i="39"/>
  <c r="G101" i="39"/>
  <c r="H37" i="39"/>
  <c r="AB37" i="39"/>
  <c r="AC37" i="39"/>
  <c r="W37" i="39"/>
  <c r="H25" i="39"/>
  <c r="AB25" i="39"/>
  <c r="J25" i="39"/>
  <c r="F25" i="39"/>
  <c r="AA25" i="39"/>
  <c r="F15" i="39"/>
  <c r="H15" i="39"/>
  <c r="U15" i="39"/>
  <c r="J15" i="39"/>
  <c r="H41" i="39"/>
  <c r="U41" i="39"/>
  <c r="W27" i="39"/>
  <c r="AB34" i="39"/>
  <c r="U40" i="39"/>
  <c r="S42" i="39"/>
  <c r="AA41" i="39"/>
  <c r="W9" i="39"/>
  <c r="W8" i="39"/>
  <c r="J19" i="40"/>
  <c r="AC19" i="40"/>
  <c r="J50" i="40"/>
  <c r="D8" i="53"/>
  <c r="D9" i="53"/>
  <c r="B25" i="72"/>
  <c r="B16" i="53"/>
  <c r="B33" i="72"/>
  <c r="C7" i="37"/>
  <c r="C52" i="37"/>
  <c r="D52" i="37"/>
  <c r="E52" i="37"/>
  <c r="F52" i="37"/>
  <c r="C7" i="34"/>
  <c r="C59" i="34"/>
  <c r="C7" i="36"/>
  <c r="C46" i="36"/>
  <c r="D46" i="36"/>
  <c r="E46" i="36"/>
  <c r="W35" i="40"/>
  <c r="A118" i="9"/>
  <c r="J11" i="39"/>
  <c r="F11" i="39"/>
  <c r="AA11" i="39"/>
  <c r="S11" i="39"/>
  <c r="G4" i="4"/>
  <c r="I4" i="4"/>
  <c r="K5" i="4"/>
  <c r="B47" i="48"/>
  <c r="F59" i="43"/>
  <c r="H62" i="43"/>
  <c r="U36" i="40"/>
  <c r="N4" i="43"/>
  <c r="F36" i="43"/>
  <c r="F81" i="43"/>
  <c r="H86" i="43"/>
  <c r="H113" i="43"/>
  <c r="N7" i="43"/>
  <c r="F70" i="43"/>
  <c r="H74" i="43"/>
  <c r="M6" i="43"/>
  <c r="F39" i="43"/>
  <c r="F35" i="43"/>
  <c r="F6" i="1"/>
  <c r="U17" i="39"/>
  <c r="S14" i="35"/>
  <c r="U43" i="21"/>
  <c r="U35" i="21"/>
  <c r="AC35" i="21"/>
  <c r="U10" i="21"/>
  <c r="G10" i="1"/>
  <c r="F48" i="9"/>
  <c r="O52" i="9"/>
  <c r="W44" i="34"/>
  <c r="AC44" i="34"/>
  <c r="S15" i="37"/>
  <c r="U13" i="37"/>
  <c r="U12" i="40"/>
  <c r="AA12" i="40"/>
  <c r="J37" i="33"/>
  <c r="W37" i="33"/>
  <c r="AC17" i="34"/>
  <c r="F106" i="33"/>
  <c r="G106" i="33"/>
  <c r="H106" i="33"/>
  <c r="I106" i="33"/>
  <c r="J106" i="33"/>
  <c r="K106" i="33"/>
  <c r="L106" i="33"/>
  <c r="M106" i="33"/>
  <c r="J34" i="33"/>
  <c r="W34" i="33"/>
  <c r="F33" i="34"/>
  <c r="S33" i="34"/>
  <c r="H20" i="36"/>
  <c r="J20" i="36"/>
  <c r="W20" i="36"/>
  <c r="J27" i="36"/>
  <c r="W27" i="36"/>
  <c r="AB25" i="37"/>
  <c r="AC33" i="40"/>
  <c r="G111" i="40"/>
  <c r="H111" i="40"/>
  <c r="I111" i="40"/>
  <c r="J111" i="40"/>
  <c r="K111" i="40"/>
  <c r="L111" i="40"/>
  <c r="M111" i="40"/>
  <c r="H35" i="40"/>
  <c r="AB35" i="40"/>
  <c r="H35" i="37"/>
  <c r="U35" i="37"/>
  <c r="AC14" i="35"/>
  <c r="H20" i="35"/>
  <c r="U20" i="35"/>
  <c r="F20" i="35"/>
  <c r="AB29" i="36"/>
  <c r="U29" i="36"/>
  <c r="H32" i="37"/>
  <c r="AB32" i="37"/>
  <c r="F96" i="37"/>
  <c r="H27" i="40"/>
  <c r="J27" i="40"/>
  <c r="F27" i="40"/>
  <c r="J30" i="40"/>
  <c r="F30" i="40"/>
  <c r="AA30" i="40"/>
  <c r="AC21" i="40"/>
  <c r="S31" i="39"/>
  <c r="S11" i="40"/>
  <c r="H98" i="40"/>
  <c r="I98" i="40"/>
  <c r="J98" i="40"/>
  <c r="K98" i="40"/>
  <c r="L98" i="40"/>
  <c r="M98" i="40"/>
  <c r="F10" i="33"/>
  <c r="F34" i="33"/>
  <c r="H34" i="33"/>
  <c r="U34" i="33"/>
  <c r="F35" i="33"/>
  <c r="F39" i="34"/>
  <c r="S39" i="34"/>
  <c r="J39" i="34"/>
  <c r="F40" i="34"/>
  <c r="S40" i="34"/>
  <c r="F43" i="34"/>
  <c r="AA43" i="34"/>
  <c r="H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J33" i="34"/>
  <c r="H23" i="39"/>
  <c r="U23" i="39"/>
  <c r="D48" i="9"/>
  <c r="M52" i="9"/>
  <c r="H87" i="43"/>
  <c r="D93" i="9"/>
  <c r="W26" i="33"/>
  <c r="W27" i="34"/>
  <c r="AC27" i="34"/>
  <c r="AB34" i="36"/>
  <c r="U34" i="36"/>
  <c r="AB33" i="36"/>
  <c r="U33" i="36"/>
  <c r="AC12" i="39"/>
  <c r="W12" i="39"/>
  <c r="W12" i="33"/>
  <c r="AC12" i="33"/>
  <c r="AA32" i="36"/>
  <c r="S32" i="36"/>
  <c r="AA39" i="34"/>
  <c r="U30" i="33"/>
  <c r="AA47" i="34"/>
  <c r="W28" i="37"/>
  <c r="S19" i="39"/>
  <c r="F12" i="33"/>
  <c r="H12" i="39"/>
  <c r="F39" i="40"/>
  <c r="AA39" i="40"/>
  <c r="S12" i="1"/>
  <c r="T12" i="1"/>
  <c r="R12" i="1"/>
  <c r="B12" i="1"/>
  <c r="E12" i="1"/>
  <c r="S10" i="1"/>
  <c r="T10" i="1"/>
  <c r="R10" i="1"/>
  <c r="B10" i="1"/>
  <c r="E10" i="1"/>
  <c r="D1" i="66"/>
  <c r="E10" i="66"/>
  <c r="K12" i="1"/>
  <c r="M12" i="1"/>
  <c r="S13" i="1"/>
  <c r="AR13" i="1"/>
  <c r="R13" i="1"/>
  <c r="S11" i="1"/>
  <c r="AQ11" i="1"/>
  <c r="R11" i="1"/>
  <c r="J51" i="67"/>
  <c r="H100" i="43"/>
  <c r="C30" i="66"/>
  <c r="E26" i="66"/>
  <c r="AC34" i="33"/>
  <c r="F53" i="9"/>
  <c r="J100" i="43"/>
  <c r="AB37" i="40"/>
  <c r="S35" i="40"/>
  <c r="U35" i="40"/>
  <c r="AC36" i="40"/>
  <c r="AA32" i="40"/>
  <c r="S23" i="40"/>
  <c r="AC17" i="40"/>
  <c r="AC15" i="40"/>
  <c r="S30" i="40"/>
  <c r="S28" i="40"/>
  <c r="U21" i="40"/>
  <c r="U37" i="39"/>
  <c r="W39" i="39"/>
  <c r="S43" i="39"/>
  <c r="S37" i="39"/>
  <c r="F32" i="39"/>
  <c r="S32" i="39"/>
  <c r="U25" i="39"/>
  <c r="AB27" i="39"/>
  <c r="U31" i="39"/>
  <c r="S25" i="39"/>
  <c r="J21" i="39"/>
  <c r="F21" i="39"/>
  <c r="G95" i="39"/>
  <c r="H21" i="39"/>
  <c r="U19" i="39"/>
  <c r="AB15" i="39"/>
  <c r="S9" i="39"/>
  <c r="U14" i="39"/>
  <c r="S23" i="36"/>
  <c r="AC27" i="36"/>
  <c r="AB27" i="36"/>
  <c r="U26" i="36"/>
  <c r="S33" i="36"/>
  <c r="S27" i="36"/>
  <c r="AA26" i="36"/>
  <c r="AA34" i="36"/>
  <c r="AA22" i="36"/>
  <c r="W14" i="36"/>
  <c r="AB14" i="36"/>
  <c r="U22" i="36"/>
  <c r="S16" i="36"/>
  <c r="AA25" i="36"/>
  <c r="U23" i="36"/>
  <c r="U16" i="36"/>
  <c r="S14" i="36"/>
  <c r="U10" i="36"/>
  <c r="W10" i="36"/>
  <c r="AA25" i="35"/>
  <c r="W24" i="35"/>
  <c r="AB13" i="35"/>
  <c r="U29" i="35"/>
  <c r="AB27" i="35"/>
  <c r="U36" i="35"/>
  <c r="U32" i="35"/>
  <c r="S32" i="35"/>
  <c r="W32" i="35"/>
  <c r="S28" i="35"/>
  <c r="AB16" i="35"/>
  <c r="U22" i="35"/>
  <c r="AC20" i="35"/>
  <c r="U14" i="35"/>
  <c r="AC10" i="35"/>
  <c r="AA10" i="35"/>
  <c r="AB10" i="35"/>
  <c r="S8" i="35"/>
  <c r="AC9" i="35"/>
  <c r="W9" i="35"/>
  <c r="W13" i="35"/>
  <c r="F9" i="35"/>
  <c r="H9" i="35"/>
  <c r="F26" i="35"/>
  <c r="AA26" i="35"/>
  <c r="J26" i="35"/>
  <c r="H26" i="35"/>
  <c r="S25" i="37"/>
  <c r="W27" i="37"/>
  <c r="S26" i="37"/>
  <c r="U29" i="37"/>
  <c r="S32" i="37"/>
  <c r="AB31" i="37"/>
  <c r="W30" i="37"/>
  <c r="S36" i="37"/>
  <c r="AA38" i="37"/>
  <c r="U32" i="37"/>
  <c r="W38" i="37"/>
  <c r="AC35" i="37"/>
  <c r="W39" i="37"/>
  <c r="S30" i="37"/>
  <c r="S37" i="37"/>
  <c r="AC15" i="37"/>
  <c r="J17" i="37"/>
  <c r="W17" i="37"/>
  <c r="F17" i="37"/>
  <c r="AA17" i="37"/>
  <c r="AB17" i="37"/>
  <c r="F19" i="37"/>
  <c r="F79" i="37"/>
  <c r="G79" i="37"/>
  <c r="F23" i="37"/>
  <c r="S23" i="37"/>
  <c r="U23" i="37"/>
  <c r="AC13" i="37"/>
  <c r="U9" i="37"/>
  <c r="AA13" i="37"/>
  <c r="H10" i="37"/>
  <c r="F11" i="37"/>
  <c r="S11" i="37"/>
  <c r="S27" i="34"/>
  <c r="W25" i="34"/>
  <c r="AB8" i="34"/>
  <c r="AA33" i="34"/>
  <c r="U43" i="34"/>
  <c r="W41" i="34"/>
  <c r="AC42" i="34"/>
  <c r="AB35" i="34"/>
  <c r="U39" i="34"/>
  <c r="S43" i="34"/>
  <c r="AB41" i="34"/>
  <c r="AA45" i="34"/>
  <c r="W34" i="34"/>
  <c r="AA25" i="34"/>
  <c r="U28" i="34"/>
  <c r="S17" i="34"/>
  <c r="AA29" i="34"/>
  <c r="U27" i="34"/>
  <c r="S23" i="34"/>
  <c r="U15" i="34"/>
  <c r="S10" i="34"/>
  <c r="H67" i="34"/>
  <c r="H10" i="34"/>
  <c r="U10" i="34"/>
  <c r="F11" i="34"/>
  <c r="S11" i="34"/>
  <c r="F70" i="34"/>
  <c r="W42" i="33"/>
  <c r="S27" i="33"/>
  <c r="S32" i="33"/>
  <c r="W38" i="33"/>
  <c r="H41" i="33"/>
  <c r="F121" i="33"/>
  <c r="G121" i="33"/>
  <c r="H121" i="33"/>
  <c r="I121" i="33"/>
  <c r="J121" i="33"/>
  <c r="K121" i="33"/>
  <c r="L121" i="33"/>
  <c r="M121" i="33"/>
  <c r="U42" i="33"/>
  <c r="S42" i="33"/>
  <c r="F36" i="33"/>
  <c r="AA36" i="33"/>
  <c r="G108" i="33"/>
  <c r="H108" i="33"/>
  <c r="I108" i="33"/>
  <c r="J108" i="33"/>
  <c r="K108" i="33"/>
  <c r="L108" i="33"/>
  <c r="M108" i="33"/>
  <c r="J35" i="33"/>
  <c r="S37" i="33"/>
  <c r="AA37" i="33"/>
  <c r="S39" i="33"/>
  <c r="G101" i="33"/>
  <c r="H101" i="33"/>
  <c r="I101" i="33"/>
  <c r="J101" i="33"/>
  <c r="K101" i="33"/>
  <c r="L101" i="33"/>
  <c r="M101" i="33"/>
  <c r="J32" i="33"/>
  <c r="S46" i="33"/>
  <c r="W43" i="33"/>
  <c r="S43" i="33"/>
  <c r="H27" i="33"/>
  <c r="F87" i="33"/>
  <c r="H25" i="33"/>
  <c r="F25" i="33"/>
  <c r="J23" i="33"/>
  <c r="H23" i="33"/>
  <c r="U23" i="33"/>
  <c r="F81" i="33"/>
  <c r="F19" i="33"/>
  <c r="S19" i="33"/>
  <c r="W19" i="33"/>
  <c r="J17" i="33"/>
  <c r="F79" i="33"/>
  <c r="S15" i="33"/>
  <c r="W15" i="33"/>
  <c r="U9" i="33"/>
  <c r="I66" i="33"/>
  <c r="J10" i="33"/>
  <c r="H10" i="33"/>
  <c r="AC11" i="33"/>
  <c r="W43" i="21"/>
  <c r="W36" i="21"/>
  <c r="W41" i="21"/>
  <c r="AB39" i="21"/>
  <c r="AA43" i="21"/>
  <c r="S39" i="21"/>
  <c r="AA38" i="21"/>
  <c r="AA36" i="21"/>
  <c r="AC40" i="21"/>
  <c r="J15" i="21"/>
  <c r="W15" i="21"/>
  <c r="G77" i="21"/>
  <c r="F23" i="21"/>
  <c r="S23" i="21"/>
  <c r="E85" i="21"/>
  <c r="AC11" i="21"/>
  <c r="AB8" i="21"/>
  <c r="S8" i="21"/>
  <c r="M3" i="43"/>
  <c r="M1" i="43"/>
  <c r="N8" i="43"/>
  <c r="F34" i="67"/>
  <c r="F62" i="67"/>
  <c r="M20" i="67"/>
  <c r="F34" i="15"/>
  <c r="F62" i="15"/>
  <c r="A24" i="51"/>
  <c r="B18" i="72"/>
  <c r="U29" i="34"/>
  <c r="E32" i="6"/>
  <c r="L19" i="6"/>
  <c r="K1" i="12"/>
  <c r="E19" i="68"/>
  <c r="E1" i="73"/>
  <c r="G22" i="69"/>
  <c r="G22" i="68"/>
  <c r="G26" i="12"/>
  <c r="G22" i="11"/>
  <c r="C100" i="43"/>
  <c r="E10" i="43"/>
  <c r="E8" i="43"/>
  <c r="C7" i="43"/>
  <c r="E81" i="43"/>
  <c r="B79" i="43"/>
  <c r="E70" i="43"/>
  <c r="B68" i="43"/>
  <c r="F100" i="43"/>
  <c r="H17" i="43"/>
  <c r="B24" i="72"/>
  <c r="G6" i="1"/>
  <c r="H85" i="43"/>
  <c r="H78" i="43"/>
  <c r="C17" i="43"/>
  <c r="G17" i="43"/>
  <c r="N6" i="43"/>
  <c r="N3" i="43"/>
  <c r="F37" i="43"/>
  <c r="M9" i="43"/>
  <c r="N5" i="43"/>
  <c r="M12" i="43"/>
  <c r="C7" i="39"/>
  <c r="C68" i="39"/>
  <c r="C7" i="35"/>
  <c r="C7" i="33"/>
  <c r="C58" i="33"/>
  <c r="D58" i="33"/>
  <c r="C7" i="21"/>
  <c r="C58" i="21"/>
  <c r="D58" i="21"/>
  <c r="C7" i="40"/>
  <c r="C63" i="40"/>
  <c r="C65" i="40"/>
  <c r="M47" i="9"/>
  <c r="G19" i="43"/>
  <c r="AD3" i="71"/>
  <c r="P23" i="43"/>
  <c r="B71" i="39"/>
  <c r="T35" i="4"/>
  <c r="A19" i="51"/>
  <c r="B14" i="72"/>
  <c r="C48" i="35"/>
  <c r="D48" i="35"/>
  <c r="C4" i="12"/>
  <c r="H66" i="43"/>
  <c r="H65" i="43"/>
  <c r="H64" i="43"/>
  <c r="H63" i="43"/>
  <c r="H76" i="43"/>
  <c r="L20" i="6"/>
  <c r="B6" i="1"/>
  <c r="E6" i="1"/>
  <c r="K11" i="1"/>
  <c r="M11" i="1"/>
  <c r="AP6" i="1"/>
  <c r="B9" i="1"/>
  <c r="E9" i="1"/>
  <c r="M7" i="1"/>
  <c r="O7" i="1"/>
  <c r="P7" i="1"/>
  <c r="G1" i="69"/>
  <c r="W23" i="40"/>
  <c r="U32" i="40"/>
  <c r="AB31" i="40"/>
  <c r="S37" i="40"/>
  <c r="W28" i="40"/>
  <c r="W34" i="40"/>
  <c r="W19" i="40"/>
  <c r="S36" i="40"/>
  <c r="W37" i="40"/>
  <c r="AC14" i="40"/>
  <c r="S13" i="40"/>
  <c r="S33" i="40"/>
  <c r="U11" i="40"/>
  <c r="S31" i="40"/>
  <c r="AB13" i="40"/>
  <c r="U15" i="40"/>
  <c r="AB17" i="40"/>
  <c r="U8" i="40"/>
  <c r="S8" i="40"/>
  <c r="AA39" i="39"/>
  <c r="AC41" i="39"/>
  <c r="AB23" i="39"/>
  <c r="AB41" i="39"/>
  <c r="W25" i="39"/>
  <c r="AC25" i="39"/>
  <c r="AB13" i="39"/>
  <c r="AA13" i="39"/>
  <c r="S13" i="39"/>
  <c r="U43" i="39"/>
  <c r="AB43" i="39"/>
  <c r="AA27" i="39"/>
  <c r="S27" i="39"/>
  <c r="W17" i="39"/>
  <c r="AC17" i="39"/>
  <c r="AC31" i="39"/>
  <c r="S23" i="39"/>
  <c r="AA45" i="39"/>
  <c r="W34" i="39"/>
  <c r="U38" i="39"/>
  <c r="S8" i="39"/>
  <c r="AC25" i="36"/>
  <c r="S28" i="36"/>
  <c r="W29" i="36"/>
  <c r="AC20" i="36"/>
  <c r="U25" i="36"/>
  <c r="AB28" i="36"/>
  <c r="AA13" i="36"/>
  <c r="W9" i="36"/>
  <c r="W22" i="36"/>
  <c r="W23" i="36"/>
  <c r="S9" i="36"/>
  <c r="AB20" i="35"/>
  <c r="AC25" i="35"/>
  <c r="U25" i="35"/>
  <c r="S24" i="35"/>
  <c r="W33" i="35"/>
  <c r="U24" i="35"/>
  <c r="S35" i="35"/>
  <c r="W35" i="35"/>
  <c r="S27" i="37"/>
  <c r="S28" i="37"/>
  <c r="W32" i="37"/>
  <c r="U36" i="37"/>
  <c r="U38" i="37"/>
  <c r="AB37" i="37"/>
  <c r="S33" i="37"/>
  <c r="AC34" i="37"/>
  <c r="AB35" i="37"/>
  <c r="AA11" i="37"/>
  <c r="U19" i="37"/>
  <c r="AA8" i="37"/>
  <c r="U8" i="37"/>
  <c r="AA40" i="34"/>
  <c r="AB40" i="34"/>
  <c r="U19" i="34"/>
  <c r="W19" i="34"/>
  <c r="AB33" i="34"/>
  <c r="AC45" i="34"/>
  <c r="AA31" i="34"/>
  <c r="AB45" i="34"/>
  <c r="AB47" i="34"/>
  <c r="U25" i="34"/>
  <c r="AB36" i="34"/>
  <c r="AC32" i="34"/>
  <c r="W29" i="34"/>
  <c r="W46" i="34"/>
  <c r="AC46" i="34"/>
  <c r="S32" i="34"/>
  <c r="AA32" i="34"/>
  <c r="U30" i="34"/>
  <c r="AB30" i="34"/>
  <c r="U38" i="34"/>
  <c r="AC40" i="34"/>
  <c r="W40" i="34"/>
  <c r="AA36" i="34"/>
  <c r="S36" i="34"/>
  <c r="AA46" i="34"/>
  <c r="AB32" i="34"/>
  <c r="AB14" i="34"/>
  <c r="AC43" i="34"/>
  <c r="W43" i="34"/>
  <c r="AA11" i="34"/>
  <c r="W23" i="34"/>
  <c r="AC23" i="34"/>
  <c r="AC35" i="34"/>
  <c r="W35" i="34"/>
  <c r="U12" i="34"/>
  <c r="AB12" i="34"/>
  <c r="AB28" i="33"/>
  <c r="AC37" i="33"/>
  <c r="W46" i="33"/>
  <c r="U38" i="33"/>
  <c r="S33" i="33"/>
  <c r="AB34" i="33"/>
  <c r="U44" i="33"/>
  <c r="AB44" i="33"/>
  <c r="S30" i="33"/>
  <c r="AA30" i="33"/>
  <c r="W14" i="33"/>
  <c r="W30" i="33"/>
  <c r="S31" i="33"/>
  <c r="AA31" i="33"/>
  <c r="W13" i="33"/>
  <c r="AC13" i="33"/>
  <c r="U15" i="33"/>
  <c r="S11" i="33"/>
  <c r="U37" i="33"/>
  <c r="AC28" i="33"/>
  <c r="W9" i="33"/>
  <c r="W8" i="33"/>
  <c r="S44" i="21"/>
  <c r="AB42" i="21"/>
  <c r="U28" i="21"/>
  <c r="AA11" i="21"/>
  <c r="F33" i="21"/>
  <c r="J33" i="21"/>
  <c r="H33" i="21"/>
  <c r="AB33" i="21"/>
  <c r="F37" i="21"/>
  <c r="AA37" i="21"/>
  <c r="AB46" i="21"/>
  <c r="U40" i="21"/>
  <c r="AB31" i="21"/>
  <c r="U31" i="21"/>
  <c r="AC15" i="21"/>
  <c r="AB13" i="21"/>
  <c r="W8" i="21"/>
  <c r="S35" i="21"/>
  <c r="AB37" i="21"/>
  <c r="J37" i="21"/>
  <c r="W37" i="21"/>
  <c r="H15" i="21"/>
  <c r="U15" i="21"/>
  <c r="J17" i="21"/>
  <c r="AC19" i="21"/>
  <c r="W39" i="21"/>
  <c r="S46" i="21"/>
  <c r="F29" i="21"/>
  <c r="S29" i="21"/>
  <c r="F13" i="21"/>
  <c r="AA13" i="21"/>
  <c r="AC38" i="21"/>
  <c r="H32" i="21"/>
  <c r="U32" i="21"/>
  <c r="J9" i="21"/>
  <c r="J32" i="21"/>
  <c r="F32" i="21"/>
  <c r="AA31" i="21"/>
  <c r="U17" i="21"/>
  <c r="S19" i="21"/>
  <c r="K141" i="21"/>
  <c r="K144" i="21"/>
  <c r="K143" i="21"/>
  <c r="U27" i="21"/>
  <c r="AB25" i="21"/>
  <c r="AB44" i="21"/>
  <c r="W13" i="21"/>
  <c r="W42" i="21"/>
  <c r="F10" i="21"/>
  <c r="K145" i="21"/>
  <c r="W25" i="21"/>
  <c r="AA29" i="21"/>
  <c r="W31" i="21"/>
  <c r="S27" i="21"/>
  <c r="S17" i="21"/>
  <c r="AA15" i="21"/>
  <c r="AC27" i="21"/>
  <c r="AC26" i="21"/>
  <c r="AB29" i="21"/>
  <c r="S28" i="21"/>
  <c r="AC34" i="21"/>
  <c r="W10" i="21"/>
  <c r="W12" i="21"/>
  <c r="AB36" i="21"/>
  <c r="C19" i="39"/>
  <c r="C15" i="40"/>
  <c r="C17" i="40"/>
  <c r="C23" i="40"/>
  <c r="C21" i="40"/>
  <c r="U30" i="40"/>
  <c r="B65" i="43"/>
  <c r="B52" i="43"/>
  <c r="B56" i="43"/>
  <c r="B60" i="43"/>
  <c r="B63" i="43"/>
  <c r="B67" i="43"/>
  <c r="D23" i="15"/>
  <c r="J53" i="67"/>
  <c r="Q52" i="67"/>
  <c r="F30" i="11"/>
  <c r="C48" i="11"/>
  <c r="F52" i="9"/>
  <c r="F30" i="69"/>
  <c r="C48" i="69"/>
  <c r="M18" i="15"/>
  <c r="K20" i="6"/>
  <c r="S7" i="1"/>
  <c r="E7" i="70"/>
  <c r="S39" i="40"/>
  <c r="S12" i="33"/>
  <c r="AA12" i="33"/>
  <c r="D68" i="9"/>
  <c r="J32" i="39"/>
  <c r="W32" i="39"/>
  <c r="H32" i="39"/>
  <c r="AB21" i="39"/>
  <c r="U21" i="39"/>
  <c r="AA21" i="39"/>
  <c r="S21" i="39"/>
  <c r="AC21" i="39"/>
  <c r="W21" i="39"/>
  <c r="S26" i="35"/>
  <c r="U9" i="35"/>
  <c r="AB9" i="35"/>
  <c r="AA9" i="35"/>
  <c r="S9" i="35"/>
  <c r="AC26" i="35"/>
  <c r="W26" i="35"/>
  <c r="AB26" i="35"/>
  <c r="U26" i="35"/>
  <c r="AC17" i="37"/>
  <c r="S17" i="37"/>
  <c r="J19" i="37"/>
  <c r="S19" i="37"/>
  <c r="AA19" i="37"/>
  <c r="AA23" i="37"/>
  <c r="J23" i="37"/>
  <c r="AC23" i="37"/>
  <c r="J10" i="37"/>
  <c r="W10" i="37"/>
  <c r="H11" i="37"/>
  <c r="AB10" i="37"/>
  <c r="U10" i="37"/>
  <c r="G70" i="34"/>
  <c r="H70" i="34"/>
  <c r="H11" i="34"/>
  <c r="AB10" i="34"/>
  <c r="J10" i="34"/>
  <c r="AC10" i="34"/>
  <c r="I67" i="34"/>
  <c r="AB41" i="33"/>
  <c r="U41" i="33"/>
  <c r="W35" i="33"/>
  <c r="AC35" i="33"/>
  <c r="H111" i="33"/>
  <c r="I111" i="33"/>
  <c r="J111" i="33"/>
  <c r="K111" i="33"/>
  <c r="L111" i="33"/>
  <c r="M111" i="33"/>
  <c r="J36" i="33"/>
  <c r="W36" i="33"/>
  <c r="H36" i="33"/>
  <c r="S36" i="33"/>
  <c r="AC32" i="33"/>
  <c r="W32" i="33"/>
  <c r="U27" i="33"/>
  <c r="AB27" i="33"/>
  <c r="J27" i="33"/>
  <c r="U25" i="33"/>
  <c r="AB25" i="33"/>
  <c r="S25" i="33"/>
  <c r="AA25" i="33"/>
  <c r="G87" i="33"/>
  <c r="H87" i="33"/>
  <c r="I87" i="33"/>
  <c r="J87" i="33"/>
  <c r="K87" i="33"/>
  <c r="L87" i="33"/>
  <c r="M87" i="33"/>
  <c r="J25" i="33"/>
  <c r="F23" i="33"/>
  <c r="S23" i="33"/>
  <c r="G85" i="33"/>
  <c r="AC23" i="33"/>
  <c r="W23" i="33"/>
  <c r="AA19" i="33"/>
  <c r="H19" i="33"/>
  <c r="G81" i="33"/>
  <c r="G79" i="33"/>
  <c r="H17" i="33"/>
  <c r="AB17" i="33"/>
  <c r="F17" i="33"/>
  <c r="W17" i="33"/>
  <c r="AC17" i="33"/>
  <c r="U10" i="33"/>
  <c r="AB10" i="33"/>
  <c r="AC10" i="33"/>
  <c r="W10" i="33"/>
  <c r="AC37" i="21"/>
  <c r="U33" i="21"/>
  <c r="S37" i="21"/>
  <c r="AA23" i="21"/>
  <c r="AB15" i="21"/>
  <c r="J23" i="21"/>
  <c r="F85" i="21"/>
  <c r="G85" i="21"/>
  <c r="H23" i="21"/>
  <c r="AB23" i="21"/>
  <c r="S13" i="21"/>
  <c r="D6" i="52"/>
  <c r="D121" i="9"/>
  <c r="D7" i="52"/>
  <c r="E48" i="35"/>
  <c r="AP7" i="1"/>
  <c r="AC33" i="21"/>
  <c r="W33" i="21"/>
  <c r="S33" i="21"/>
  <c r="AA33" i="21"/>
  <c r="W32" i="21"/>
  <c r="AC32" i="21"/>
  <c r="AA32" i="21"/>
  <c r="S32" i="21"/>
  <c r="W9" i="21"/>
  <c r="AC9" i="21"/>
  <c r="AB32" i="21"/>
  <c r="AA10" i="21"/>
  <c r="S10" i="21"/>
  <c r="K19" i="6"/>
  <c r="S6" i="1"/>
  <c r="E6" i="70"/>
  <c r="U32" i="39"/>
  <c r="AB32" i="39"/>
  <c r="AC32" i="39"/>
  <c r="W19" i="37"/>
  <c r="AC19" i="37"/>
  <c r="AB11" i="37"/>
  <c r="U11" i="37"/>
  <c r="J11" i="37"/>
  <c r="W11" i="37"/>
  <c r="AC10" i="37"/>
  <c r="U11" i="34"/>
  <c r="AB11" i="34"/>
  <c r="W10" i="34"/>
  <c r="I70" i="34"/>
  <c r="J70" i="34"/>
  <c r="K70" i="34"/>
  <c r="L70" i="34"/>
  <c r="M70" i="34"/>
  <c r="J11" i="34"/>
  <c r="AC36" i="33"/>
  <c r="U36" i="33"/>
  <c r="AB36" i="33"/>
  <c r="W27" i="33"/>
  <c r="AC27" i="33"/>
  <c r="W25" i="33"/>
  <c r="AC25" i="33"/>
  <c r="AB19" i="33"/>
  <c r="U19" i="33"/>
  <c r="AA17" i="33"/>
  <c r="S17" i="33"/>
  <c r="U17" i="33"/>
  <c r="U23" i="21"/>
  <c r="AC23" i="21"/>
  <c r="W23" i="21"/>
  <c r="F1" i="67"/>
  <c r="AC11" i="37"/>
  <c r="W11" i="34"/>
  <c r="AC11" i="34"/>
  <c r="F34" i="11"/>
  <c r="C36" i="11"/>
  <c r="AG6" i="1"/>
  <c r="H109" i="9"/>
  <c r="H110" i="9"/>
  <c r="D18" i="53"/>
  <c r="B35" i="72"/>
  <c r="D16" i="53"/>
  <c r="H112" i="9"/>
  <c r="D21" i="53"/>
  <c r="B39" i="72"/>
  <c r="H111" i="9"/>
  <c r="D126" i="9"/>
  <c r="D59" i="9"/>
  <c r="M55" i="9"/>
  <c r="P21" i="43"/>
  <c r="P24" i="43"/>
  <c r="B66" i="40"/>
  <c r="L48" i="78"/>
  <c r="F8" i="80"/>
  <c r="J15" i="80"/>
  <c r="F36" i="78"/>
  <c r="M26" i="77"/>
  <c r="B11" i="76"/>
  <c r="F43" i="80"/>
  <c r="F9" i="80"/>
  <c r="M23" i="78"/>
  <c r="J15" i="77"/>
  <c r="E11" i="76"/>
  <c r="D2" i="21"/>
  <c r="F42" i="80"/>
  <c r="M9" i="78"/>
  <c r="B9" i="76"/>
  <c r="E2" i="68"/>
  <c r="F26" i="80"/>
  <c r="F37" i="80"/>
  <c r="E7" i="76"/>
  <c r="D2" i="34"/>
  <c r="F36" i="80"/>
  <c r="T9" i="1"/>
  <c r="C14" i="80"/>
  <c r="F13" i="78"/>
  <c r="M6" i="80"/>
  <c r="M29" i="80"/>
  <c r="F38" i="78"/>
  <c r="T7" i="1"/>
  <c r="T6" i="1"/>
  <c r="B13" i="76"/>
  <c r="F40" i="80"/>
  <c r="F7" i="80"/>
  <c r="M26" i="78"/>
  <c r="M29" i="77"/>
  <c r="E13" i="76"/>
  <c r="D2" i="37"/>
  <c r="M28" i="80"/>
  <c r="M29" i="78"/>
  <c r="B8" i="76"/>
  <c r="D2" i="35"/>
  <c r="C76" i="80"/>
  <c r="C17" i="78"/>
  <c r="F37" i="78"/>
  <c r="M28" i="77"/>
  <c r="B12" i="76"/>
  <c r="F20" i="31"/>
  <c r="M9" i="80"/>
  <c r="M23" i="80"/>
  <c r="J15" i="78"/>
  <c r="C76" i="77"/>
  <c r="E8" i="76"/>
  <c r="F13" i="80"/>
  <c r="F38" i="80"/>
  <c r="F6" i="78"/>
  <c r="M23" i="77"/>
  <c r="B7" i="76"/>
  <c r="M24" i="80"/>
  <c r="M8" i="80"/>
  <c r="M8" i="78"/>
  <c r="M27" i="77"/>
  <c r="M22" i="80"/>
  <c r="F16" i="78"/>
  <c r="M24" i="77"/>
  <c r="E9" i="76"/>
  <c r="E2" i="69"/>
  <c r="L47" i="80"/>
  <c r="M6" i="78"/>
  <c r="M22" i="77"/>
  <c r="B10" i="76"/>
  <c r="D2" i="33"/>
  <c r="F16" i="80"/>
  <c r="M27" i="80"/>
  <c r="F26" i="78"/>
  <c r="L47" i="77"/>
  <c r="E10" i="76"/>
  <c r="M26" i="80"/>
  <c r="F6" i="80"/>
  <c r="M27" i="78"/>
  <c r="E12" i="76"/>
  <c r="D2" i="36"/>
  <c r="L56" i="78"/>
  <c r="L58" i="78"/>
  <c r="Q73" i="78"/>
  <c r="L60" i="78"/>
  <c r="Q66" i="78"/>
  <c r="J53" i="78"/>
  <c r="Q52" i="78"/>
  <c r="J57" i="78"/>
  <c r="J55" i="78"/>
  <c r="J58" i="78"/>
  <c r="Q50" i="78"/>
  <c r="L57" i="78"/>
  <c r="I54" i="78"/>
  <c r="G8" i="1"/>
  <c r="F9" i="1"/>
  <c r="I20" i="43"/>
  <c r="E48" i="43"/>
  <c r="B46" i="43"/>
  <c r="C24" i="43"/>
  <c r="G39" i="43"/>
  <c r="I39" i="43"/>
  <c r="E9" i="43"/>
  <c r="F38" i="43"/>
  <c r="C6" i="43"/>
  <c r="F34" i="43"/>
  <c r="F33" i="43"/>
  <c r="J17" i="43"/>
  <c r="I17" i="43"/>
  <c r="C16" i="43"/>
  <c r="C5" i="43"/>
  <c r="E17" i="43"/>
  <c r="F48" i="43"/>
  <c r="F65" i="80"/>
  <c r="C18" i="80"/>
  <c r="C15" i="80"/>
  <c r="C6" i="80"/>
  <c r="F66" i="80"/>
  <c r="F50" i="80"/>
  <c r="M7" i="80"/>
  <c r="J6" i="80"/>
  <c r="N59" i="80"/>
  <c r="L59" i="80"/>
  <c r="M59" i="80"/>
  <c r="Q71" i="80"/>
  <c r="C27" i="80"/>
  <c r="F64" i="80"/>
  <c r="F51" i="80"/>
  <c r="F68" i="80"/>
  <c r="F71" i="80"/>
  <c r="C49" i="78"/>
  <c r="F65" i="78"/>
  <c r="C27" i="78"/>
  <c r="C6" i="78"/>
  <c r="F66" i="78"/>
  <c r="F64" i="78"/>
  <c r="J6" i="78"/>
  <c r="Q57" i="78"/>
  <c r="Q74" i="78"/>
  <c r="Q61" i="78"/>
  <c r="F1" i="78"/>
  <c r="F65" i="77"/>
  <c r="F66" i="77"/>
  <c r="F50" i="77"/>
  <c r="N59" i="77"/>
  <c r="L59" i="77"/>
  <c r="L58" i="77"/>
  <c r="M59" i="77"/>
  <c r="Q71" i="77"/>
  <c r="F64" i="77"/>
  <c r="F51" i="77"/>
  <c r="C49" i="77"/>
  <c r="F68" i="77"/>
  <c r="F71" i="77"/>
  <c r="L57" i="77"/>
  <c r="L56" i="77"/>
  <c r="L60" i="77"/>
  <c r="I54" i="77"/>
  <c r="J57" i="77"/>
  <c r="J55" i="77"/>
  <c r="J58" i="77"/>
  <c r="Q50" i="77"/>
  <c r="F32" i="15"/>
  <c r="F60" i="15"/>
  <c r="F32" i="67"/>
  <c r="F60" i="67"/>
  <c r="F28" i="67"/>
  <c r="C92" i="9"/>
  <c r="C30" i="69"/>
  <c r="C30" i="11"/>
  <c r="F54" i="9"/>
  <c r="F28" i="15"/>
  <c r="C28" i="15"/>
  <c r="M18" i="67"/>
  <c r="F31" i="12"/>
  <c r="F30" i="68"/>
  <c r="C48" i="68"/>
  <c r="C23" i="12"/>
  <c r="E19" i="11"/>
  <c r="D22" i="15"/>
  <c r="G25" i="12"/>
  <c r="G41" i="11"/>
  <c r="G27" i="12"/>
  <c r="G41" i="68"/>
  <c r="E2" i="70"/>
  <c r="L27" i="6"/>
  <c r="T11" i="1"/>
  <c r="G1" i="67"/>
  <c r="G1" i="15"/>
  <c r="G1" i="68"/>
  <c r="F22" i="43"/>
  <c r="J101" i="43"/>
  <c r="J104" i="43"/>
  <c r="I101" i="43"/>
  <c r="I104" i="43"/>
  <c r="K101" i="43"/>
  <c r="K104" i="43"/>
  <c r="D9" i="11"/>
  <c r="C9" i="11"/>
  <c r="D9" i="69"/>
  <c r="C9" i="69"/>
  <c r="C9" i="68"/>
  <c r="D19" i="12"/>
  <c r="C19" i="12"/>
  <c r="T13" i="1"/>
  <c r="AR11" i="1"/>
  <c r="O10" i="1"/>
  <c r="P10" i="1"/>
  <c r="C36" i="69"/>
  <c r="H22" i="43"/>
  <c r="G101" i="43"/>
  <c r="G109" i="43"/>
  <c r="G22" i="43"/>
  <c r="D101" i="43"/>
  <c r="D107" i="43"/>
  <c r="N104" i="46"/>
  <c r="C101" i="43"/>
  <c r="C103" i="43"/>
  <c r="N101" i="43"/>
  <c r="N102" i="43"/>
  <c r="B113" i="43"/>
  <c r="I117" i="43"/>
  <c r="J117" i="43"/>
  <c r="K117" i="43"/>
  <c r="L117" i="43"/>
  <c r="M117" i="43"/>
  <c r="I107" i="43"/>
  <c r="J22" i="43"/>
  <c r="Y11" i="43"/>
  <c r="Y13" i="43"/>
  <c r="AA11" i="43"/>
  <c r="AA13" i="43"/>
  <c r="AC11" i="43"/>
  <c r="AC13" i="43"/>
  <c r="AE11" i="43"/>
  <c r="AE13" i="43"/>
  <c r="AG11" i="43"/>
  <c r="AG13" i="43"/>
  <c r="AI11" i="43"/>
  <c r="AI13" i="43"/>
  <c r="Z7" i="43"/>
  <c r="Z11" i="43"/>
  <c r="Z13" i="43"/>
  <c r="AB11" i="43"/>
  <c r="AB13" i="43"/>
  <c r="AD11" i="43"/>
  <c r="AD13" i="43"/>
  <c r="AF11" i="43"/>
  <c r="AF13" i="43"/>
  <c r="AH11" i="43"/>
  <c r="AH13" i="43"/>
  <c r="AJ11" i="43"/>
  <c r="AJ13" i="43"/>
  <c r="B116" i="43"/>
  <c r="C116" i="43"/>
  <c r="E101" i="43"/>
  <c r="M101" i="43"/>
  <c r="H101" i="43"/>
  <c r="L101" i="43"/>
  <c r="E22" i="43"/>
  <c r="F101" i="43"/>
  <c r="F106" i="43"/>
  <c r="H51" i="43"/>
  <c r="H67" i="43"/>
  <c r="H59" i="43"/>
  <c r="H60" i="43"/>
  <c r="H61" i="43"/>
  <c r="M4" i="43"/>
  <c r="M5" i="43"/>
  <c r="N12" i="43"/>
  <c r="N11" i="43"/>
  <c r="M10" i="43"/>
  <c r="M2" i="43"/>
  <c r="M7" i="43"/>
  <c r="H54" i="43"/>
  <c r="H84" i="43"/>
  <c r="N9" i="43"/>
  <c r="M8" i="43"/>
  <c r="N10" i="43"/>
  <c r="H49" i="43"/>
  <c r="M11" i="43"/>
  <c r="N2" i="43"/>
  <c r="A15" i="62"/>
  <c r="B61" i="72"/>
  <c r="A2" i="9"/>
  <c r="A4" i="52"/>
  <c r="B41" i="72"/>
  <c r="B19" i="53"/>
  <c r="B37" i="72"/>
  <c r="B13" i="53"/>
  <c r="B29" i="72"/>
  <c r="G12" i="1"/>
  <c r="G7" i="1"/>
  <c r="E21" i="49"/>
  <c r="E4" i="49"/>
  <c r="E6" i="49"/>
  <c r="B6" i="49"/>
  <c r="B13" i="49"/>
  <c r="B16" i="49"/>
  <c r="J56" i="9"/>
  <c r="J57" i="9"/>
  <c r="J59" i="9"/>
  <c r="J61" i="9"/>
  <c r="N56" i="9"/>
  <c r="K56" i="9"/>
  <c r="P25" i="43"/>
  <c r="D63" i="40"/>
  <c r="E63" i="40"/>
  <c r="E9" i="49"/>
  <c r="B11" i="49"/>
  <c r="E4" i="4"/>
  <c r="B5" i="62"/>
  <c r="B73" i="72"/>
  <c r="E7" i="49"/>
  <c r="B10" i="49"/>
  <c r="E11" i="49"/>
  <c r="B8" i="49"/>
  <c r="C4" i="4"/>
  <c r="B4" i="49"/>
  <c r="E5" i="49"/>
  <c r="E10" i="49"/>
  <c r="E8" i="49"/>
  <c r="E16" i="49"/>
  <c r="B9" i="49"/>
  <c r="B5" i="49"/>
  <c r="E22" i="49"/>
  <c r="B14" i="49"/>
  <c r="B7" i="49"/>
  <c r="B22" i="49"/>
  <c r="D127" i="9"/>
  <c r="D13" i="52"/>
  <c r="I14" i="74"/>
  <c r="B8" i="74"/>
  <c r="D12" i="52"/>
  <c r="E58" i="21"/>
  <c r="F58" i="21"/>
  <c r="G58" i="21"/>
  <c r="H58" i="21"/>
  <c r="I58" i="21"/>
  <c r="J58" i="21"/>
  <c r="K58" i="21"/>
  <c r="L58" i="21"/>
  <c r="M58" i="21"/>
  <c r="N58" i="21"/>
  <c r="O58" i="21"/>
  <c r="J7" i="21"/>
  <c r="D19" i="53"/>
  <c r="O19" i="43"/>
  <c r="C70" i="39"/>
  <c r="D68" i="39"/>
  <c r="D103" i="43"/>
  <c r="O9" i="1"/>
  <c r="P9" i="1"/>
  <c r="AA20" i="35"/>
  <c r="S20" i="35"/>
  <c r="AB12" i="37"/>
  <c r="U12" i="37"/>
  <c r="W13" i="39"/>
  <c r="AC13" i="39"/>
  <c r="S14" i="39"/>
  <c r="AA14" i="39"/>
  <c r="U13" i="34"/>
  <c r="AB13" i="34"/>
  <c r="S44" i="33"/>
  <c r="AA44" i="33"/>
  <c r="S14" i="33"/>
  <c r="AA14" i="33"/>
  <c r="U40" i="37"/>
  <c r="AB40" i="37"/>
  <c r="W29" i="37"/>
  <c r="AC29" i="37"/>
  <c r="AC13" i="36"/>
  <c r="W13" i="36"/>
  <c r="AA11" i="36"/>
  <c r="S11" i="36"/>
  <c r="AB32" i="36"/>
  <c r="U32" i="36"/>
  <c r="AC11" i="35"/>
  <c r="W11" i="35"/>
  <c r="W30" i="34"/>
  <c r="AC30" i="34"/>
  <c r="AA45" i="33"/>
  <c r="S45" i="33"/>
  <c r="S29" i="33"/>
  <c r="AA29" i="33"/>
  <c r="AC29" i="33"/>
  <c r="W29" i="33"/>
  <c r="AB13" i="33"/>
  <c r="U13" i="33"/>
  <c r="S33" i="35"/>
  <c r="AA33" i="35"/>
  <c r="U26" i="33"/>
  <c r="AB26" i="33"/>
  <c r="AA19" i="34"/>
  <c r="S19" i="34"/>
  <c r="W30" i="35"/>
  <c r="AC30" i="35"/>
  <c r="AB34" i="37"/>
  <c r="U34" i="37"/>
  <c r="P22" i="43"/>
  <c r="D124" i="9"/>
  <c r="H7" i="21"/>
  <c r="C13" i="12"/>
  <c r="D65" i="40"/>
  <c r="AA23" i="33"/>
  <c r="W23" i="37"/>
  <c r="F48" i="35"/>
  <c r="F46" i="36"/>
  <c r="I105" i="43"/>
  <c r="AB23" i="33"/>
  <c r="AA32" i="39"/>
  <c r="C24" i="12"/>
  <c r="O6" i="1"/>
  <c r="P6" i="1"/>
  <c r="AQ13" i="1"/>
  <c r="S8" i="34"/>
  <c r="S40" i="37"/>
  <c r="U11" i="39"/>
  <c r="O11" i="1"/>
  <c r="P11" i="1"/>
  <c r="C31" i="12"/>
  <c r="E58" i="33"/>
  <c r="F58" i="33"/>
  <c r="G58" i="33"/>
  <c r="H58" i="33"/>
  <c r="I58" i="33"/>
  <c r="J58" i="33"/>
  <c r="K58" i="33"/>
  <c r="L58" i="33"/>
  <c r="M58" i="33"/>
  <c r="N58" i="33"/>
  <c r="O58" i="33"/>
  <c r="F7" i="33"/>
  <c r="H7" i="33"/>
  <c r="S13" i="34"/>
  <c r="U15" i="37"/>
  <c r="AC26" i="36"/>
  <c r="O12" i="1"/>
  <c r="P12" i="1"/>
  <c r="AQ12" i="1"/>
  <c r="AR12" i="1"/>
  <c r="W39" i="34"/>
  <c r="AC39" i="34"/>
  <c r="S35" i="33"/>
  <c r="AA35" i="33"/>
  <c r="S34" i="33"/>
  <c r="AA34" i="33"/>
  <c r="AC30" i="40"/>
  <c r="W30" i="40"/>
  <c r="AC27" i="40"/>
  <c r="W27" i="40"/>
  <c r="H73" i="43"/>
  <c r="H75" i="43"/>
  <c r="H70" i="43"/>
  <c r="H72" i="43"/>
  <c r="H71" i="43"/>
  <c r="H77" i="43"/>
  <c r="D59" i="34"/>
  <c r="W15" i="39"/>
  <c r="AC15" i="39"/>
  <c r="AA15" i="39"/>
  <c r="S15" i="39"/>
  <c r="S19" i="40"/>
  <c r="AA19" i="40"/>
  <c r="U19" i="40"/>
  <c r="AB19" i="40"/>
  <c r="AC42" i="39"/>
  <c r="W42" i="39"/>
  <c r="S31" i="37"/>
  <c r="AA31" i="37"/>
  <c r="S9" i="37"/>
  <c r="AA9" i="37"/>
  <c r="W9" i="37"/>
  <c r="AC9" i="37"/>
  <c r="U31" i="33"/>
  <c r="W11" i="36"/>
  <c r="AA44" i="34"/>
  <c r="S44" i="34"/>
  <c r="S35" i="37"/>
  <c r="AA35" i="37"/>
  <c r="AC29" i="35"/>
  <c r="W29" i="35"/>
  <c r="S16" i="35"/>
  <c r="AA16" i="35"/>
  <c r="AA23" i="35"/>
  <c r="S23" i="35"/>
  <c r="AA24" i="36"/>
  <c r="S24" i="36"/>
  <c r="S26" i="21"/>
  <c r="AA26" i="21"/>
  <c r="J45" i="21"/>
  <c r="F45" i="21"/>
  <c r="H45" i="21"/>
  <c r="B34" i="72"/>
  <c r="D17" i="53"/>
  <c r="B36" i="72"/>
  <c r="G52" i="37"/>
  <c r="F7" i="21"/>
  <c r="I102" i="43"/>
  <c r="C30" i="68"/>
  <c r="C28" i="67"/>
  <c r="C77" i="9"/>
  <c r="C74" i="9"/>
  <c r="AC33" i="34"/>
  <c r="W33" i="34"/>
  <c r="U20" i="36"/>
  <c r="AB20" i="36"/>
  <c r="AC37" i="37"/>
  <c r="W37" i="37"/>
  <c r="U46" i="34"/>
  <c r="AB46" i="34"/>
  <c r="U45" i="33"/>
  <c r="AB45" i="33"/>
  <c r="S30" i="35"/>
  <c r="AA30" i="35"/>
  <c r="AA28" i="33"/>
  <c r="S28" i="33"/>
  <c r="AC15" i="34"/>
  <c r="W15" i="34"/>
  <c r="AA37" i="34"/>
  <c r="S37" i="34"/>
  <c r="AC33" i="37"/>
  <c r="W33" i="37"/>
  <c r="AA22" i="35"/>
  <c r="S22" i="35"/>
  <c r="AC8" i="34"/>
  <c r="W8" i="34"/>
  <c r="W12" i="34"/>
  <c r="AC12" i="34"/>
  <c r="AB28" i="35"/>
  <c r="U28" i="35"/>
  <c r="S31" i="36"/>
  <c r="AA31" i="36"/>
  <c r="J12" i="37"/>
  <c r="F12" i="37"/>
  <c r="S34" i="37"/>
  <c r="AA34" i="37"/>
  <c r="G30" i="6"/>
  <c r="G31" i="6"/>
  <c r="K15" i="1"/>
  <c r="AC17" i="21"/>
  <c r="W17" i="21"/>
  <c r="AQ10" i="1"/>
  <c r="AR10" i="1"/>
  <c r="AB12" i="39"/>
  <c r="U12" i="39"/>
  <c r="AA20" i="36"/>
  <c r="S20" i="36"/>
  <c r="AB44" i="34"/>
  <c r="U44" i="34"/>
  <c r="S10" i="33"/>
  <c r="AA10" i="33"/>
  <c r="S27" i="40"/>
  <c r="AA27" i="40"/>
  <c r="U27" i="40"/>
  <c r="AB27" i="40"/>
  <c r="H83" i="43"/>
  <c r="H82" i="43"/>
  <c r="H81" i="43"/>
  <c r="H88" i="43"/>
  <c r="W11" i="39"/>
  <c r="AC11" i="39"/>
  <c r="S12" i="39"/>
  <c r="AA12" i="39"/>
  <c r="S36" i="35"/>
  <c r="AA36" i="35"/>
  <c r="S22" i="31"/>
  <c r="AC36" i="37"/>
  <c r="W36" i="37"/>
  <c r="AC14" i="39"/>
  <c r="W14" i="39"/>
  <c r="W13" i="34"/>
  <c r="AC13" i="34"/>
  <c r="U14" i="33"/>
  <c r="AB14" i="33"/>
  <c r="AC40" i="37"/>
  <c r="W40" i="37"/>
  <c r="S29" i="37"/>
  <c r="AA29" i="37"/>
  <c r="AB13" i="36"/>
  <c r="U13" i="36"/>
  <c r="U11" i="36"/>
  <c r="AB11" i="36"/>
  <c r="S11" i="35"/>
  <c r="AA11" i="35"/>
  <c r="S30" i="34"/>
  <c r="AA30" i="34"/>
  <c r="W14" i="34"/>
  <c r="AC14" i="34"/>
  <c r="W45" i="33"/>
  <c r="AC45" i="33"/>
  <c r="U29" i="33"/>
  <c r="AB29" i="33"/>
  <c r="S13" i="33"/>
  <c r="AA13" i="33"/>
  <c r="S15" i="40"/>
  <c r="AA15" i="40"/>
  <c r="AA17" i="40"/>
  <c r="S17" i="40"/>
  <c r="U28" i="40"/>
  <c r="AB28" i="40"/>
  <c r="AC19" i="39"/>
  <c r="W19" i="39"/>
  <c r="AB42" i="39"/>
  <c r="U42" i="39"/>
  <c r="AA21" i="40"/>
  <c r="S21" i="40"/>
  <c r="AA17" i="39"/>
  <c r="S17" i="39"/>
  <c r="U39" i="39"/>
  <c r="AB39" i="39"/>
  <c r="AB39" i="33"/>
  <c r="U39" i="33"/>
  <c r="W33" i="36"/>
  <c r="AC33" i="36"/>
  <c r="AA29" i="36"/>
  <c r="S29" i="36"/>
  <c r="J14" i="21"/>
  <c r="F14" i="21"/>
  <c r="H14" i="21"/>
  <c r="AC29" i="21"/>
  <c r="W29" i="21"/>
  <c r="H30" i="21"/>
  <c r="F30" i="21"/>
  <c r="J30" i="21"/>
  <c r="B71" i="43"/>
  <c r="C21" i="39"/>
  <c r="B49" i="43"/>
  <c r="B74" i="43"/>
  <c r="C27" i="39"/>
  <c r="B54" i="43"/>
  <c r="F9" i="21"/>
  <c r="H9" i="21"/>
  <c r="AC40" i="33"/>
  <c r="W40" i="33"/>
  <c r="W8" i="35"/>
  <c r="AC8" i="35"/>
  <c r="S12" i="35"/>
  <c r="AA12" i="35"/>
  <c r="W12" i="35"/>
  <c r="AC12" i="35"/>
  <c r="H23" i="35"/>
  <c r="J23" i="35"/>
  <c r="AC31" i="40"/>
  <c r="W31" i="40"/>
  <c r="J39" i="40"/>
  <c r="H39" i="40"/>
  <c r="AB30" i="35"/>
  <c r="U30" i="35"/>
  <c r="AA26" i="33"/>
  <c r="S26" i="33"/>
  <c r="B77" i="43"/>
  <c r="C25" i="39"/>
  <c r="AA9" i="34"/>
  <c r="S9" i="34"/>
  <c r="J9" i="34"/>
  <c r="H9" i="34"/>
  <c r="F28" i="34"/>
  <c r="J28" i="34"/>
  <c r="AB8" i="35"/>
  <c r="U8" i="35"/>
  <c r="U12" i="35"/>
  <c r="AB12" i="35"/>
  <c r="AC28" i="35"/>
  <c r="W28" i="35"/>
  <c r="W31" i="35"/>
  <c r="AC31" i="35"/>
  <c r="AA30" i="36"/>
  <c r="S30" i="36"/>
  <c r="H35" i="39"/>
  <c r="J35" i="39"/>
  <c r="F35" i="39"/>
  <c r="J12" i="36"/>
  <c r="H12" i="36"/>
  <c r="J24" i="36"/>
  <c r="H24" i="36"/>
  <c r="F38" i="40"/>
  <c r="J38" i="40"/>
  <c r="H38" i="40"/>
  <c r="D108" i="43"/>
  <c r="D100" i="43"/>
  <c r="B75" i="43"/>
  <c r="B66" i="43"/>
  <c r="C29" i="39"/>
  <c r="AA18" i="35"/>
  <c r="S18" i="35"/>
  <c r="T42" i="71"/>
  <c r="D42" i="71"/>
  <c r="N47" i="71"/>
  <c r="N48" i="71"/>
  <c r="Y14" i="71"/>
  <c r="Z14" i="71"/>
  <c r="Y13" i="71"/>
  <c r="Z13" i="71"/>
  <c r="Y15" i="71"/>
  <c r="Z15" i="71"/>
  <c r="C16" i="71"/>
  <c r="AB12" i="71"/>
  <c r="F16" i="71"/>
  <c r="F17" i="71"/>
  <c r="F18" i="71"/>
  <c r="V18" i="71"/>
  <c r="AB9" i="71"/>
  <c r="AA15" i="71"/>
  <c r="AA14" i="71"/>
  <c r="AA16" i="71"/>
  <c r="AA11" i="71"/>
  <c r="AA17" i="71"/>
  <c r="AA9" i="71"/>
  <c r="Y6" i="71"/>
  <c r="Z6" i="71"/>
  <c r="AB6" i="71"/>
  <c r="F3" i="35"/>
  <c r="D24" i="67"/>
  <c r="D23" i="67"/>
  <c r="D22" i="67"/>
  <c r="AC18" i="36"/>
  <c r="W18" i="36"/>
  <c r="AB29" i="39"/>
  <c r="U29" i="39"/>
  <c r="B55" i="43"/>
  <c r="AA29" i="39"/>
  <c r="S29" i="39"/>
  <c r="D26" i="71"/>
  <c r="E9" i="71"/>
  <c r="E8" i="71"/>
  <c r="V10" i="71"/>
  <c r="T10" i="71"/>
  <c r="C9" i="71"/>
  <c r="M108" i="43"/>
  <c r="M100" i="43"/>
  <c r="I108" i="43"/>
  <c r="I100" i="43"/>
  <c r="E108" i="43"/>
  <c r="E100" i="43"/>
  <c r="AB3" i="71"/>
  <c r="AB8" i="71"/>
  <c r="AB10" i="71"/>
  <c r="B10" i="71"/>
  <c r="X8" i="71"/>
  <c r="X3" i="71"/>
  <c r="X7" i="71"/>
  <c r="X10" i="71"/>
  <c r="Y11" i="71"/>
  <c r="Z11" i="71"/>
  <c r="Y3" i="71"/>
  <c r="Z3" i="71"/>
  <c r="Y7" i="71"/>
  <c r="Z7" i="71"/>
  <c r="Y8" i="71"/>
  <c r="Z8" i="71"/>
  <c r="Y9" i="71"/>
  <c r="Z9" i="71"/>
  <c r="Y10" i="71"/>
  <c r="Z10" i="71"/>
  <c r="C12" i="71"/>
  <c r="AB11" i="71"/>
  <c r="AA12" i="71"/>
  <c r="AA13" i="71"/>
  <c r="AA3" i="71"/>
  <c r="AA8" i="71"/>
  <c r="AA10" i="71"/>
  <c r="Y19" i="71"/>
  <c r="Z19" i="71"/>
  <c r="C33" i="71"/>
  <c r="D32" i="71"/>
  <c r="C37" i="71"/>
  <c r="D36" i="71"/>
  <c r="E18" i="71"/>
  <c r="U18" i="71"/>
  <c r="Y12" i="71"/>
  <c r="Z12" i="71"/>
  <c r="AB13" i="71"/>
  <c r="Y16" i="71"/>
  <c r="Z16" i="71"/>
  <c r="X15" i="71"/>
  <c r="X16" i="71"/>
  <c r="X17" i="71"/>
  <c r="AB17" i="71"/>
  <c r="Y20" i="71"/>
  <c r="Z20" i="71"/>
  <c r="P50" i="71"/>
  <c r="E49" i="71"/>
  <c r="V50" i="71"/>
  <c r="F49" i="71"/>
  <c r="AA5" i="71"/>
  <c r="X6" i="71"/>
  <c r="AB5" i="71"/>
  <c r="J1" i="73"/>
  <c r="AA6" i="71"/>
  <c r="Y5" i="71"/>
  <c r="Z5" i="71"/>
  <c r="X5" i="71"/>
  <c r="F31" i="67"/>
  <c r="M17" i="15"/>
  <c r="F31" i="15"/>
  <c r="L48" i="80"/>
  <c r="C17" i="80"/>
  <c r="M8" i="15"/>
  <c r="L47" i="15"/>
  <c r="L47" i="67"/>
  <c r="C76" i="15"/>
  <c r="M27" i="67"/>
  <c r="M9" i="67"/>
  <c r="L48" i="15"/>
  <c r="F26" i="15"/>
  <c r="F36" i="67"/>
  <c r="C14" i="15"/>
  <c r="AE8" i="1"/>
  <c r="F6" i="73"/>
  <c r="F43" i="67"/>
  <c r="F9" i="67"/>
  <c r="F7" i="15"/>
  <c r="M29" i="15"/>
  <c r="R8" i="1"/>
  <c r="R7" i="1"/>
  <c r="M21" i="67"/>
  <c r="F9" i="15"/>
  <c r="C16" i="80"/>
  <c r="M6" i="15"/>
  <c r="F43" i="15"/>
  <c r="M28" i="15"/>
  <c r="F37" i="15"/>
  <c r="F6" i="15"/>
  <c r="M24" i="67"/>
  <c r="J15" i="67"/>
  <c r="J15" i="15"/>
  <c r="F13" i="15"/>
  <c r="M26" i="67"/>
  <c r="M29" i="67"/>
  <c r="M28" i="67"/>
  <c r="M23" i="15"/>
  <c r="F8" i="67"/>
  <c r="J53" i="15"/>
  <c r="F1" i="15"/>
  <c r="AE7" i="1"/>
  <c r="F41" i="67"/>
  <c r="C76" i="67"/>
  <c r="F6" i="67"/>
  <c r="F16" i="67"/>
  <c r="M23" i="67"/>
  <c r="F36" i="15"/>
  <c r="F40" i="67"/>
  <c r="F35" i="67"/>
  <c r="F40" i="15"/>
  <c r="L48" i="67"/>
  <c r="M26" i="15"/>
  <c r="F7" i="73"/>
  <c r="M24" i="15"/>
  <c r="F38" i="67"/>
  <c r="F26" i="67"/>
  <c r="M27" i="15"/>
  <c r="M8" i="67"/>
  <c r="F38" i="15"/>
  <c r="F5" i="73"/>
  <c r="F8" i="15"/>
  <c r="F3" i="73"/>
  <c r="F37" i="67"/>
  <c r="F16" i="15"/>
  <c r="F13" i="67"/>
  <c r="F42" i="15"/>
  <c r="M22" i="67"/>
  <c r="M9" i="15"/>
  <c r="F42" i="67"/>
  <c r="F7" i="67"/>
  <c r="M22" i="15"/>
  <c r="M6" i="67"/>
  <c r="Q60" i="78"/>
  <c r="I109" i="43"/>
  <c r="I103" i="43"/>
  <c r="I106" i="43"/>
  <c r="D109" i="43"/>
  <c r="J105" i="43"/>
  <c r="L58" i="80"/>
  <c r="Q73" i="80"/>
  <c r="L57" i="80"/>
  <c r="L60" i="80"/>
  <c r="Q57" i="80"/>
  <c r="J57" i="80"/>
  <c r="J55" i="80"/>
  <c r="J58" i="80"/>
  <c r="Q50" i="80"/>
  <c r="J59" i="80"/>
  <c r="L56" i="80"/>
  <c r="I54" i="80"/>
  <c r="J53" i="80"/>
  <c r="F1" i="80"/>
  <c r="J60" i="80"/>
  <c r="Q48" i="80"/>
  <c r="G9" i="1"/>
  <c r="G103" i="43"/>
  <c r="G106" i="43"/>
  <c r="G104" i="43"/>
  <c r="K102" i="43"/>
  <c r="F102" i="43"/>
  <c r="D22" i="43"/>
  <c r="J102" i="43"/>
  <c r="N107" i="43"/>
  <c r="J103" i="43"/>
  <c r="J109" i="43"/>
  <c r="D5" i="43"/>
  <c r="H52" i="43"/>
  <c r="H50" i="43"/>
  <c r="H55" i="43"/>
  <c r="H48" i="43"/>
  <c r="H53" i="43"/>
  <c r="H56" i="43"/>
  <c r="C49" i="80"/>
  <c r="C19" i="80"/>
  <c r="Q61" i="80"/>
  <c r="Q74" i="80"/>
  <c r="Q52" i="77"/>
  <c r="Q60" i="77"/>
  <c r="Q73" i="77"/>
  <c r="Q66" i="77"/>
  <c r="Q57" i="77"/>
  <c r="Q61" i="77"/>
  <c r="Q74" i="77"/>
  <c r="L56" i="15"/>
  <c r="K105" i="43"/>
  <c r="K103" i="43"/>
  <c r="D106" i="43"/>
  <c r="J107" i="43"/>
  <c r="I118" i="43"/>
  <c r="J118" i="43"/>
  <c r="K118" i="43"/>
  <c r="L118" i="43"/>
  <c r="M118" i="43"/>
  <c r="K107" i="43"/>
  <c r="J106" i="43"/>
  <c r="K109" i="43"/>
  <c r="K106" i="43"/>
  <c r="F64" i="67"/>
  <c r="F70" i="67"/>
  <c r="C34" i="67"/>
  <c r="F63" i="67"/>
  <c r="C62" i="67"/>
  <c r="F71" i="67"/>
  <c r="F50" i="15"/>
  <c r="M7" i="15"/>
  <c r="J6" i="15"/>
  <c r="F66" i="15"/>
  <c r="E51" i="40"/>
  <c r="E56" i="39"/>
  <c r="M109" i="43"/>
  <c r="N105" i="43"/>
  <c r="N104" i="43"/>
  <c r="G105" i="43"/>
  <c r="G102" i="43"/>
  <c r="G107" i="43"/>
  <c r="B115" i="43"/>
  <c r="C115" i="43"/>
  <c r="I115" i="43"/>
  <c r="J115" i="43"/>
  <c r="K115" i="43"/>
  <c r="L115" i="43"/>
  <c r="M115" i="43"/>
  <c r="D118" i="43"/>
  <c r="E118" i="43"/>
  <c r="F118" i="43"/>
  <c r="I116" i="43"/>
  <c r="J116" i="43"/>
  <c r="K116" i="43"/>
  <c r="L116" i="43"/>
  <c r="M116" i="43"/>
  <c r="D116" i="43"/>
  <c r="E116" i="43"/>
  <c r="F116" i="43"/>
  <c r="G116" i="43"/>
  <c r="H116" i="43"/>
  <c r="B117" i="43"/>
  <c r="C117" i="43"/>
  <c r="C104" i="43"/>
  <c r="C106" i="43"/>
  <c r="C105" i="43"/>
  <c r="D102" i="43"/>
  <c r="D105" i="43"/>
  <c r="E109" i="43"/>
  <c r="D104" i="43"/>
  <c r="D117" i="43"/>
  <c r="E117" i="43"/>
  <c r="F117" i="43"/>
  <c r="G117" i="43"/>
  <c r="H117" i="43"/>
  <c r="C107" i="43"/>
  <c r="G118" i="43"/>
  <c r="H118" i="43"/>
  <c r="B118" i="43"/>
  <c r="C118" i="43"/>
  <c r="D115" i="43"/>
  <c r="C102" i="43"/>
  <c r="S5" i="43"/>
  <c r="C109" i="43"/>
  <c r="N103" i="43"/>
  <c r="N109" i="43"/>
  <c r="N106" i="43"/>
  <c r="F103" i="43"/>
  <c r="F107" i="43"/>
  <c r="F109" i="43"/>
  <c r="L106" i="43"/>
  <c r="L107" i="43"/>
  <c r="L103" i="43"/>
  <c r="L109" i="43"/>
  <c r="L105" i="43"/>
  <c r="L102" i="43"/>
  <c r="L104" i="43"/>
  <c r="M104" i="43"/>
  <c r="M107" i="43"/>
  <c r="M105" i="43"/>
  <c r="M106" i="43"/>
  <c r="M102" i="43"/>
  <c r="M103" i="43"/>
  <c r="E115" i="43"/>
  <c r="F115" i="43"/>
  <c r="G115" i="43"/>
  <c r="H115" i="43"/>
  <c r="S2" i="43"/>
  <c r="S6" i="43"/>
  <c r="S4" i="43"/>
  <c r="F105" i="43"/>
  <c r="F104" i="43"/>
  <c r="H107" i="43"/>
  <c r="H106" i="43"/>
  <c r="H105" i="43"/>
  <c r="H102" i="43"/>
  <c r="H104" i="43"/>
  <c r="H103" i="43"/>
  <c r="H109" i="43"/>
  <c r="E104" i="43"/>
  <c r="E107" i="43"/>
  <c r="E105" i="43"/>
  <c r="E102" i="43"/>
  <c r="E103" i="43"/>
  <c r="E106" i="43"/>
  <c r="C23" i="43"/>
  <c r="C21" i="43"/>
  <c r="B4" i="62"/>
  <c r="B71" i="72"/>
  <c r="K4" i="4"/>
  <c r="B46" i="48"/>
  <c r="B4" i="72"/>
  <c r="F63" i="40"/>
  <c r="E65" i="40"/>
  <c r="F71" i="15"/>
  <c r="Q71" i="15"/>
  <c r="C27" i="15"/>
  <c r="F68" i="15"/>
  <c r="F64" i="15"/>
  <c r="C6" i="15"/>
  <c r="F69" i="67"/>
  <c r="F65" i="67"/>
  <c r="F50" i="67"/>
  <c r="M7" i="67"/>
  <c r="C6" i="67"/>
  <c r="F68" i="67"/>
  <c r="L58" i="67"/>
  <c r="L59" i="67"/>
  <c r="N59" i="67"/>
  <c r="M59" i="67"/>
  <c r="I54" i="67"/>
  <c r="L56" i="67"/>
  <c r="J57" i="67"/>
  <c r="J55" i="67"/>
  <c r="J58" i="67"/>
  <c r="Q50" i="67"/>
  <c r="C27" i="67"/>
  <c r="I54" i="15"/>
  <c r="J57" i="15"/>
  <c r="J55" i="15"/>
  <c r="J58" i="15"/>
  <c r="Q50" i="15"/>
  <c r="C18" i="15"/>
  <c r="C15" i="15"/>
  <c r="F51" i="15"/>
  <c r="M59" i="15"/>
  <c r="N59" i="15"/>
  <c r="L59" i="15"/>
  <c r="L58" i="15"/>
  <c r="F65" i="15"/>
  <c r="J20" i="67"/>
  <c r="F51" i="67"/>
  <c r="F66" i="67"/>
  <c r="Q71" i="67"/>
  <c r="C13" i="71"/>
  <c r="D12" i="71"/>
  <c r="C17" i="71"/>
  <c r="D16" i="71"/>
  <c r="AC38" i="40"/>
  <c r="W38" i="40"/>
  <c r="AB24" i="36"/>
  <c r="U24" i="36"/>
  <c r="U12" i="36"/>
  <c r="AB12" i="36"/>
  <c r="S35" i="39"/>
  <c r="AA35" i="39"/>
  <c r="AB35" i="39"/>
  <c r="U35" i="39"/>
  <c r="S28" i="34"/>
  <c r="AA28" i="34"/>
  <c r="W9" i="34"/>
  <c r="AC9" i="34"/>
  <c r="U39" i="40"/>
  <c r="AB39" i="40"/>
  <c r="AC23" i="35"/>
  <c r="W23" i="35"/>
  <c r="U9" i="21"/>
  <c r="AB9" i="21"/>
  <c r="W30" i="21"/>
  <c r="AC30" i="21"/>
  <c r="U30" i="21"/>
  <c r="AB30" i="21"/>
  <c r="AA14" i="21"/>
  <c r="S14" i="21"/>
  <c r="B20" i="31"/>
  <c r="R22" i="31"/>
  <c r="B21" i="31"/>
  <c r="E12" i="6"/>
  <c r="E13" i="6"/>
  <c r="E11" i="6"/>
  <c r="E14" i="6"/>
  <c r="E10" i="6"/>
  <c r="E15" i="6"/>
  <c r="S12" i="37"/>
  <c r="AA12" i="37"/>
  <c r="AT6" i="3"/>
  <c r="AA7" i="21"/>
  <c r="R48" i="21"/>
  <c r="S7" i="21"/>
  <c r="AB45" i="21"/>
  <c r="U45" i="21"/>
  <c r="W45" i="21"/>
  <c r="AC45" i="21"/>
  <c r="E59" i="34"/>
  <c r="AA7" i="33"/>
  <c r="R48" i="33"/>
  <c r="S7" i="33"/>
  <c r="D70" i="39"/>
  <c r="E68" i="39"/>
  <c r="Q49" i="71"/>
  <c r="F48" i="71"/>
  <c r="E48" i="71"/>
  <c r="P49" i="71"/>
  <c r="D37" i="71"/>
  <c r="C38" i="71"/>
  <c r="D33" i="71"/>
  <c r="C34" i="71"/>
  <c r="D20" i="71"/>
  <c r="S10" i="71"/>
  <c r="B9" i="71"/>
  <c r="B8" i="71"/>
  <c r="D9" i="71"/>
  <c r="C8" i="71"/>
  <c r="D8" i="71"/>
  <c r="M8" i="1"/>
  <c r="G16" i="1"/>
  <c r="Q16" i="1"/>
  <c r="H16" i="1"/>
  <c r="AB38" i="40"/>
  <c r="U38" i="40"/>
  <c r="S38" i="40"/>
  <c r="AA38" i="40"/>
  <c r="AC24" i="36"/>
  <c r="W24" i="36"/>
  <c r="AC12" i="36"/>
  <c r="W12" i="36"/>
  <c r="AC35" i="39"/>
  <c r="W35" i="39"/>
  <c r="W28" i="34"/>
  <c r="AC28" i="34"/>
  <c r="AB9" i="34"/>
  <c r="U9" i="34"/>
  <c r="AC39" i="40"/>
  <c r="W39" i="40"/>
  <c r="U23" i="35"/>
  <c r="AB23" i="35"/>
  <c r="S9" i="21"/>
  <c r="AA9" i="21"/>
  <c r="AA30" i="21"/>
  <c r="S30" i="21"/>
  <c r="AB14" i="21"/>
  <c r="U14" i="21"/>
  <c r="W14" i="21"/>
  <c r="AC14" i="21"/>
  <c r="W12" i="37"/>
  <c r="AC12" i="37"/>
  <c r="H52" i="37"/>
  <c r="S45" i="21"/>
  <c r="AA45" i="21"/>
  <c r="U7" i="33"/>
  <c r="AB7" i="33"/>
  <c r="T48" i="33"/>
  <c r="G48" i="33"/>
  <c r="J7" i="33"/>
  <c r="G46" i="36"/>
  <c r="G48" i="35"/>
  <c r="AB7" i="21"/>
  <c r="T48" i="21"/>
  <c r="G48" i="21"/>
  <c r="U7" i="21"/>
  <c r="D10" i="52"/>
  <c r="D125" i="9"/>
  <c r="D11" i="52"/>
  <c r="H14" i="74"/>
  <c r="B7" i="74"/>
  <c r="B38" i="72"/>
  <c r="D20" i="53"/>
  <c r="B40" i="72"/>
  <c r="AC7" i="21"/>
  <c r="V48" i="21"/>
  <c r="I48" i="21"/>
  <c r="W7" i="21"/>
  <c r="M17" i="67"/>
  <c r="F59" i="67"/>
  <c r="F59" i="15"/>
  <c r="D7" i="73"/>
  <c r="C16" i="15"/>
  <c r="C16" i="78"/>
  <c r="C14" i="67"/>
  <c r="T8" i="1"/>
  <c r="C14" i="78"/>
  <c r="C17" i="15"/>
  <c r="C16" i="67"/>
  <c r="D3" i="73"/>
  <c r="C17" i="67"/>
  <c r="D6" i="73"/>
  <c r="AE9" i="1"/>
  <c r="Q60" i="80"/>
  <c r="Q66" i="80"/>
  <c r="Q52" i="80"/>
  <c r="L46" i="80"/>
  <c r="C18" i="78"/>
  <c r="C15" i="78"/>
  <c r="C18" i="67"/>
  <c r="C15" i="67"/>
  <c r="F11" i="80"/>
  <c r="M11" i="80"/>
  <c r="J10" i="80"/>
  <c r="J5" i="80"/>
  <c r="C20" i="80"/>
  <c r="C26" i="80"/>
  <c r="M11" i="78"/>
  <c r="J10" i="78"/>
  <c r="J5" i="78"/>
  <c r="F11" i="78"/>
  <c r="Q52" i="15"/>
  <c r="E16" i="6"/>
  <c r="S7" i="43"/>
  <c r="S3" i="43"/>
  <c r="D113" i="43"/>
  <c r="G63" i="40"/>
  <c r="F65" i="40"/>
  <c r="C49" i="67"/>
  <c r="C19" i="15"/>
  <c r="G52" i="21"/>
  <c r="H52" i="21"/>
  <c r="G53" i="21"/>
  <c r="H53" i="21"/>
  <c r="G52" i="33"/>
  <c r="H52" i="33"/>
  <c r="F27" i="11"/>
  <c r="F28" i="12"/>
  <c r="C29" i="12"/>
  <c r="D28" i="12"/>
  <c r="F27" i="69"/>
  <c r="O8" i="1"/>
  <c r="P8" i="1"/>
  <c r="D21" i="71"/>
  <c r="T34" i="71"/>
  <c r="D34" i="71"/>
  <c r="T38" i="71"/>
  <c r="D38" i="71"/>
  <c r="Q48" i="71"/>
  <c r="Q47" i="71"/>
  <c r="F68" i="39"/>
  <c r="E70" i="39"/>
  <c r="F59" i="34"/>
  <c r="G59" i="34"/>
  <c r="H59" i="34"/>
  <c r="I59" i="34"/>
  <c r="J59" i="34"/>
  <c r="K59" i="34"/>
  <c r="L59" i="34"/>
  <c r="M59" i="34"/>
  <c r="N59" i="34"/>
  <c r="O59" i="34"/>
  <c r="J7" i="34"/>
  <c r="H7" i="34"/>
  <c r="E53" i="3"/>
  <c r="E175" i="3"/>
  <c r="E217" i="3"/>
  <c r="E366" i="3"/>
  <c r="E530" i="3"/>
  <c r="E526" i="3"/>
  <c r="E501" i="3"/>
  <c r="E343" i="3"/>
  <c r="E268" i="3"/>
  <c r="E153" i="3"/>
  <c r="E282" i="3"/>
  <c r="E322" i="3"/>
  <c r="E69" i="3"/>
  <c r="E114" i="3"/>
  <c r="E278" i="3"/>
  <c r="E415" i="3"/>
  <c r="E395" i="3"/>
  <c r="E172" i="3"/>
  <c r="E260" i="3"/>
  <c r="E445" i="3"/>
  <c r="E503" i="3"/>
  <c r="E535" i="3"/>
  <c r="E302" i="3"/>
  <c r="E329" i="3"/>
  <c r="E347" i="3"/>
  <c r="AA6" i="3"/>
  <c r="E510" i="3"/>
  <c r="E399" i="3"/>
  <c r="E461" i="3"/>
  <c r="E336" i="3"/>
  <c r="E280" i="3"/>
  <c r="E227" i="3"/>
  <c r="E246" i="3"/>
  <c r="E205" i="3"/>
  <c r="E124" i="3"/>
  <c r="E165" i="3"/>
  <c r="E293" i="3"/>
  <c r="E128" i="3"/>
  <c r="E397" i="3"/>
  <c r="E353" i="3"/>
  <c r="E314" i="3"/>
  <c r="E385" i="3"/>
  <c r="E495" i="3"/>
  <c r="E518" i="3"/>
  <c r="I6" i="3"/>
  <c r="AN6" i="3"/>
  <c r="E16" i="3"/>
  <c r="AI6" i="3"/>
  <c r="AK6" i="3"/>
  <c r="E578" i="3"/>
  <c r="E549" i="3"/>
  <c r="E402" i="3"/>
  <c r="E434" i="3"/>
  <c r="E423" i="3"/>
  <c r="E453" i="3"/>
  <c r="E306" i="3"/>
  <c r="E382" i="3"/>
  <c r="E368"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AD6" i="3"/>
  <c r="E499" i="3"/>
  <c r="E542" i="3"/>
  <c r="U6" i="3"/>
  <c r="E552" i="3"/>
  <c r="E502" i="3"/>
  <c r="E421" i="3"/>
  <c r="E411" i="3"/>
  <c r="E442" i="3"/>
  <c r="E448" i="3"/>
  <c r="E464" i="3"/>
  <c r="E478" i="3"/>
  <c r="E466" i="3"/>
  <c r="E485" i="3"/>
  <c r="E487" i="3"/>
  <c r="E541" i="3"/>
  <c r="E398" i="3"/>
  <c r="E414" i="3"/>
  <c r="E430" i="3"/>
  <c r="E400" i="3"/>
  <c r="E416" i="3"/>
  <c r="E432" i="3"/>
  <c r="E449" i="3"/>
  <c r="E443" i="3"/>
  <c r="E459" i="3"/>
  <c r="E477" i="3"/>
  <c r="E255" i="3"/>
  <c r="E345" i="3"/>
  <c r="E374" i="3"/>
  <c r="E367" i="3"/>
  <c r="I3" i="6"/>
  <c r="E558" i="3"/>
  <c r="E566" i="3"/>
  <c r="E505" i="3"/>
  <c r="AP6" i="3"/>
  <c r="E554" i="3"/>
  <c r="E581" i="3"/>
  <c r="E582" i="3"/>
  <c r="AS6" i="3"/>
  <c r="E517" i="3"/>
  <c r="E531"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78" i="3"/>
  <c r="E349" i="3"/>
  <c r="E334" i="3"/>
  <c r="E375" i="3"/>
  <c r="E384" i="3"/>
  <c r="E389" i="3"/>
  <c r="E572" i="3"/>
  <c r="E50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15" i="3"/>
  <c r="E455" i="3"/>
  <c r="E79" i="3"/>
  <c r="E38" i="3"/>
  <c r="E100" i="3"/>
  <c r="E170" i="3"/>
  <c r="E137" i="3"/>
  <c r="E234" i="3"/>
  <c r="E219" i="3"/>
  <c r="E339" i="3"/>
  <c r="E392" i="3"/>
  <c r="E36" i="3"/>
  <c r="E123" i="3"/>
  <c r="E289" i="3"/>
  <c r="E364" i="3"/>
  <c r="E20" i="3"/>
  <c r="E176" i="3"/>
  <c r="E265" i="3"/>
  <c r="E524" i="3"/>
  <c r="E237" i="3"/>
  <c r="E304" i="3"/>
  <c r="E565" i="3"/>
  <c r="E213" i="3"/>
  <c r="E426" i="3"/>
  <c r="E508" i="3"/>
  <c r="E328" i="3"/>
  <c r="O6" i="3"/>
  <c r="E555" i="3"/>
  <c r="E574" i="3"/>
  <c r="E410" i="3"/>
  <c r="E359" i="3"/>
  <c r="E337" i="3"/>
  <c r="E285" i="3"/>
  <c r="E143" i="3"/>
  <c r="E97" i="3"/>
  <c r="E270" i="3"/>
  <c r="E533" i="3"/>
  <c r="S6" i="3"/>
  <c r="AR6" i="3"/>
  <c r="E523" i="3"/>
  <c r="E561" i="3"/>
  <c r="E506" i="3"/>
  <c r="E538"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61" i="3"/>
  <c r="E528" i="3"/>
  <c r="E183" i="3"/>
  <c r="E361" i="3"/>
  <c r="N6" i="3"/>
  <c r="AJ6" i="3"/>
  <c r="E473" i="3"/>
  <c r="E194" i="3"/>
  <c r="E299" i="3"/>
  <c r="E325" i="3"/>
  <c r="AQ6" i="3"/>
  <c r="E52" i="3"/>
  <c r="E112" i="3"/>
  <c r="E147" i="3"/>
  <c r="E340" i="3"/>
  <c r="E50" i="3"/>
  <c r="E62" i="3"/>
  <c r="E218" i="3"/>
  <c r="E365" i="3"/>
  <c r="E101" i="3"/>
  <c r="E161" i="3"/>
  <c r="E390" i="3"/>
  <c r="E321" i="3"/>
  <c r="E193" i="3"/>
  <c r="E125" i="3"/>
  <c r="E377" i="3"/>
  <c r="E310" i="3"/>
  <c r="E515" i="3"/>
  <c r="E557" i="3"/>
  <c r="E567" i="3"/>
  <c r="E583" i="3"/>
  <c r="E545" i="3"/>
  <c r="E363" i="3"/>
  <c r="E312" i="3"/>
  <c r="E352" i="3"/>
  <c r="E317" i="3"/>
  <c r="E539" i="3"/>
  <c r="E568" i="3"/>
  <c r="E584" i="3"/>
  <c r="E536" i="3"/>
  <c r="E585" i="3"/>
  <c r="X6" i="3"/>
  <c r="P6" i="3"/>
  <c r="AM6" i="3"/>
  <c r="E548" i="3"/>
  <c r="E305" i="3"/>
  <c r="E13" i="3"/>
  <c r="E129" i="3"/>
  <c r="E388" i="3"/>
  <c r="E544" i="3"/>
  <c r="E157" i="3"/>
  <c r="E379" i="3"/>
  <c r="E319" i="3"/>
  <c r="E511" i="3"/>
  <c r="E563" i="3"/>
  <c r="E575" i="3"/>
  <c r="E547" i="3"/>
  <c r="E350" i="3"/>
  <c r="E550" i="3"/>
  <c r="E576" i="3"/>
  <c r="E500" i="3"/>
  <c r="E586" i="3"/>
  <c r="Z6" i="3"/>
  <c r="R6" i="3"/>
  <c r="AO6" i="3"/>
  <c r="AG6" i="3"/>
  <c r="E17" i="3"/>
  <c r="E546" i="3"/>
  <c r="E553" i="3"/>
  <c r="E56" i="40"/>
  <c r="E61" i="39"/>
  <c r="E57" i="40"/>
  <c r="E62" i="39"/>
  <c r="E521" i="3"/>
  <c r="D17" i="71"/>
  <c r="C18" i="71"/>
  <c r="Q73" i="15"/>
  <c r="Q60" i="15"/>
  <c r="C49" i="15"/>
  <c r="Q60" i="67"/>
  <c r="Q73" i="67"/>
  <c r="I52" i="21"/>
  <c r="J52" i="21"/>
  <c r="H48" i="35"/>
  <c r="H46" i="36"/>
  <c r="W7" i="33"/>
  <c r="AC7" i="33"/>
  <c r="V48" i="33"/>
  <c r="I48" i="33"/>
  <c r="I52" i="37"/>
  <c r="F10" i="39"/>
  <c r="J10" i="40"/>
  <c r="H10" i="39"/>
  <c r="F10" i="40"/>
  <c r="H10" i="40"/>
  <c r="J10" i="39"/>
  <c r="P48" i="71"/>
  <c r="P47" i="71"/>
  <c r="R49" i="33"/>
  <c r="E48" i="33"/>
  <c r="F7" i="34"/>
  <c r="E543" i="3"/>
  <c r="E48" i="21"/>
  <c r="R49" i="21"/>
  <c r="E60" i="40"/>
  <c r="E65" i="39"/>
  <c r="E59" i="40"/>
  <c r="E64" i="39"/>
  <c r="E63" i="39"/>
  <c r="E58" i="40"/>
  <c r="D13" i="71"/>
  <c r="C14" i="71"/>
  <c r="Q74" i="15"/>
  <c r="Q61" i="15"/>
  <c r="Q74" i="67"/>
  <c r="Q61" i="67"/>
  <c r="J6" i="67"/>
  <c r="M11" i="15"/>
  <c r="J10" i="15"/>
  <c r="J5" i="15"/>
  <c r="M11" i="67"/>
  <c r="J10" i="67"/>
  <c r="F11" i="15"/>
  <c r="F11" i="67"/>
  <c r="F41" i="78"/>
  <c r="C19" i="78"/>
  <c r="C20" i="78"/>
  <c r="C26" i="78"/>
  <c r="C19" i="67"/>
  <c r="C20" i="67"/>
  <c r="F69" i="78"/>
  <c r="J26" i="80"/>
  <c r="J24" i="80"/>
  <c r="J18" i="80"/>
  <c r="C53" i="80"/>
  <c r="C48" i="80"/>
  <c r="C10" i="80"/>
  <c r="C5" i="80"/>
  <c r="J24" i="78"/>
  <c r="J18" i="78"/>
  <c r="J26" i="78"/>
  <c r="J29" i="78"/>
  <c r="C53" i="78"/>
  <c r="C48" i="78"/>
  <c r="C10" i="78"/>
  <c r="C5" i="78"/>
  <c r="F69" i="77"/>
  <c r="J24" i="77"/>
  <c r="J18" i="77"/>
  <c r="C53" i="77"/>
  <c r="C48" i="77"/>
  <c r="H6" i="3"/>
  <c r="AC6" i="3"/>
  <c r="E6" i="3"/>
  <c r="H63" i="40"/>
  <c r="G65" i="40"/>
  <c r="F24" i="80"/>
  <c r="J24" i="15"/>
  <c r="J26" i="15"/>
  <c r="J18" i="15"/>
  <c r="I52" i="33"/>
  <c r="J52" i="33"/>
  <c r="I53" i="33"/>
  <c r="J53" i="33"/>
  <c r="C10" i="67"/>
  <c r="C5" i="67"/>
  <c r="C53" i="67"/>
  <c r="C48" i="67"/>
  <c r="J5" i="67"/>
  <c r="T14" i="71"/>
  <c r="D14" i="71"/>
  <c r="E53" i="21"/>
  <c r="F53" i="21"/>
  <c r="E52" i="21"/>
  <c r="F52" i="21"/>
  <c r="S7" i="34"/>
  <c r="AA7" i="34"/>
  <c r="R49" i="34"/>
  <c r="C48" i="33"/>
  <c r="C49" i="33"/>
  <c r="U10" i="40"/>
  <c r="AB10" i="40"/>
  <c r="U10" i="39"/>
  <c r="AB10" i="39"/>
  <c r="AA10" i="39"/>
  <c r="S10" i="39"/>
  <c r="J52" i="37"/>
  <c r="I46" i="36"/>
  <c r="I53" i="21"/>
  <c r="J53" i="21"/>
  <c r="E66" i="39"/>
  <c r="AB7" i="34"/>
  <c r="T49" i="34"/>
  <c r="G49" i="34"/>
  <c r="U7" i="34"/>
  <c r="G68" i="39"/>
  <c r="F70" i="39"/>
  <c r="T22" i="71"/>
  <c r="D22" i="71"/>
  <c r="D18" i="71"/>
  <c r="M20" i="43"/>
  <c r="C19" i="43"/>
  <c r="C47" i="69"/>
  <c r="D45" i="69"/>
  <c r="C29" i="69"/>
  <c r="D27" i="69"/>
  <c r="C29" i="11"/>
  <c r="D27" i="11"/>
  <c r="C47" i="11"/>
  <c r="D45" i="11"/>
  <c r="G53" i="33"/>
  <c r="H53" i="3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20" i="15"/>
  <c r="C26" i="15"/>
  <c r="C10" i="15"/>
  <c r="C5" i="15"/>
  <c r="C53" i="15"/>
  <c r="C48" i="15"/>
  <c r="C48" i="21"/>
  <c r="C49" i="21"/>
  <c r="E53" i="33"/>
  <c r="F53" i="33"/>
  <c r="E52" i="33"/>
  <c r="F52" i="33"/>
  <c r="W10" i="39"/>
  <c r="AC10" i="39"/>
  <c r="AA10" i="40"/>
  <c r="S10" i="40"/>
  <c r="AC10" i="40"/>
  <c r="W10" i="40"/>
  <c r="I48" i="35"/>
  <c r="T18" i="71"/>
  <c r="W7" i="34"/>
  <c r="AC7" i="34"/>
  <c r="V49" i="34"/>
  <c r="I49" i="34"/>
  <c r="E30" i="6"/>
  <c r="E31" i="6"/>
  <c r="K24" i="6"/>
  <c r="M24" i="6"/>
  <c r="I24" i="6"/>
  <c r="S24" i="6"/>
  <c r="K14" i="1"/>
  <c r="K25" i="6"/>
  <c r="M25" i="6"/>
  <c r="I25" i="6"/>
  <c r="S25" i="6"/>
  <c r="K23" i="6"/>
  <c r="M23" i="6"/>
  <c r="I23" i="6"/>
  <c r="S23" i="6"/>
  <c r="K26" i="6"/>
  <c r="M26" i="6"/>
  <c r="I26" i="6"/>
  <c r="S26" i="6"/>
  <c r="D3" i="21"/>
  <c r="D19" i="11"/>
  <c r="C19" i="11"/>
  <c r="D37" i="11"/>
  <c r="C37" i="11"/>
  <c r="D14" i="12"/>
  <c r="M18" i="9"/>
  <c r="B118" i="9"/>
  <c r="B14" i="74"/>
  <c r="B1" i="74"/>
  <c r="D3" i="33"/>
  <c r="D3" i="34"/>
  <c r="E6" i="6"/>
  <c r="C17" i="4"/>
  <c r="B4" i="52"/>
  <c r="B43" i="72"/>
  <c r="L18" i="9"/>
  <c r="D3" i="37"/>
  <c r="O17" i="43"/>
  <c r="N17" i="43"/>
  <c r="P17" i="43"/>
  <c r="F41" i="80"/>
  <c r="F41" i="15"/>
  <c r="F69" i="15"/>
  <c r="J29" i="15"/>
  <c r="F69" i="80"/>
  <c r="J29" i="80"/>
  <c r="C38" i="80"/>
  <c r="C33" i="80"/>
  <c r="C32" i="80"/>
  <c r="C24" i="80"/>
  <c r="C23" i="80"/>
  <c r="C66" i="80"/>
  <c r="C60" i="80"/>
  <c r="F24" i="78"/>
  <c r="C33" i="78"/>
  <c r="C32" i="78"/>
  <c r="C38" i="78"/>
  <c r="C60" i="78"/>
  <c r="C66" i="78"/>
  <c r="C66" i="77"/>
  <c r="C60" i="77"/>
  <c r="AR6" i="1"/>
  <c r="AQ6" i="1"/>
  <c r="M22" i="6"/>
  <c r="I22" i="6"/>
  <c r="S22" i="6"/>
  <c r="M20" i="6"/>
  <c r="I20" i="6"/>
  <c r="S20" i="6"/>
  <c r="S16" i="1"/>
  <c r="M21" i="6"/>
  <c r="I21" i="6"/>
  <c r="S21" i="6"/>
  <c r="I63" i="40"/>
  <c r="H65" i="40"/>
  <c r="C33" i="43"/>
  <c r="C35" i="43"/>
  <c r="C29" i="43"/>
  <c r="C34" i="43"/>
  <c r="C36" i="43"/>
  <c r="T11" i="43"/>
  <c r="V11" i="43"/>
  <c r="T14" i="43"/>
  <c r="V14" i="43"/>
  <c r="T9" i="43"/>
  <c r="V9" i="43"/>
  <c r="T7" i="43"/>
  <c r="V7" i="43"/>
  <c r="T8" i="43"/>
  <c r="V8" i="43"/>
  <c r="T13" i="43"/>
  <c r="V13" i="43"/>
  <c r="C37" i="43"/>
  <c r="C38" i="43"/>
  <c r="T16" i="43"/>
  <c r="V16" i="43"/>
  <c r="T12" i="43"/>
  <c r="V12" i="43"/>
  <c r="T15" i="43"/>
  <c r="V15" i="43"/>
  <c r="T10" i="43"/>
  <c r="V10" i="43"/>
  <c r="T6" i="43"/>
  <c r="V6" i="43"/>
  <c r="C39" i="43"/>
  <c r="E39" i="43"/>
  <c r="C60" i="15"/>
  <c r="C66" i="15"/>
  <c r="C8" i="74"/>
  <c r="C7" i="74"/>
  <c r="M19" i="6"/>
  <c r="K27" i="6"/>
  <c r="M14" i="1"/>
  <c r="K16" i="1"/>
  <c r="C34" i="69"/>
  <c r="I53" i="34"/>
  <c r="J53" i="34"/>
  <c r="B2" i="21"/>
  <c r="B3" i="21"/>
  <c r="H20" i="6"/>
  <c r="D15" i="6"/>
  <c r="R20" i="6"/>
  <c r="D6" i="6"/>
  <c r="D9" i="6"/>
  <c r="D10" i="6"/>
  <c r="L19" i="9"/>
  <c r="H25" i="6"/>
  <c r="H22" i="6"/>
  <c r="H21" i="6"/>
  <c r="H24" i="6"/>
  <c r="D5" i="6"/>
  <c r="H26" i="6"/>
  <c r="M19" i="9"/>
  <c r="C118" i="9"/>
  <c r="C14" i="74"/>
  <c r="B2" i="74"/>
  <c r="D8" i="6"/>
  <c r="D14" i="6"/>
  <c r="D12" i="6"/>
  <c r="D13" i="6"/>
  <c r="E61" i="40"/>
  <c r="H23" i="6"/>
  <c r="C18" i="4"/>
  <c r="D11" i="6"/>
  <c r="C26" i="67"/>
  <c r="H68" i="39"/>
  <c r="G70" i="39"/>
  <c r="J46" i="36"/>
  <c r="K52" i="37"/>
  <c r="L52" i="37"/>
  <c r="M52" i="37"/>
  <c r="N52" i="37"/>
  <c r="O52" i="37"/>
  <c r="J7" i="37"/>
  <c r="F7" i="37"/>
  <c r="C66" i="67"/>
  <c r="C60" i="67"/>
  <c r="D10" i="11"/>
  <c r="C10" i="11"/>
  <c r="D20" i="12"/>
  <c r="C20" i="12"/>
  <c r="C18" i="12"/>
  <c r="D10" i="69"/>
  <c r="C14" i="12"/>
  <c r="D17" i="12"/>
  <c r="C17" i="12"/>
  <c r="C20" i="11"/>
  <c r="C28" i="11"/>
  <c r="C27" i="11"/>
  <c r="J48" i="35"/>
  <c r="C32" i="15"/>
  <c r="C38" i="15"/>
  <c r="G54" i="34"/>
  <c r="H54" i="34"/>
  <c r="G53" i="34"/>
  <c r="H53" i="34"/>
  <c r="H7" i="37"/>
  <c r="B2" i="33"/>
  <c r="B3" i="33"/>
  <c r="E49" i="34"/>
  <c r="R50" i="34"/>
  <c r="J24" i="67"/>
  <c r="J26" i="67"/>
  <c r="J29" i="67"/>
  <c r="J18" i="67"/>
  <c r="C32" i="67"/>
  <c r="C38" i="67"/>
  <c r="F25" i="12"/>
  <c r="C26" i="12"/>
  <c r="D25" i="12"/>
  <c r="F24" i="67"/>
  <c r="F22" i="69"/>
  <c r="F22" i="11"/>
  <c r="F24" i="15"/>
  <c r="W4" i="43"/>
  <c r="X4" i="43"/>
  <c r="W3" i="43"/>
  <c r="X3" i="43"/>
  <c r="W5" i="43"/>
  <c r="X5" i="43"/>
  <c r="W2" i="43"/>
  <c r="X2" i="43"/>
  <c r="C29" i="80"/>
  <c r="C57" i="80"/>
  <c r="C57" i="77"/>
  <c r="C24" i="78"/>
  <c r="C23" i="78"/>
  <c r="R26" i="6"/>
  <c r="AQ8" i="1"/>
  <c r="AR8" i="1"/>
  <c r="AR7" i="1"/>
  <c r="AQ7" i="1"/>
  <c r="AR9" i="1"/>
  <c r="AQ9" i="1"/>
  <c r="D16" i="6"/>
  <c r="R23" i="6"/>
  <c r="I65" i="40"/>
  <c r="J63" i="40"/>
  <c r="C25" i="11"/>
  <c r="C24" i="15"/>
  <c r="C23" i="15"/>
  <c r="C26" i="69"/>
  <c r="D22" i="69"/>
  <c r="C44" i="69"/>
  <c r="D41" i="69"/>
  <c r="C24" i="67"/>
  <c r="C23" i="67"/>
  <c r="E54" i="34"/>
  <c r="F54" i="34"/>
  <c r="E53" i="34"/>
  <c r="F53" i="34"/>
  <c r="D19" i="69"/>
  <c r="C10" i="69"/>
  <c r="C8" i="69"/>
  <c r="C5" i="69"/>
  <c r="H70" i="39"/>
  <c r="I68" i="39"/>
  <c r="D8" i="74"/>
  <c r="D7" i="74"/>
  <c r="R21" i="6"/>
  <c r="G37" i="43"/>
  <c r="I37" i="43"/>
  <c r="E37" i="43"/>
  <c r="G34" i="43"/>
  <c r="I34" i="43"/>
  <c r="E34" i="43"/>
  <c r="G35" i="43"/>
  <c r="I35" i="43"/>
  <c r="E35" i="43"/>
  <c r="U7" i="37"/>
  <c r="AB7" i="37"/>
  <c r="T42" i="37"/>
  <c r="G42" i="37"/>
  <c r="AA7" i="37"/>
  <c r="R42" i="37"/>
  <c r="S7" i="37"/>
  <c r="C44" i="11"/>
  <c r="D41" i="11"/>
  <c r="C23" i="11"/>
  <c r="C26" i="11"/>
  <c r="D22" i="11"/>
  <c r="C49" i="34"/>
  <c r="C50" i="34"/>
  <c r="B2" i="34"/>
  <c r="B3" i="34"/>
  <c r="K48" i="35"/>
  <c r="C24" i="11"/>
  <c r="C10" i="68"/>
  <c r="W7" i="37"/>
  <c r="AC7" i="37"/>
  <c r="V42" i="37"/>
  <c r="I42" i="37"/>
  <c r="K46" i="36"/>
  <c r="C4" i="52"/>
  <c r="B45" i="72"/>
  <c r="A7" i="51"/>
  <c r="B7" i="72"/>
  <c r="A10" i="51"/>
  <c r="B9" i="72"/>
  <c r="R24" i="6"/>
  <c r="R22" i="6"/>
  <c r="R9" i="1"/>
  <c r="R25" i="6"/>
  <c r="I54" i="34"/>
  <c r="J54" i="34"/>
  <c r="C38" i="69"/>
  <c r="C35" i="69"/>
  <c r="O14" i="1"/>
  <c r="O16" i="1"/>
  <c r="T16" i="1"/>
  <c r="I19" i="6"/>
  <c r="M27" i="6"/>
  <c r="E38" i="43"/>
  <c r="G38" i="43"/>
  <c r="I38" i="43"/>
  <c r="E36" i="43"/>
  <c r="G36" i="43"/>
  <c r="I36" i="43"/>
  <c r="E29" i="43"/>
  <c r="C30" i="43"/>
  <c r="E30" i="43"/>
  <c r="G33" i="43"/>
  <c r="I33" i="43"/>
  <c r="E33" i="43"/>
  <c r="F35" i="78"/>
  <c r="M21" i="78"/>
  <c r="C24" i="9"/>
  <c r="Q49" i="80"/>
  <c r="J14" i="80"/>
  <c r="J22" i="80"/>
  <c r="C36" i="80"/>
  <c r="C13" i="80"/>
  <c r="Q70" i="80"/>
  <c r="J19" i="80"/>
  <c r="C75" i="80"/>
  <c r="C64" i="80"/>
  <c r="C61" i="80"/>
  <c r="Q70" i="77"/>
  <c r="J59" i="77"/>
  <c r="J19" i="77"/>
  <c r="F63" i="78"/>
  <c r="C62" i="78"/>
  <c r="C34" i="78"/>
  <c r="C31" i="78"/>
  <c r="J20" i="78"/>
  <c r="Q49" i="77"/>
  <c r="J14" i="77"/>
  <c r="J22" i="77"/>
  <c r="C29" i="78"/>
  <c r="Q49" i="78"/>
  <c r="C64" i="77"/>
  <c r="C61" i="77"/>
  <c r="P14" i="1"/>
  <c r="P16" i="1"/>
  <c r="C11" i="12"/>
  <c r="C12" i="12"/>
  <c r="C27" i="43"/>
  <c r="K63" i="40"/>
  <c r="J65" i="40"/>
  <c r="C29" i="67"/>
  <c r="C13" i="67"/>
  <c r="C29" i="15"/>
  <c r="Q49" i="15"/>
  <c r="I46" i="37"/>
  <c r="J46" i="37"/>
  <c r="R43" i="37"/>
  <c r="E42" i="37"/>
  <c r="G46" i="37"/>
  <c r="H46" i="37"/>
  <c r="G47" i="37"/>
  <c r="H47" i="37"/>
  <c r="I5" i="6"/>
  <c r="C23" i="69"/>
  <c r="C34" i="11"/>
  <c r="L16" i="1"/>
  <c r="C26" i="43"/>
  <c r="S19" i="6"/>
  <c r="S27" i="6"/>
  <c r="I27" i="6"/>
  <c r="H19" i="6"/>
  <c r="L46" i="36"/>
  <c r="C19" i="68"/>
  <c r="L48" i="35"/>
  <c r="C22" i="11"/>
  <c r="C31" i="11"/>
  <c r="J68" i="39"/>
  <c r="I70" i="39"/>
  <c r="C19" i="69"/>
  <c r="C24" i="69"/>
  <c r="D37" i="69"/>
  <c r="C37" i="69"/>
  <c r="C33" i="69"/>
  <c r="E6" i="76"/>
  <c r="C75" i="77"/>
  <c r="J13" i="80"/>
  <c r="J23" i="80"/>
  <c r="C37" i="80"/>
  <c r="C56" i="80"/>
  <c r="C65" i="80"/>
  <c r="C56" i="77"/>
  <c r="C65" i="77"/>
  <c r="J13" i="77"/>
  <c r="J23" i="77"/>
  <c r="J19" i="78"/>
  <c r="J17" i="78"/>
  <c r="Q48" i="77"/>
  <c r="C13" i="78"/>
  <c r="C75" i="78"/>
  <c r="C57" i="78"/>
  <c r="C64" i="78"/>
  <c r="J59" i="78"/>
  <c r="J60" i="78"/>
  <c r="L46" i="78"/>
  <c r="J14" i="78"/>
  <c r="J22" i="78"/>
  <c r="C36" i="78"/>
  <c r="C61" i="78"/>
  <c r="C59" i="78"/>
  <c r="J19" i="15"/>
  <c r="C15" i="12"/>
  <c r="C16" i="12"/>
  <c r="C21" i="12"/>
  <c r="C22" i="12"/>
  <c r="C36" i="15"/>
  <c r="C13" i="15"/>
  <c r="C37" i="15"/>
  <c r="J14" i="15"/>
  <c r="J22" i="15"/>
  <c r="J59" i="67"/>
  <c r="J60" i="67"/>
  <c r="C33" i="67"/>
  <c r="C31" i="67"/>
  <c r="C36" i="67"/>
  <c r="C37" i="67"/>
  <c r="C30" i="67"/>
  <c r="C39" i="67"/>
  <c r="L51" i="67"/>
  <c r="L57" i="67"/>
  <c r="L60" i="67"/>
  <c r="L46" i="67"/>
  <c r="L63" i="40"/>
  <c r="K65" i="40"/>
  <c r="J59" i="15"/>
  <c r="J60" i="15"/>
  <c r="C57" i="15"/>
  <c r="C61" i="15"/>
  <c r="C33" i="15"/>
  <c r="J14" i="67"/>
  <c r="J13" i="67"/>
  <c r="J23" i="67"/>
  <c r="J19" i="67"/>
  <c r="J17" i="67"/>
  <c r="Q49" i="67"/>
  <c r="C57" i="67"/>
  <c r="C64" i="67"/>
  <c r="E2" i="76"/>
  <c r="C39" i="69"/>
  <c r="C43" i="69"/>
  <c r="C42" i="69"/>
  <c r="H27" i="6"/>
  <c r="R19" i="6"/>
  <c r="C35" i="11"/>
  <c r="C38" i="11"/>
  <c r="C75" i="67"/>
  <c r="Q70" i="67"/>
  <c r="C56" i="67"/>
  <c r="C65" i="67"/>
  <c r="C20" i="69"/>
  <c r="C25" i="69"/>
  <c r="E47" i="37"/>
  <c r="F47" i="37"/>
  <c r="E46" i="37"/>
  <c r="F46" i="37"/>
  <c r="I47" i="37"/>
  <c r="J47" i="37"/>
  <c r="J70" i="39"/>
  <c r="K68" i="39"/>
  <c r="M48" i="35"/>
  <c r="M46" i="36"/>
  <c r="B2" i="43"/>
  <c r="F50" i="11"/>
  <c r="F50" i="69"/>
  <c r="C22" i="69"/>
  <c r="C43" i="37"/>
  <c r="B2" i="37"/>
  <c r="B3" i="37"/>
  <c r="C42" i="37"/>
  <c r="B6" i="76"/>
  <c r="C56" i="78"/>
  <c r="C65" i="78"/>
  <c r="C58" i="78"/>
  <c r="C67" i="78"/>
  <c r="C68" i="78"/>
  <c r="C71" i="78"/>
  <c r="J13" i="78"/>
  <c r="J23" i="78"/>
  <c r="J16" i="78"/>
  <c r="J25" i="78"/>
  <c r="Q48" i="78"/>
  <c r="Q70" i="78"/>
  <c r="C37" i="78"/>
  <c r="C30" i="78"/>
  <c r="C39" i="78"/>
  <c r="C40" i="78"/>
  <c r="C46" i="69"/>
  <c r="C45" i="69"/>
  <c r="J13" i="15"/>
  <c r="J23" i="15"/>
  <c r="R27" i="6"/>
  <c r="C33" i="11"/>
  <c r="C42" i="11"/>
  <c r="Q48" i="67"/>
  <c r="C75" i="15"/>
  <c r="Q70" i="15"/>
  <c r="J22" i="67"/>
  <c r="J16" i="67"/>
  <c r="J25" i="67"/>
  <c r="Q48" i="15"/>
  <c r="C56" i="15"/>
  <c r="C65" i="15"/>
  <c r="C64" i="15"/>
  <c r="M63" i="40"/>
  <c r="L65" i="40"/>
  <c r="C28" i="69"/>
  <c r="C27" i="69"/>
  <c r="C31" i="69"/>
  <c r="C61" i="67"/>
  <c r="C59" i="67"/>
  <c r="C58" i="67"/>
  <c r="C67" i="67"/>
  <c r="C68" i="67"/>
  <c r="Q69" i="67"/>
  <c r="Q68" i="67"/>
  <c r="C30" i="12"/>
  <c r="C28" i="12"/>
  <c r="C27" i="12"/>
  <c r="C25" i="12"/>
  <c r="C41" i="69"/>
  <c r="B2" i="76"/>
  <c r="B3" i="76"/>
  <c r="N48" i="35"/>
  <c r="O48" i="35"/>
  <c r="F7" i="35"/>
  <c r="L68" i="39"/>
  <c r="K70" i="39"/>
  <c r="B3" i="43"/>
  <c r="N46" i="36"/>
  <c r="J7" i="35"/>
  <c r="H7" i="35"/>
  <c r="F35" i="80"/>
  <c r="M21" i="15"/>
  <c r="M21" i="80"/>
  <c r="M21" i="77"/>
  <c r="F35" i="15"/>
  <c r="L51" i="78"/>
  <c r="Q69" i="78"/>
  <c r="Q68" i="78"/>
  <c r="J20" i="80"/>
  <c r="J17" i="80"/>
  <c r="J16" i="80"/>
  <c r="J25" i="80"/>
  <c r="F63" i="80"/>
  <c r="C62" i="80"/>
  <c r="C59" i="80"/>
  <c r="C58" i="80"/>
  <c r="C67" i="80"/>
  <c r="C68" i="80"/>
  <c r="C34" i="80"/>
  <c r="C31" i="80"/>
  <c r="C30" i="80"/>
  <c r="C39" i="80"/>
  <c r="C80" i="78"/>
  <c r="C79" i="78"/>
  <c r="Q67" i="78"/>
  <c r="Q65" i="78"/>
  <c r="Q75" i="78"/>
  <c r="Q56" i="78"/>
  <c r="Q62" i="78"/>
  <c r="C43" i="78"/>
  <c r="Q47" i="78"/>
  <c r="Q53" i="78"/>
  <c r="B2" i="78"/>
  <c r="C83" i="78"/>
  <c r="C82" i="78"/>
  <c r="C46" i="78"/>
  <c r="J20" i="77"/>
  <c r="J17" i="77"/>
  <c r="J16" i="77"/>
  <c r="J25" i="77"/>
  <c r="F63" i="77"/>
  <c r="C62" i="77"/>
  <c r="C59" i="77"/>
  <c r="C58" i="77"/>
  <c r="C67" i="77"/>
  <c r="C68" i="77"/>
  <c r="C32" i="12"/>
  <c r="B2" i="12"/>
  <c r="B3" i="12"/>
  <c r="J20" i="15"/>
  <c r="J17" i="15"/>
  <c r="J16" i="15"/>
  <c r="J25" i="15"/>
  <c r="C34" i="15"/>
  <c r="C31" i="15"/>
  <c r="C30" i="15"/>
  <c r="C39" i="15"/>
  <c r="C40" i="15"/>
  <c r="Q65" i="15"/>
  <c r="F63" i="15"/>
  <c r="C62" i="15"/>
  <c r="C59" i="15"/>
  <c r="C58" i="15"/>
  <c r="C67" i="15"/>
  <c r="C68" i="15"/>
  <c r="C71" i="15"/>
  <c r="R16" i="1"/>
  <c r="C49" i="69"/>
  <c r="C51" i="69"/>
  <c r="C52" i="69"/>
  <c r="B2" i="69"/>
  <c r="B3" i="69"/>
  <c r="C80" i="15"/>
  <c r="C79" i="15"/>
  <c r="C39" i="11"/>
  <c r="C43" i="11"/>
  <c r="C41" i="11"/>
  <c r="C80" i="67"/>
  <c r="C79" i="67"/>
  <c r="C40" i="67"/>
  <c r="C43" i="67"/>
  <c r="N63" i="40"/>
  <c r="M65" i="40"/>
  <c r="Q67" i="67"/>
  <c r="U7" i="35"/>
  <c r="AB7" i="35"/>
  <c r="T38" i="35"/>
  <c r="G38" i="35"/>
  <c r="L70" i="39"/>
  <c r="M68" i="39"/>
  <c r="AA7" i="35"/>
  <c r="R38" i="35"/>
  <c r="S7" i="35"/>
  <c r="W7" i="35"/>
  <c r="AC7" i="35"/>
  <c r="V38" i="35"/>
  <c r="I38" i="35"/>
  <c r="O46" i="36"/>
  <c r="H7" i="36"/>
  <c r="C71" i="67"/>
  <c r="L51" i="15"/>
  <c r="C46" i="11"/>
  <c r="C45" i="11"/>
  <c r="C71" i="80"/>
  <c r="Q69" i="80"/>
  <c r="Q68" i="80"/>
  <c r="C40" i="80"/>
  <c r="C80" i="80"/>
  <c r="C79" i="80"/>
  <c r="B3" i="78"/>
  <c r="C71" i="77"/>
  <c r="Q69" i="77"/>
  <c r="Q68" i="77"/>
  <c r="C80" i="77"/>
  <c r="C79" i="77"/>
  <c r="Q67" i="15"/>
  <c r="L57" i="15"/>
  <c r="L60" i="15"/>
  <c r="L46" i="15"/>
  <c r="B2" i="15"/>
  <c r="Q69" i="15"/>
  <c r="Q68" i="15"/>
  <c r="C43" i="15"/>
  <c r="Q47" i="15"/>
  <c r="Q53" i="15"/>
  <c r="C83" i="15"/>
  <c r="C82" i="15"/>
  <c r="Q56" i="15"/>
  <c r="D2" i="67"/>
  <c r="B2" i="67"/>
  <c r="C83" i="67"/>
  <c r="C82" i="67"/>
  <c r="Q65" i="67"/>
  <c r="C45" i="67"/>
  <c r="C46" i="67"/>
  <c r="Q47" i="67"/>
  <c r="Q53" i="67"/>
  <c r="Q56" i="67"/>
  <c r="C46" i="15"/>
  <c r="N65" i="40"/>
  <c r="O63" i="40"/>
  <c r="O65" i="40"/>
  <c r="C57" i="69"/>
  <c r="C56" i="69"/>
  <c r="J7" i="36"/>
  <c r="F7" i="36"/>
  <c r="G42" i="35"/>
  <c r="H42" i="35"/>
  <c r="G43" i="35"/>
  <c r="H43" i="35"/>
  <c r="Q66" i="67"/>
  <c r="Q57" i="67"/>
  <c r="C49" i="11"/>
  <c r="C51" i="11"/>
  <c r="U7" i="36"/>
  <c r="AB7" i="36"/>
  <c r="T36" i="36"/>
  <c r="G36" i="36"/>
  <c r="I42" i="35"/>
  <c r="J42" i="35"/>
  <c r="R39" i="35"/>
  <c r="E38" i="35"/>
  <c r="N68" i="39"/>
  <c r="M70" i="39"/>
  <c r="L51" i="77"/>
  <c r="L51" i="80"/>
  <c r="Q67" i="80"/>
  <c r="Q47" i="80"/>
  <c r="Q53" i="80"/>
  <c r="B2" i="80"/>
  <c r="Q56" i="80"/>
  <c r="Q62" i="80"/>
  <c r="C43" i="80"/>
  <c r="Q65" i="80"/>
  <c r="Q75" i="80"/>
  <c r="C83" i="80"/>
  <c r="C82" i="80"/>
  <c r="C46" i="80"/>
  <c r="Q67" i="77"/>
  <c r="Q47" i="77"/>
  <c r="Q53" i="77"/>
  <c r="Q56" i="77"/>
  <c r="Q62" i="77"/>
  <c r="C43" i="77"/>
  <c r="Q65" i="77"/>
  <c r="Q75" i="77"/>
  <c r="C83" i="77"/>
  <c r="C82" i="77"/>
  <c r="C46" i="77"/>
  <c r="Q66" i="15"/>
  <c r="Q75" i="15"/>
  <c r="Q57" i="15"/>
  <c r="Q62" i="15"/>
  <c r="B3" i="15"/>
  <c r="B3" i="67"/>
  <c r="Q62" i="67"/>
  <c r="Q75" i="67"/>
  <c r="F7" i="40"/>
  <c r="J7" i="40"/>
  <c r="H7" i="40"/>
  <c r="E43" i="35"/>
  <c r="F43" i="35"/>
  <c r="E42" i="35"/>
  <c r="F42" i="35"/>
  <c r="I43" i="35"/>
  <c r="J43" i="35"/>
  <c r="O68" i="39"/>
  <c r="O70" i="39"/>
  <c r="N70" i="39"/>
  <c r="C39" i="35"/>
  <c r="B2" i="35"/>
  <c r="B3" i="35"/>
  <c r="C38" i="35"/>
  <c r="S7" i="36"/>
  <c r="AA7" i="36"/>
  <c r="R36" i="36"/>
  <c r="G40" i="36"/>
  <c r="H40" i="36"/>
  <c r="C52" i="11"/>
  <c r="B2" i="11"/>
  <c r="B3" i="11"/>
  <c r="AC7" i="36"/>
  <c r="V36" i="36"/>
  <c r="I36" i="36"/>
  <c r="W7" i="36"/>
  <c r="B3" i="80"/>
  <c r="B3" i="77"/>
  <c r="C102" i="9"/>
  <c r="C21" i="9"/>
  <c r="B3" i="68"/>
  <c r="C57" i="68"/>
  <c r="C56" i="68"/>
  <c r="W7" i="40"/>
  <c r="AC7" i="40"/>
  <c r="V42" i="40"/>
  <c r="I42" i="40"/>
  <c r="AB7" i="40"/>
  <c r="T42" i="40"/>
  <c r="G42" i="40"/>
  <c r="U7" i="40"/>
  <c r="S7" i="40"/>
  <c r="AA7" i="40"/>
  <c r="R42" i="40"/>
  <c r="C56" i="11"/>
  <c r="C57" i="11"/>
  <c r="I40" i="36"/>
  <c r="J40" i="36"/>
  <c r="F7" i="39"/>
  <c r="J7" i="39"/>
  <c r="H7" i="39"/>
  <c r="G41" i="36"/>
  <c r="H41" i="36"/>
  <c r="E36" i="36"/>
  <c r="R37" i="36"/>
  <c r="C20" i="9"/>
  <c r="D35" i="9"/>
  <c r="D34" i="9"/>
  <c r="D102" i="9"/>
  <c r="C32" i="9"/>
  <c r="D21" i="9"/>
  <c r="D22" i="9"/>
  <c r="B3" i="70"/>
  <c r="C103" i="9"/>
  <c r="R43" i="40"/>
  <c r="E42" i="40"/>
  <c r="I47" i="40"/>
  <c r="J47" i="40"/>
  <c r="I46" i="40"/>
  <c r="J46" i="40"/>
  <c r="G46" i="40"/>
  <c r="H46" i="40"/>
  <c r="G47" i="40"/>
  <c r="H47" i="40"/>
  <c r="E41" i="36"/>
  <c r="F41" i="36"/>
  <c r="E40" i="36"/>
  <c r="F40" i="36"/>
  <c r="C36" i="36"/>
  <c r="C37" i="36"/>
  <c r="B2" i="36"/>
  <c r="B3" i="36"/>
  <c r="AC7" i="39"/>
  <c r="V47" i="39"/>
  <c r="I47" i="39"/>
  <c r="W7" i="39"/>
  <c r="I41" i="36"/>
  <c r="J41" i="36"/>
  <c r="U7" i="39"/>
  <c r="AB7" i="39"/>
  <c r="T47" i="39"/>
  <c r="G47" i="39"/>
  <c r="S7" i="39"/>
  <c r="AA7" i="39"/>
  <c r="R47" i="39"/>
  <c r="D20" i="9"/>
  <c r="G21" i="9"/>
  <c r="D103" i="9"/>
  <c r="G20" i="9"/>
  <c r="H118" i="9"/>
  <c r="C35" i="9"/>
  <c r="F118" i="9"/>
  <c r="E47" i="40"/>
  <c r="F47" i="40"/>
  <c r="E46" i="40"/>
  <c r="F46" i="40"/>
  <c r="C42" i="40"/>
  <c r="C43" i="40"/>
  <c r="E47" i="39"/>
  <c r="I52" i="39"/>
  <c r="J52" i="39"/>
  <c r="R48" i="39"/>
  <c r="G52" i="39"/>
  <c r="H52" i="39"/>
  <c r="G51" i="39"/>
  <c r="H51" i="39"/>
  <c r="I51" i="39"/>
  <c r="J51" i="39"/>
  <c r="C34" i="9"/>
  <c r="D118" i="9"/>
  <c r="D4" i="52"/>
  <c r="B47" i="72"/>
  <c r="F4" i="52"/>
  <c r="B51" i="72"/>
  <c r="F119" i="9"/>
  <c r="F5" i="52"/>
  <c r="B53" i="72"/>
  <c r="G118" i="9"/>
  <c r="G4" i="52"/>
  <c r="B52" i="72"/>
  <c r="D119" i="9"/>
  <c r="D5" i="52"/>
  <c r="B49" i="72"/>
  <c r="H101" i="9"/>
  <c r="H4" i="52"/>
  <c r="D14" i="74"/>
  <c r="H119" i="9"/>
  <c r="H5" i="52"/>
  <c r="C104" i="9"/>
  <c r="I118" i="9"/>
  <c r="B53" i="40"/>
  <c r="F53" i="40"/>
  <c r="B57" i="40"/>
  <c r="F57" i="40"/>
  <c r="B56" i="40"/>
  <c r="F56" i="40"/>
  <c r="B58" i="40"/>
  <c r="F58" i="40"/>
  <c r="B51" i="40"/>
  <c r="F51" i="40"/>
  <c r="B55" i="40"/>
  <c r="F55" i="40"/>
  <c r="B60" i="40"/>
  <c r="F60" i="40"/>
  <c r="B59" i="40"/>
  <c r="F59" i="40"/>
  <c r="B54" i="40"/>
  <c r="F54" i="40"/>
  <c r="B52" i="40"/>
  <c r="F52" i="40"/>
  <c r="F61" i="40"/>
  <c r="B2" i="40"/>
  <c r="B3" i="40"/>
  <c r="C47" i="39"/>
  <c r="C48" i="39"/>
  <c r="E51" i="39"/>
  <c r="F51" i="39"/>
  <c r="E52" i="39"/>
  <c r="F52" i="39"/>
  <c r="C105" i="9"/>
  <c r="E118" i="9"/>
  <c r="E4" i="52"/>
  <c r="B48" i="72"/>
  <c r="I4" i="52"/>
  <c r="H102" i="9"/>
  <c r="D7" i="53"/>
  <c r="B21" i="72"/>
  <c r="B5" i="74"/>
  <c r="E14" i="74"/>
  <c r="F14" i="74"/>
  <c r="H107" i="9"/>
  <c r="M48" i="9"/>
  <c r="D5" i="53"/>
  <c r="D45" i="9"/>
  <c r="B61" i="39"/>
  <c r="F61" i="39"/>
  <c r="B60" i="39"/>
  <c r="F60" i="39"/>
  <c r="B56" i="39"/>
  <c r="F56" i="39"/>
  <c r="F66" i="39"/>
  <c r="B2" i="39"/>
  <c r="B3" i="39"/>
  <c r="B58" i="39"/>
  <c r="F58" i="39"/>
  <c r="B59" i="39"/>
  <c r="F59" i="39"/>
  <c r="B64" i="39"/>
  <c r="F64" i="39"/>
  <c r="B65" i="39"/>
  <c r="F65" i="39"/>
  <c r="B57" i="39"/>
  <c r="F57" i="39"/>
  <c r="B63" i="39"/>
  <c r="F63" i="39"/>
  <c r="B62" i="39"/>
  <c r="F62" i="39"/>
  <c r="M49" i="9"/>
  <c r="D122" i="9"/>
  <c r="H108" i="9"/>
  <c r="D15" i="53"/>
  <c r="B31" i="72"/>
  <c r="D13" i="53"/>
  <c r="B20" i="72"/>
  <c r="D6" i="53"/>
  <c r="B22" i="72"/>
  <c r="D55" i="9"/>
  <c r="M53" i="9"/>
  <c r="C85" i="9"/>
  <c r="C64" i="9"/>
  <c r="C63" i="9"/>
  <c r="C67" i="9"/>
  <c r="C68" i="9"/>
  <c r="D54" i="9"/>
  <c r="C93" i="9"/>
  <c r="C86" i="9"/>
  <c r="C72" i="9"/>
  <c r="C78" i="9"/>
  <c r="C73" i="9"/>
  <c r="D53" i="9"/>
  <c r="D52" i="9"/>
  <c r="C5" i="74"/>
  <c r="D5" i="74"/>
  <c r="C79" i="9"/>
  <c r="C80" i="9"/>
  <c r="E80" i="9"/>
  <c r="E81" i="9"/>
  <c r="C95" i="9"/>
  <c r="D14" i="53"/>
  <c r="B32" i="72"/>
  <c r="B30" i="72"/>
  <c r="G14" i="74"/>
  <c r="B6" i="74"/>
  <c r="D123" i="9"/>
  <c r="D9" i="52"/>
  <c r="D8" i="52"/>
  <c r="L68" i="9"/>
  <c r="M68" i="9"/>
  <c r="L65" i="9"/>
  <c r="M65" i="9"/>
  <c r="L66" i="9"/>
  <c r="M66" i="9"/>
  <c r="L64" i="9"/>
  <c r="M64" i="9"/>
  <c r="L63" i="9"/>
  <c r="M63" i="9"/>
  <c r="L67" i="9"/>
  <c r="M67" i="9"/>
  <c r="M69" i="9"/>
  <c r="N69" i="9"/>
  <c r="C81" i="9"/>
  <c r="D6" i="74"/>
  <c r="C6" i="74"/>
  <c r="C96" i="9"/>
  <c r="E96" i="9"/>
  <c r="E97"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<sst xmlns="http://schemas.openxmlformats.org/spreadsheetml/2006/main" count="8566" uniqueCount="3121">
  <si>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</si>
  <si>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</si>
  <si>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</si>
  <si>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</si>
  <si>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</si>
  <si>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</si>
  <si>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</si>
  <si>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</si>
  <si>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</si>
  <si>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</si>
  <si>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</si>
  <si>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</si>
  <si>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</si>
  <si>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</si>
  <si>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</si>
  <si>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</si>
  <si>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</si>
  <si>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</si>
  <si>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</si>
  <si>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</si>
  <si>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</si>
  <si>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</si>
  <si>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</si>
  <si>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</si>
  <si>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</si>
  <si>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</si>
  <si>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</si>
  <si>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</si>
  <si>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</si>
  <si>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</si>
  <si>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</si>
  <si>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</si>
  <si>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</si>
  <si>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</si>
  <si>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</si>
  <si>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</si>
  <si>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</si>
  <si>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</si>
  <si>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</si>
  <si>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</si>
  <si>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</si>
  <si>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</si>
  <si>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</si>
  <si>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</si>
  <si>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</si>
  <si>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</si>
  <si>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</si>
  <si>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</si>
  <si>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</si>
  <si>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</si>
  <si>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</si>
  <si>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</si>
  <si>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</si>
  <si>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</si>
  <si>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</si>
  <si>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</si>
  <si>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</si>
  <si>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</si>
  <si>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</si>
  <si>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</si>
  <si>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</si>
  <si>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</si>
  <si>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</si>
  <si>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</si>
  <si>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</si>
  <si>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</si>
  <si>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</si>
  <si>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</si>
  <si>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</si>
  <si>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</si>
  <si>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</si>
  <si>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</si>
  <si>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</si>
  <si>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</si>
  <si>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</si>
  <si>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</si>
  <si>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</si>
  <si>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</si>
  <si>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</si>
  <si>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</si>
  <si>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</si>
  <si>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</si>
  <si>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</si>
  <si>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</si>
  <si>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</si>
  <si>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</si>
  <si>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</si>
  <si>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</si>
  <si>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</si>
  <si>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</si>
  <si>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</si>
  <si>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</si>
  <si>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</si>
  <si>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</si>
  <si>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</si>
  <si>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</si>
  <si>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</si>
  <si>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</si>
  <si>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</si>
  <si>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</si>
  <si>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</si>
  <si>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</si>
  <si>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</si>
  <si>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</si>
  <si>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</si>
  <si>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</si>
  <si>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</si>
  <si>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</si>
  <si>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</si>
  <si>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</si>
  <si>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</si>
  <si>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</si>
  <si>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</si>
  <si>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</si>
  <si>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</si>
  <si>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</si>
  <si>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</si>
  <si>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</si>
  <si>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</si>
  <si>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</si>
  <si>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</si>
  <si>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</si>
  <si>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</si>
  <si>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</si>
  <si>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</si>
  <si>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</si>
  <si>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</si>
  <si>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</si>
  <si>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</si>
  <si>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</si>
  <si>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</si>
  <si>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</si>
  <si>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</si>
  <si>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</si>
  <si>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</si>
  <si>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</si>
  <si>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</si>
  <si>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</si>
  <si>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</si>
  <si>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</si>
  <si>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</si>
  <si>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</si>
  <si>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</si>
  <si>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</si>
  <si>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</si>
  <si>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</si>
  <si>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</si>
  <si>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</si>
  <si>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</si>
  <si>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</si>
  <si>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</si>
  <si>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</si>
  <si>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</si>
  <si>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</si>
  <si>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</si>
  <si>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</si>
  <si>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</si>
  <si>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</si>
  <si>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</si>
  <si>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</si>
  <si>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</si>
  <si>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</si>
  <si>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</si>
  <si>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</si>
  <si>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</si>
  <si>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</si>
  <si>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</si>
  <si>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</si>
  <si>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</si>
  <si>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</si>
  <si>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</si>
  <si>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</si>
  <si>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</si>
  <si>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</si>
  <si>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</si>
  <si>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</si>
  <si>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</si>
  <si>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</si>
  <si>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</si>
  <si>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</si>
  <si>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</si>
  <si>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</si>
  <si>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</si>
  <si>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</si>
  <si>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</si>
  <si>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</si>
  <si>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</si>
  <si>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</si>
  <si>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</si>
  <si>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</si>
  <si>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</si>
  <si>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</si>
  <si>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</si>
  <si>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</si>
  <si>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</si>
  <si>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</si>
  <si>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</si>
  <si>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</si>
  <si>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</si>
  <si>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</si>
  <si>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</si>
  <si>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</si>
  <si>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</si>
  <si>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</si>
  <si>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</si>
  <si>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</si>
  <si>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</si>
  <si>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</si>
  <si>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</si>
  <si>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</si>
  <si>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</si>
  <si>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</si>
  <si>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</si>
  <si>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</si>
  <si>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</si>
  <si>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</si>
  <si>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</si>
  <si>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</si>
  <si>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</si>
  <si>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</si>
  <si>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</si>
  <si>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</si>
  <si>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</si>
  <si>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</si>
  <si>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</si>
  <si>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</si>
  <si>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</si>
  <si>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</si>
  <si>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</si>
  <si>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</si>
  <si>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</si>
  <si>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</si>
  <si>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</si>
  <si>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</si>
  <si>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</si>
  <si>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</si>
  <si>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</si>
  <si>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</si>
  <si>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</si>
  <si>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</si>
  <si>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</si>
  <si>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</si>
  <si>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</si>
  <si>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</si>
  <si>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</si>
  <si>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</si>
  <si>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</si>
  <si>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</si>
  <si>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</si>
  <si>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</si>
  <si>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</si>
  <si>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</si>
  <si>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</si>
  <si>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</si>
  <si>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</si>
  <si>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</si>
  <si>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</si>
  <si>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</si>
  <si>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</si>
  <si>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</si>
  <si>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</si>
  <si>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</si>
  <si>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</si>
  <si>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</si>
  <si>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</si>
  <si>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</si>
  <si>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</si>
  <si>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</si>
  <si>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</si>
  <si>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</si>
  <si>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</si>
  <si>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</si>
  <si>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</si>
  <si>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</si>
  <si>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</si>
  <si>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</si>
  <si>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</si>
  <si>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</si>
  <si>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</si>
  <si>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</si>
  <si>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</si>
  <si>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</si>
  <si>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</si>
  <si>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</si>
  <si>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</si>
  <si>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</si>
  <si>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</si>
  <si>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</si>
  <si>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</si>
  <si>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</si>
  <si>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</si>
  <si>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</si>
  <si>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</si>
  <si>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</si>
  <si>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</si>
  <si>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</si>
  <si>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</si>
  <si>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</si>
  <si>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</si>
  <si>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</si>
  <si>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</si>
  <si>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</si>
  <si>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</si>
  <si>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</si>
  <si>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</si>
  <si>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</si>
  <si>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</si>
  <si>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</si>
  <si>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</si>
  <si>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</si>
  <si>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</si>
  <si>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</si>
  <si>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</si>
  <si>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</si>
  <si>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</si>
  <si>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</si>
  <si>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</si>
  <si>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</si>
  <si>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</si>
  <si>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</si>
  <si>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</si>
  <si>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</si>
  <si>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</si>
  <si>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</si>
  <si>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</si>
  <si>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</si>
  <si>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</si>
  <si>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</si>
  <si>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</si>
  <si>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</si>
  <si>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</si>
  <si>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</si>
  <si>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</si>
  <si>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</si>
  <si>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</si>
  <si>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</si>
  <si>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</si>
  <si>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</si>
  <si>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</si>
  <si>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</si>
  <si>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</si>
  <si>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</si>
  <si>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</si>
  <si>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</si>
  <si>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</si>
  <si>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</si>
  <si>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</si>
  <si>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</si>
  <si>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</si>
  <si>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</si>
  <si>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</si>
  <si>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</si>
  <si>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</si>
  <si>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</si>
  <si>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</si>
  <si>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</si>
  <si>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</si>
  <si>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</si>
  <si>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</si>
  <si>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</si>
  <si>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</si>
  <si>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</si>
  <si>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</si>
  <si>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</si>
  <si>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</si>
  <si>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</si>
  <si>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</si>
  <si>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</si>
  <si>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</si>
  <si>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</si>
  <si>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</si>
  <si>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</si>
  <si>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</si>
  <si>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</si>
  <si>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</si>
  <si>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</si>
  <si>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</si>
  <si>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</si>
  <si>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</si>
  <si>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</si>
  <si>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</si>
  <si>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</si>
  <si>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</si>
  <si>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</si>
  <si>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</si>
  <si>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</si>
  <si>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</si>
  <si>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</si>
  <si>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</si>
  <si>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</si>
  <si>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</si>
  <si>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</si>
  <si>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</si>
  <si>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</si>
  <si>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</si>
  <si>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</si>
  <si>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</si>
  <si>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</si>
  <si>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</si>
  <si>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</si>
  <si>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</si>
  <si>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</si>
  <si>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</si>
  <si>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</si>
  <si>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</si>
  <si>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</si>
  <si>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</si>
  <si>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</si>
  <si>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</si>
  <si>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</si>
  <si>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</si>
  <si>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</si>
  <si>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</si>
  <si>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</si>
  <si>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</si>
  <si>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</si>
  <si>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</si>
  <si>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</si>
  <si>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</si>
  <si>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</si>
  <si>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</si>
  <si>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</si>
  <si>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</si>
  <si>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</si>
  <si>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</si>
  <si>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</si>
  <si>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</si>
  <si>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</si>
  <si>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</si>
  <si>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</si>
  <si>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</si>
  <si>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</si>
  <si>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</si>
  <si>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</si>
  <si>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</si>
  <si>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</si>
  <si>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</si>
  <si>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</si>
  <si>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</si>
  <si>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</si>
  <si>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</si>
  <si>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</si>
  <si>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</si>
  <si>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</si>
  <si>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</si>
  <si>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</si>
  <si>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</si>
  <si>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</si>
  <si>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</si>
  <si>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</si>
  <si>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</si>
  <si>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</si>
  <si>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</si>
  <si>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</si>
  <si>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</si>
  <si>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</si>
  <si>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</si>
  <si>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</si>
  <si>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</si>
  <si>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</si>
  <si>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</si>
  <si>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</si>
  <si>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</si>
  <si>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</si>
  <si>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</si>
  <si>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</si>
  <si>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</si>
  <si>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</si>
  <si>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</si>
  <si>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</si>
  <si>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</si>
  <si>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</si>
  <si>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</si>
  <si>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</si>
  <si>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</si>
  <si>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</si>
  <si>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</si>
  <si>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</si>
  <si>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</si>
  <si>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</si>
  <si>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</si>
  <si>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</si>
  <si>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</si>
  <si>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</si>
  <si>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</si>
  <si>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</si>
  <si>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</si>
  <si>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</si>
  <si>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</si>
  <si>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</si>
  <si>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</si>
  <si>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</si>
  <si>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</si>
  <si>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</si>
  <si>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</si>
  <si>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</si>
  <si>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</si>
  <si>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</si>
  <si>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</si>
  <si>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</si>
  <si>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</si>
  <si>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</si>
  <si>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</si>
  <si>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</si>
  <si>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</si>
  <si>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</si>
  <si>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</si>
  <si>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</si>
  <si>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</si>
  <si>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</si>
  <si>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</si>
  <si>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</si>
  <si>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</si>
  <si>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</si>
  <si>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</si>
  <si>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</si>
  <si>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</si>
  <si>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</si>
  <si>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</si>
  <si>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</si>
  <si>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</si>
  <si>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</si>
  <si>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</si>
  <si>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</si>
  <si>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</si>
  <si>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</si>
  <si>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</si>
  <si>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</si>
  <si>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</si>
  <si>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</si>
  <si>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</si>
  <si>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</si>
  <si>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</si>
  <si>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</si>
  <si>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</si>
  <si>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</si>
  <si>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</si>
  <si>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</si>
  <si>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</si>
  <si>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</si>
  <si>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</si>
  <si>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</si>
  <si>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</si>
  <si>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</si>
  <si>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</si>
  <si>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</si>
  <si>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</si>
  <si>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</si>
  <si>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</si>
  <si>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</si>
  <si>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</si>
  <si>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</si>
  <si>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</si>
  <si>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</si>
  <si>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</si>
  <si>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</si>
  <si>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</si>
  <si>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</si>
  <si>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</si>
  <si>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</si>
  <si>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</si>
  <si>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</si>
  <si>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</si>
  <si>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</si>
  <si>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</si>
  <si>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</si>
  <si>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</si>
  <si>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</si>
  <si>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</si>
  <si>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</si>
  <si>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</si>
  <si>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</si>
  <si>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</si>
  <si>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</si>
  <si>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</si>
  <si>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</si>
  <si>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</si>
  <si>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</si>
  <si>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</si>
  <si>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</si>
  <si>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</si>
  <si>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</si>
  <si>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</si>
  <si>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</si>
  <si>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</si>
  <si>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</si>
  <si>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</si>
  <si>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</si>
  <si>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</si>
  <si>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</si>
  <si>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</si>
  <si>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</si>
  <si>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</si>
  <si>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</si>
  <si>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</si>
  <si>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</si>
  <si>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</si>
  <si>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</si>
  <si>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</si>
  <si>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</si>
  <si>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</si>
  <si>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</si>
  <si>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</si>
  <si>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</si>
  <si>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</si>
  <si>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</si>
  <si>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</si>
  <si>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</si>
  <si>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</si>
  <si>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</si>
  <si>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</si>
  <si>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</si>
  <si>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</si>
  <si>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</si>
  <si>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</si>
  <si>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</si>
  <si>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</si>
  <si>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</si>
  <si>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</si>
  <si>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</si>
  <si>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</si>
  <si>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</si>
  <si>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</si>
  <si>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</si>
  <si>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</si>
  <si>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</si>
  <si>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</si>
  <si>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</si>
  <si>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</si>
  <si>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</si>
  <si>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</si>
  <si>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</si>
  <si>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</si>
  <si>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</si>
  <si>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</si>
  <si>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</si>
  <si>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</si>
  <si>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</si>
  <si>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</si>
  <si>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</si>
  <si>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</si>
  <si>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</si>
  <si>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</si>
  <si>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</si>
  <si>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</si>
  <si>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</si>
  <si>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</si>
  <si>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</si>
  <si>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</si>
  <si>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</si>
  <si>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</si>
  <si>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</si>
  <si>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</si>
  <si>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</si>
  <si>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</si>
  <si>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</si>
  <si>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</si>
  <si>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</si>
  <si>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</si>
  <si>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</si>
  <si>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</si>
  <si>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</si>
  <si>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</si>
  <si>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</si>
  <si>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</si>
  <si>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</si>
  <si>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</si>
  <si>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</si>
  <si>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</si>
  <si>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</si>
  <si>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</si>
  <si>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</si>
  <si>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</si>
  <si>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</si>
  <si>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</si>
  <si>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</si>
  <si>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</si>
  <si>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</si>
  <si>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</si>
  <si>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</si>
  <si>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</si>
  <si>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</si>
  <si>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</si>
  <si>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</si>
  <si>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</si>
  <si>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</si>
  <si>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</si>
  <si>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</si>
  <si>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</si>
  <si>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</si>
  <si>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</si>
  <si>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</si>
  <si>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</si>
  <si>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</si>
  <si>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</si>
  <si>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</si>
  <si>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</si>
  <si>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</si>
  <si>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</si>
  <si>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</si>
  <si>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</si>
  <si>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</si>
  <si>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</si>
  <si>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</si>
  <si>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</si>
  <si>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</si>
  <si>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</si>
  <si>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</si>
  <si>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</si>
  <si>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</si>
  <si>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</si>
  <si>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</si>
  <si>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</si>
  <si>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</si>
  <si>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</si>
  <si>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</si>
  <si>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</si>
  <si>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</si>
  <si>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</si>
  <si>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</si>
  <si>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</si>
  <si>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</si>
  <si>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</si>
  <si>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</si>
  <si>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</si>
  <si>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</si>
  <si>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</si>
  <si>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</si>
  <si>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</si>
  <si>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</si>
  <si>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</si>
  <si>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</si>
  <si>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</si>
  <si>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</si>
  <si>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</si>
  <si>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</si>
  <si>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</si>
  <si>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</si>
  <si>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</si>
  <si>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</si>
  <si>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</si>
  <si>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</si>
  <si>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</si>
  <si>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</si>
  <si>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</si>
  <si>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</si>
  <si>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</si>
  <si>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</si>
  <si>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</si>
  <si>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</si>
  <si>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</si>
  <si>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</si>
  <si>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</si>
  <si>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</si>
  <si>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</si>
  <si>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</si>
  <si>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</si>
  <si>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</si>
  <si>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</si>
  <si>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</si>
  <si>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</si>
  <si>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</si>
  <si>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</si>
  <si>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</si>
  <si>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</si>
  <si>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</si>
  <si>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</si>
  <si>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</si>
  <si>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</si>
  <si>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</si>
  <si>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</si>
  <si>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</si>
  <si>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</si>
  <si>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</si>
  <si>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</si>
  <si>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</si>
  <si>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</si>
  <si>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</si>
  <si>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</si>
  <si>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</si>
  <si>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</si>
  <si>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</si>
  <si>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</si>
  <si>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</si>
  <si>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</si>
  <si>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</si>
  <si>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</si>
  <si>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</si>
  <si>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</si>
  <si>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</si>
  <si>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</si>
  <si>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</si>
  <si>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</si>
  <si>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</si>
  <si>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</si>
  <si>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</si>
  <si>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</si>
  <si>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</si>
  <si>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</si>
  <si>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</si>
  <si>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</si>
  <si>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</si>
  <si>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</si>
  <si>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</si>
  <si>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</si>
  <si>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</si>
  <si>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</si>
  <si>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</si>
  <si>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</si>
  <si>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</si>
  <si>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</si>
  <si>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</si>
  <si>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</si>
  <si>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</si>
  <si>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</si>
  <si>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</si>
  <si>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</si>
  <si>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</si>
  <si>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</si>
  <si>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</si>
  <si>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</si>
  <si>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</si>
  <si>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</si>
  <si>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</si>
  <si>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</si>
  <si>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</si>
  <si>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</si>
  <si>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</si>
  <si>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</si>
  <si>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</si>
  <si>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</si>
  <si>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</si>
  <si>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</si>
  <si>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</si>
  <si>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</si>
  <si>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</si>
  <si>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</si>
  <si>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</si>
  <si>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</si>
  <si>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</si>
  <si>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</si>
  <si>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</si>
  <si>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</si>
  <si>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</si>
  <si>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</si>
  <si>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</si>
  <si>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</si>
  <si>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</si>
  <si>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</si>
  <si>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</si>
  <si>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</si>
  <si>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</si>
  <si>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</si>
  <si>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</si>
  <si>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</si>
  <si>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</si>
  <si>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</si>
  <si>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</si>
  <si>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</si>
  <si>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</si>
  <si>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</si>
  <si>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</si>
  <si>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</si>
  <si>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</si>
  <si>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</si>
  <si>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</si>
  <si>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</si>
  <si>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</si>
  <si>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</si>
  <si>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</si>
  <si>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</si>
  <si>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</si>
  <si>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</si>
  <si>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</si>
  <si>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</si>
  <si>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</si>
  <si>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</si>
  <si>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</si>
  <si>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</si>
  <si>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</si>
  <si>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</si>
  <si>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</si>
  <si>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</si>
  <si>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</si>
  <si>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</si>
  <si>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</si>
  <si>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</si>
  <si>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</si>
  <si>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</si>
  <si>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</si>
  <si>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</si>
  <si>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</si>
  <si>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</si>
  <si>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</si>
  <si>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</si>
  <si>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</si>
  <si>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</si>
  <si>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</si>
  <si>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</si>
  <si>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</si>
  <si>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</si>
  <si>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</si>
  <si>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</si>
  <si>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</si>
  <si>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</si>
  <si>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</si>
  <si>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</si>
  <si>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</si>
  <si>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</si>
  <si>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</si>
  <si>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</si>
  <si>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</si>
  <si>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</si>
  <si>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</si>
  <si>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</si>
  <si>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</si>
  <si>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</si>
  <si>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</si>
  <si>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</si>
  <si>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</si>
  <si>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</si>
  <si>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</si>
  <si>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</si>
  <si>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</si>
  <si>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</si>
  <si>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</si>
  <si>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</si>
  <si>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</si>
  <si>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</si>
  <si>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</si>
  <si>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</si>
  <si>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</si>
  <si>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</si>
  <si>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</si>
  <si>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</si>
  <si>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</si>
  <si>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</si>
  <si>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</si>
  <si>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</si>
  <si>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</si>
  <si>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</si>
  <si>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</si>
  <si>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</si>
  <si>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</si>
  <si>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</si>
  <si>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</si>
  <si>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</si>
  <si>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</si>
  <si>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</si>
  <si>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</si>
  <si>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</si>
  <si>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</si>
  <si>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</si>
  <si>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</si>
  <si>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</si>
  <si>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</si>
  <si>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</si>
  <si>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</si>
  <si>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</si>
  <si>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</si>
  <si>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</si>
  <si>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</si>
  <si>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</si>
  <si>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</si>
  <si>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</si>
  <si>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</si>
  <si>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</si>
  <si>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</si>
  <si>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</si>
  <si>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</si>
  <si>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</si>
  <si>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</si>
  <si>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</si>
  <si>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</si>
  <si>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</si>
  <si>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</si>
  <si>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</si>
  <si>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</si>
  <si>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</si>
  <si>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</si>
  <si>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</si>
  <si>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</si>
  <si>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</si>
  <si>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</si>
  <si>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</si>
  <si>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</si>
  <si>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</si>
  <si>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</si>
  <si>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</si>
  <si>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</si>
  <si>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</si>
  <si>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</si>
  <si>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</si>
  <si>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</si>
  <si>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</si>
  <si>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</si>
  <si>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</si>
  <si>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</si>
  <si>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</si>
  <si>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</si>
  <si>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</si>
  <si>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</si>
  <si>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</si>
  <si>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</si>
  <si>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</si>
  <si>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</si>
  <si>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</si>
  <si>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</si>
  <si>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</si>
  <si>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</si>
  <si>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</si>
  <si>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</si>
  <si>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</si>
  <si>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</si>
  <si>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</si>
  <si>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</si>
  <si>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</si>
  <si>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</si>
  <si>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</si>
  <si>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</si>
  <si>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</si>
  <si>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</si>
  <si>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</si>
  <si>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</si>
  <si>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</si>
  <si>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</si>
  <si>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</si>
  <si>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</si>
  <si>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</si>
  <si>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</si>
  <si>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</si>
  <si>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</si>
  <si>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</si>
  <si>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</si>
  <si>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</si>
  <si>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</si>
  <si>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</si>
  <si>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</si>
  <si>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</si>
  <si>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</si>
  <si>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</si>
  <si>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</si>
  <si>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</si>
  <si>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</si>
  <si>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</si>
  <si>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</si>
  <si>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</si>
  <si>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</si>
  <si>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</si>
  <si>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</si>
  <si>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</si>
  <si>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</si>
  <si>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</si>
  <si>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</si>
  <si>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</si>
  <si>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</si>
  <si>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</si>
  <si>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</si>
  <si>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</si>
  <si>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</si>
  <si>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</si>
  <si>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</si>
  <si>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</si>
  <si>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</si>
  <si>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</si>
  <si>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</si>
  <si>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</si>
  <si>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</si>
  <si>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</si>
  <si>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</si>
  <si>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</si>
  <si>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</si>
  <si>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</si>
  <si>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</si>
  <si>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</si>
  <si>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</si>
  <si>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</si>
  <si>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</si>
  <si>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</si>
  <si>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</si>
  <si>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</si>
  <si>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</si>
  <si>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</si>
  <si>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</si>
  <si>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</si>
  <si>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</si>
  <si>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</si>
  <si>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</si>
  <si>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</si>
  <si>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</si>
  <si>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</si>
  <si>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</si>
  <si>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</si>
  <si>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</si>
  <si>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</si>
  <si>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</si>
  <si>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</si>
  <si>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</si>
  <si>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</si>
  <si>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</si>
  <si>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</si>
  <si>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</si>
  <si>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</si>
  <si>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</si>
  <si>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</si>
  <si>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</si>
  <si>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</si>
  <si>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</si>
  <si>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</si>
  <si>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</si>
  <si>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</si>
  <si>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</si>
  <si>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</si>
  <si>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</si>
  <si>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</si>
  <si>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</si>
  <si>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</si>
  <si>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</si>
  <si>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</si>
  <si>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</si>
  <si>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</si>
  <si>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</si>
  <si>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</si>
  <si>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</si>
  <si>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</si>
  <si>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</si>
  <si>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</si>
  <si>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</si>
  <si>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</si>
  <si>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</si>
  <si>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</si>
  <si>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</si>
  <si>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</si>
  <si>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</si>
  <si>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</si>
  <si>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</si>
  <si>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</si>
  <si>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</si>
  <si>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</si>
  <si>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</si>
  <si>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</si>
  <si>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</si>
  <si>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</si>
  <si>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</si>
  <si>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</si>
  <si>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</si>
  <si>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</si>
  <si>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</si>
  <si>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</si>
  <si>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</si>
  <si>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</si>
  <si>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</si>
  <si>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</si>
  <si>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</si>
  <si>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</si>
  <si>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</si>
  <si>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</si>
  <si>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</si>
  <si>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</si>
  <si>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</si>
  <si>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</si>
  <si>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</si>
  <si>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</si>
  <si>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</si>
  <si>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</si>
  <si>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</si>
  <si>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</si>
  <si>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</si>
  <si>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</si>
  <si>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</si>
  <si>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</si>
  <si>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</si>
  <si>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</si>
  <si>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</si>
  <si>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</si>
  <si>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</si>
  <si>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</si>
  <si>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</si>
  <si>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</si>
  <si>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</si>
  <si>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</si>
  <si>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</si>
  <si>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</si>
  <si>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</si>
  <si>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</si>
  <si>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</si>
  <si>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</si>
  <si>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</si>
  <si>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</si>
  <si>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</si>
  <si>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</si>
  <si>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</si>
  <si>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</si>
  <si>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</si>
  <si>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</si>
  <si>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</si>
  <si>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</si>
  <si>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</si>
  <si>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</si>
  <si>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</si>
  <si>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</si>
  <si>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</si>
  <si>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</si>
  <si>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</si>
  <si>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</si>
  <si>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</si>
  <si>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</si>
  <si>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</si>
  <si>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</si>
  <si>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</si>
  <si>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</si>
  <si>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</si>
  <si>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</si>
  <si>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</si>
  <si>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</si>
  <si>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</si>
  <si>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</si>
  <si>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</si>
  <si>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</si>
  <si>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</si>
  <si>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</si>
  <si>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</si>
  <si>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</si>
  <si>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</si>
  <si>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</si>
  <si>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</si>
  <si>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</si>
  <si>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</si>
  <si>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</si>
  <si>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</si>
  <si>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</si>
  <si>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</si>
  <si>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</si>
  <si>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</si>
  <si>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</si>
  <si>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</si>
  <si>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</si>
  <si>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</si>
  <si>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</si>
  <si>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</si>
  <si>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</si>
  <si>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</si>
  <si>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</si>
  <si>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</si>
  <si>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</si>
  <si>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</si>
  <si>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</si>
  <si>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</si>
  <si>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</si>
  <si>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</si>
  <si>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</si>
  <si>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</si>
  <si>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</si>
  <si>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</si>
  <si>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</si>
  <si>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</si>
  <si>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</si>
  <si>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</si>
  <si>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</si>
  <si>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</si>
  <si>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</si>
  <si>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</si>
  <si>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</si>
  <si>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</si>
  <si>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</si>
  <si>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</si>
  <si>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</si>
  <si>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</si>
  <si>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</si>
  <si>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</si>
  <si>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</si>
  <si>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</si>
  <si>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</si>
  <si>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</si>
  <si>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</si>
  <si>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</si>
  <si>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</si>
  <si>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</si>
  <si>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</si>
  <si>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</si>
  <si>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</si>
  <si>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</si>
  <si>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</si>
  <si>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</si>
  <si>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</si>
  <si>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</si>
  <si>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</si>
  <si>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</si>
  <si>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</si>
  <si>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</si>
  <si>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</si>
  <si>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</si>
  <si>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</si>
  <si>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</si>
  <si>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</si>
  <si>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</si>
  <si>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</si>
  <si>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</si>
  <si>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</si>
  <si>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</si>
  <si>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</si>
  <si>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</si>
  <si>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</si>
  <si>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</si>
  <si>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</si>
  <si>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</si>
  <si>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</si>
  <si>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</si>
  <si>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</si>
  <si>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</si>
  <si>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</si>
  <si>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</si>
  <si>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</si>
  <si>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</si>
  <si>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</si>
  <si>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</si>
  <si>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</si>
  <si>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</si>
  <si>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</si>
  <si>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</si>
  <si>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</si>
  <si>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</si>
  <si>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</si>
  <si>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</si>
  <si>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</si>
  <si>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</si>
  <si>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</si>
  <si>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</si>
  <si>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</si>
  <si>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</si>
  <si>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</si>
  <si>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</si>
  <si>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</si>
  <si>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</si>
  <si>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</si>
  <si>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</si>
  <si>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</si>
  <si>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</si>
  <si>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</si>
  <si>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</si>
  <si>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</si>
  <si>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</si>
  <si>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</si>
  <si>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</si>
  <si>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</si>
  <si>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</si>
  <si>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</si>
  <si>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</si>
  <si>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</si>
  <si>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</si>
  <si>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</si>
  <si>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</si>
  <si>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</si>
  <si>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</si>
  <si>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</si>
  <si>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</si>
  <si>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</si>
  <si>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</si>
  <si>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</si>
  <si>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</si>
  <si>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</si>
  <si>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</si>
  <si>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</si>
  <si>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</si>
  <si>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</si>
  <si>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</si>
  <si>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</si>
  <si>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</si>
  <si>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</si>
  <si>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</si>
  <si>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</si>
  <si>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</si>
  <si>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</si>
  <si>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</si>
  <si>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</si>
  <si>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</si>
  <si>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</si>
  <si>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</si>
  <si>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</si>
  <si>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</si>
  <si>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</si>
  <si>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</si>
  <si>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</si>
  <si>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</si>
  <si>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</si>
  <si>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</si>
  <si>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</si>
  <si>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</si>
  <si>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</si>
  <si>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</si>
  <si>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</si>
  <si>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</si>
  <si>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</si>
  <si>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</si>
  <si>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</si>
  <si>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</si>
  <si>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</si>
  <si>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</si>
  <si>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</si>
  <si>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</si>
  <si>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</si>
  <si>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</si>
  <si>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</si>
  <si>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</si>
  <si>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</si>
  <si>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</si>
  <si>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</si>
  <si>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</si>
  <si>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</si>
  <si>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</si>
  <si>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</si>
  <si>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</si>
  <si>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</si>
  <si>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</si>
  <si>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</si>
  <si>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</si>
  <si>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</si>
  <si>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</si>
  <si>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</si>
  <si>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</si>
  <si>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</si>
  <si>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</si>
  <si>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</si>
  <si>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</si>
  <si>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</si>
  <si>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</si>
  <si>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</si>
  <si>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</si>
  <si>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</si>
  <si>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</si>
  <si>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</si>
  <si>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</si>
  <si>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</si>
  <si>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</si>
  <si>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</si>
  <si>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</si>
  <si>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</si>
  <si>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</si>
  <si>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</si>
  <si>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</si>
  <si>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</si>
  <si>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</si>
  <si>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</si>
  <si>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</si>
  <si>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</si>
  <si>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</si>
  <si>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</si>
  <si>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</si>
  <si>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</si>
  <si>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</si>
  <si>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</si>
  <si>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</si>
  <si>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</si>
  <si>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</si>
  <si>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</si>
  <si>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</si>
  <si>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</si>
  <si>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</si>
  <si>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</si>
  <si>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</si>
  <si>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</si>
  <si>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</si>
  <si>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</si>
  <si>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</si>
  <si>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</si>
  <si>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</si>
  <si>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</si>
  <si>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</si>
  <si>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</si>
  <si>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</si>
  <si>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</si>
  <si>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</si>
  <si>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</si>
  <si>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</si>
  <si>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</si>
  <si>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</si>
  <si>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</si>
  <si>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</si>
  <si>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</si>
  <si>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</si>
  <si>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</si>
  <si>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</si>
  <si>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</si>
  <si>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</si>
  <si>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</si>
  <si>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</si>
  <si>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</si>
  <si>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</si>
  <si>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</si>
  <si>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</si>
  <si>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</si>
  <si>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</si>
  <si>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</si>
  <si>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</si>
  <si>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</si>
  <si>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</si>
  <si>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</si>
  <si>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</si>
  <si>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</si>
  <si>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</si>
  <si>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</si>
  <si>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</si>
  <si>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</si>
  <si>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</si>
  <si>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</si>
  <si>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</si>
  <si>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</si>
  <si>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</si>
  <si>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</si>
  <si>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</si>
  <si>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</si>
  <si>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</si>
  <si>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</si>
  <si>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</si>
  <si>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</si>
  <si>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</si>
  <si>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</si>
  <si>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</si>
  <si>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</si>
  <si>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</si>
  <si>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</si>
  <si>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</si>
  <si>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</si>
  <si>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</si>
  <si>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</si>
  <si>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</si>
  <si>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</si>
  <si>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</si>
  <si>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</si>
  <si>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</si>
  <si>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</si>
  <si>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</si>
  <si>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</si>
  <si>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</si>
  <si>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</si>
  <si>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</si>
  <si>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</si>
  <si>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</si>
  <si>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</si>
  <si>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</si>
  <si>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</si>
  <si>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</si>
  <si>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</si>
  <si>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</si>
  <si>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</si>
  <si>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</si>
  <si>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</si>
  <si>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</si>
  <si>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</si>
  <si>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</si>
  <si>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</si>
  <si>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</si>
  <si>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</si>
  <si>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</si>
  <si>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</si>
  <si>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</si>
  <si>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</si>
  <si>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</si>
  <si>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</si>
  <si>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</si>
  <si>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</si>
  <si>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</si>
  <si>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</si>
  <si>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</si>
  <si>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</si>
  <si>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</si>
  <si>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</si>
  <si>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</si>
  <si>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</si>
  <si>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</si>
  <si>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</si>
  <si>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</si>
  <si>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</si>
  <si>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</si>
  <si>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</si>
  <si>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</si>
  <si>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</si>
  <si>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</si>
  <si>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</si>
  <si>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</si>
  <si>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</si>
  <si>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</si>
  <si>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</si>
  <si>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</si>
  <si>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</si>
  <si>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</si>
  <si>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</si>
  <si>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</si>
  <si>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</si>
  <si>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</si>
  <si>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</si>
  <si>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</si>
  <si>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</si>
  <si>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</si>
  <si>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</si>
  <si>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</si>
  <si>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</si>
  <si>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</si>
  <si>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</si>
  <si>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</si>
  <si>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</si>
  <si>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</si>
  <si>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</si>
  <si>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</si>
  <si>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</si>
  <si>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</si>
  <si>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</si>
  <si>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</si>
  <si>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</si>
  <si>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</si>
  <si>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</si>
  <si>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</si>
  <si>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</si>
  <si>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</si>
  <si>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</si>
  <si>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</si>
  <si>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</si>
  <si>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</si>
  <si>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</si>
  <si>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</si>
  <si>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</si>
  <si>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</si>
  <si>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</si>
  <si>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</si>
  <si>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</si>
  <si>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</si>
  <si>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</si>
  <si>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</si>
  <si>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</si>
  <si>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</si>
  <si>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</si>
  <si>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</si>
  <si>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</si>
  <si>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</si>
  <si>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</si>
  <si>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</si>
  <si>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</si>
  <si>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</si>
  <si>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</si>
  <si>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</si>
  <si>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</si>
  <si>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</si>
  <si>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</si>
  <si>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</si>
  <si>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</si>
  <si>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</si>
  <si>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</si>
  <si>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</si>
  <si>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</si>
  <si>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</si>
  <si>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</si>
  <si>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</si>
  <si>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</si>
  <si>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</si>
  <si>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</si>
  <si>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</si>
  <si>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</si>
  <si>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</si>
  <si>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</si>
  <si>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</si>
  <si>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</si>
  <si>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</si>
  <si>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</si>
  <si>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</si>
  <si>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</si>
  <si>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</si>
  <si>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</si>
  <si>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</si>
  <si>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</si>
  <si>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</si>
  <si>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</si>
  <si>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</si>
  <si>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</si>
  <si>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</si>
  <si>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</si>
  <si>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</si>
  <si>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</si>
  <si>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</si>
  <si>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</si>
  <si>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</si>
  <si>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</si>
  <si>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</si>
  <si>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</si>
  <si>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</si>
  <si>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</si>
  <si>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</si>
  <si>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</si>
  <si>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</si>
  <si>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</si>
  <si>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</si>
  <si>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</si>
  <si>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</si>
  <si>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</si>
  <si>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</si>
  <si>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</si>
  <si>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</si>
  <si>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</si>
  <si>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</si>
  <si>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</si>
  <si>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</si>
  <si>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</si>
  <si>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</si>
  <si>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</si>
  <si>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</si>
  <si>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</si>
  <si>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</si>
  <si>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</si>
  <si>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</si>
  <si>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</si>
  <si>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</si>
  <si>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</si>
  <si>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</si>
  <si>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</si>
  <si>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</si>
  <si>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</si>
  <si>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</si>
  <si>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</si>
  <si>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</si>
  <si>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</si>
  <si>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</si>
  <si>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</si>
  <si>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</si>
  <si>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</si>
  <si>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</si>
  <si>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</si>
  <si>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</si>
  <si>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</si>
  <si>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</si>
  <si>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</si>
  <si>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</si>
  <si>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</si>
  <si>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</si>
  <si>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</si>
  <si>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</si>
  <si>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</si>
  <si>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</si>
  <si>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</si>
  <si>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</si>
  <si>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</si>
  <si>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</si>
  <si>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</si>
  <si>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</si>
  <si>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</si>
  <si>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</si>
  <si>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</si>
  <si>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</si>
  <si>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</si>
  <si>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</si>
  <si>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</si>
  <si>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</si>
  <si>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</si>
  <si>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</si>
  <si>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</si>
  <si>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</si>
  <si>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</si>
  <si>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</si>
  <si>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</si>
  <si>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</si>
  <si>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</si>
  <si>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</si>
  <si>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</si>
  <si>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</si>
  <si>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</si>
  <si>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</si>
  <si>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</si>
  <si>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</si>
  <si>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</si>
  <si>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</si>
  <si>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</si>
  <si>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</si>
  <si>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</si>
  <si>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</si>
  <si>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</si>
  <si>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</si>
  <si>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</si>
  <si>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</si>
  <si>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</si>
  <si>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</si>
  <si>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</si>
  <si>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</si>
  <si>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</si>
  <si>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</si>
  <si>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</si>
  <si>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</si>
  <si>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</si>
  <si>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</si>
  <si>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</si>
  <si>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</si>
  <si>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</si>
  <si>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</si>
  <si>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</si>
  <si>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</si>
  <si>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</si>
  <si>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</si>
  <si>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</si>
  <si>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</si>
  <si>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</si>
  <si>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</si>
  <si>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</si>
  <si>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</si>
  <si>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</si>
  <si>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</si>
  <si>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</si>
  <si>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</si>
  <si>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</si>
  <si>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</si>
  <si>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</si>
  <si>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</si>
  <si>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</si>
  <si>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</si>
  <si>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</si>
  <si>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</si>
  <si>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</si>
  <si>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</si>
  <si>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</si>
  <si>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</si>
  <si>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</si>
  <si>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</si>
  <si>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</si>
  <si>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</si>
  <si>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</si>
  <si>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</si>
  <si>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</si>
  <si>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</si>
  <si>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</si>
  <si>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</si>
  <si>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</si>
  <si>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</si>
  <si>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</si>
  <si>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</si>
  <si>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</si>
  <si>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</si>
  <si>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</si>
  <si>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</si>
  <si>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</si>
  <si>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</si>
  <si>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</si>
  <si>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</si>
  <si>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</si>
  <si>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</si>
  <si>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</si>
  <si>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</si>
  <si>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</si>
  <si>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</si>
  <si>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</si>
  <si>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</si>
  <si>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</si>
  <si>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</si>
  <si>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</si>
  <si>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</si>
  <si>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</si>
  <si>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</si>
  <si>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</si>
  <si>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</si>
  <si>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</si>
  <si>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</si>
  <si>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</si>
  <si>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</si>
  <si>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</si>
  <si>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</si>
  <si>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</si>
  <si>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</si>
  <si>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</si>
  <si>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</si>
  <si>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</si>
  <si>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</si>
  <si>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</si>
  <si>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</si>
  <si>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</si>
  <si>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</si>
  <si>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</si>
  <si>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</si>
  <si>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</si>
  <si>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</si>
  <si>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</si>
  <si>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</si>
  <si>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</si>
  <si>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</si>
  <si>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</si>
  <si>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</si>
  <si>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</si>
  <si>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</si>
  <si>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</si>
  <si>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</si>
  <si>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</si>
  <si>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</si>
  <si>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</si>
  <si>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</si>
  <si>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</si>
  <si>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</si>
  <si>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</si>
  <si>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</si>
  <si>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</si>
  <si>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</si>
  <si>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</si>
  <si>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</si>
  <si>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</si>
  <si>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</si>
  <si>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</si>
  <si>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</si>
  <si>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</si>
  <si>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</si>
  <si>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</si>
  <si>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</si>
  <si>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</si>
  <si>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</si>
  <si>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</si>
  <si>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</si>
  <si>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</si>
  <si>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</si>
  <si>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</si>
  <si>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</si>
  <si>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</si>
  <si>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</si>
  <si>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</si>
  <si>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</si>
  <si>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</si>
  <si>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</si>
  <si>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</si>
  <si>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</si>
  <si>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</si>
  <si>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</si>
  <si>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</si>
  <si>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</si>
  <si>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</si>
  <si>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</si>
  <si>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</si>
  <si>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</si>
  <si>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</si>
  <si>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</si>
  <si>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</si>
  <si>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</si>
  <si>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</si>
  <si>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</si>
  <si>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</si>
  <si>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</si>
  <si>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</si>
  <si>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</si>
  <si>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</si>
  <si>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</si>
  <si>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</si>
  <si>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</si>
  <si>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</si>
  <si>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</si>
  <si>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</si>
  <si>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</si>
  <si>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</si>
  <si>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</si>
  <si>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</si>
  <si>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</si>
  <si>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</si>
  <si>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</si>
  <si>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</si>
  <si>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</si>
  <si>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</si>
  <si>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</si>
  <si>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</si>
  <si>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</si>
  <si>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</si>
  <si>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</si>
  <si>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</si>
  <si>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</si>
  <si>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</si>
  <si>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</si>
  <si>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</si>
  <si>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</si>
  <si>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</si>
  <si>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</si>
  <si>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</si>
  <si>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</si>
  <si>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</si>
  <si>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</si>
  <si>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</si>
  <si>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</si>
  <si>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</si>
  <si>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</si>
  <si>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</si>
  <si>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</si>
  <si>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</si>
  <si>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</si>
  <si>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</si>
  <si>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</si>
  <si>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</si>
  <si>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</si>
  <si>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</si>
  <si>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</si>
  <si>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</si>
  <si>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</si>
  <si>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</si>
  <si>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</si>
  <si>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</si>
  <si>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</si>
  <si>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</si>
  <si>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</si>
  <si>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</si>
  <si>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</si>
  <si>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</si>
  <si>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</si>
  <si>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</si>
  <si>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</si>
  <si>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</si>
  <si>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</si>
  <si>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</si>
  <si>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</si>
  <si>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</si>
  <si>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</si>
  <si>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</si>
  <si>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</si>
  <si>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</si>
  <si>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</si>
  <si>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</si>
  <si>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</si>
  <si>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</si>
  <si>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</si>
  <si>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</si>
  <si>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</si>
  <si>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</si>
  <si>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</si>
  <si>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</si>
  <si>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</si>
  <si>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</si>
  <si>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</si>
  <si>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</si>
  <si>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</si>
  <si>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</si>
  <si>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</si>
  <si>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</si>
  <si>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</si>
  <si>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</si>
  <si>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</si>
  <si>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</si>
  <si>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</si>
  <si>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</si>
  <si>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</si>
  <si>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</si>
  <si>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</si>
  <si>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</si>
  <si>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</si>
  <si>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</si>
  <si>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</si>
  <si>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</si>
  <si>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</si>
  <si>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</si>
  <si>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</si>
  <si>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</si>
  <si>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</si>
  <si>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</si>
  <si>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</si>
  <si>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</si>
  <si>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</si>
  <si>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</si>
  <si>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</si>
  <si>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</si>
  <si>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</si>
  <si>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</si>
  <si>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</si>
  <si>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</si>
  <si>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</si>
  <si>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</si>
  <si>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</si>
  <si>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</si>
  <si>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</si>
  <si>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</si>
  <si>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</si>
  <si>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</si>
  <si>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</si>
  <si>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</si>
  <si>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</si>
  <si>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</si>
  <si>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</si>
  <si>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</si>
  <si>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</si>
  <si>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</si>
  <si>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</si>
  <si>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</si>
  <si>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</si>
  <si>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</si>
  <si>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</si>
  <si>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</si>
  <si>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</si>
  <si>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</si>
  <si>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</si>
  <si>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</si>
  <si>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</si>
  <si>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</si>
  <si>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</si>
  <si>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</si>
  <si>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</si>
  <si>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</si>
  <si>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</si>
  <si>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</si>
  <si>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</si>
  <si>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</si>
  <si>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</si>
  <si>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</si>
  <si>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</si>
  <si>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</si>
  <si>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</si>
  <si>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</si>
  <si>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</si>
  <si>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</si>
  <si>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</si>
  <si>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</si>
  <si>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</si>
  <si>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</si>
  <si>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</si>
  <si>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</si>
  <si>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</si>
  <si>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</si>
  <si>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</si>
  <si>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</si>
  <si>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</si>
  <si>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</si>
  <si>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</si>
  <si>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</si>
  <si>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</si>
  <si>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</si>
  <si>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</si>
  <si>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</si>
  <si>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</si>
  <si>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</si>
  <si>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</si>
  <si>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</si>
  <si>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</si>
  <si>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</si>
  <si>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</si>
  <si>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</si>
  <si>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</si>
  <si>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</si>
  <si>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</si>
  <si>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</si>
  <si>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</si>
  <si>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</si>
  <si>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</si>
  <si>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</si>
  <si>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</si>
  <si>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</si>
  <si>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</si>
  <si>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</si>
  <si>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</si>
  <si>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</si>
  <si>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</si>
  <si>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</si>
  <si>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</si>
  <si>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</si>
  <si>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</si>
  <si>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</si>
  <si>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</si>
  <si>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</si>
  <si>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</si>
  <si>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</si>
  <si>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</si>
  <si>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</si>
  <si>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</si>
  <si>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</si>
  <si>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</si>
  <si>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</si>
  <si>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</si>
  <si>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</si>
  <si>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</si>
  <si>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</si>
  <si>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</si>
  <si>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</si>
  <si>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</si>
  <si>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</si>
  <si>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</si>
  <si>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</si>
  <si>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</si>
  <si>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</si>
  <si>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</si>
  <si>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</si>
  <si>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</si>
  <si>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</si>
  <si>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</si>
  <si>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</si>
  <si>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</si>
  <si>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</si>
  <si>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</si>
  <si>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</si>
  <si>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</si>
  <si>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</si>
  <si>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</si>
  <si>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</si>
  <si>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</si>
  <si>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</si>
  <si>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</si>
  <si>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</si>
  <si>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</si>
  <si>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</si>
  <si>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</si>
  <si>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</si>
  <si>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</si>
  <si>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</si>
  <si>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</si>
  <si>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</si>
  <si>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</si>
  <si>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</si>
  <si>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</si>
  <si>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</si>
  <si>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</si>
  <si>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</si>
  <si>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</si>
  <si>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</si>
  <si>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</si>
  <si>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</si>
  <si>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</si>
  <si>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</si>
  <si>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</si>
  <si>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</si>
  <si>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</si>
  <si>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</si>
  <si>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</si>
  <si>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</si>
  <si>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</si>
  <si>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</si>
  <si>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</si>
  <si>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</si>
  <si>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</si>
  <si>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</si>
  <si>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</si>
  <si>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</si>
  <si>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</si>
  <si>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</si>
  <si>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</si>
  <si>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</si>
  <si>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</si>
  <si>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</si>
  <si>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</si>
  <si>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</si>
  <si>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</si>
  <si>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</si>
  <si>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</si>
  <si>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</si>
  <si>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</si>
  <si>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</si>
  <si>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</si>
  <si>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</si>
  <si>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</si>
  <si>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</si>
  <si>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</si>
  <si>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</si>
  <si>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</si>
  <si>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</si>
  <si>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</si>
  <si>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</si>
  <si>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</si>
  <si>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</si>
  <si>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</si>
  <si>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</si>
  <si>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</si>
  <si>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</si>
  <si>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</si>
  <si>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</si>
  <si>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</si>
  <si>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</si>
  <si>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</si>
  <si>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</si>
  <si>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</si>
  <si>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</si>
  <si>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</si>
  <si>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</si>
  <si>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</si>
  <si>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</si>
  <si>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</si>
  <si>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</si>
  <si>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</si>
  <si>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</si>
  <si>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</si>
  <si>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</si>
  <si>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</si>
  <si>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</si>
  <si>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</si>
  <si>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</si>
  <si>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</si>
  <si>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</si>
  <si>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</si>
  <si>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</si>
  <si>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</si>
  <si>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</si>
  <si>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</si>
  <si>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</si>
  <si>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</si>
  <si>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</si>
  <si>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</si>
  <si>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</si>
  <si>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</si>
  <si>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</si>
  <si>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</si>
  <si>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</si>
  <si>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</si>
  <si>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</si>
  <si>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</si>
  <si>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</si>
  <si>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</si>
  <si>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</si>
  <si>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</si>
  <si>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</si>
  <si>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</si>
  <si>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</si>
  <si>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</si>
  <si>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</si>
  <si>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</si>
  <si>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</si>
  <si>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</si>
  <si>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</si>
  <si>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</si>
  <si>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</si>
  <si>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</si>
  <si>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</si>
  <si>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</si>
  <si>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</si>
  <si>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</si>
  <si>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</si>
  <si>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</si>
  <si>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</si>
  <si>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</si>
  <si>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</si>
  <si>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</si>
  <si>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</si>
  <si>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</si>
  <si>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</si>
  <si>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</si>
  <si>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</si>
  <si>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</si>
  <si>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</si>
  <si>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</si>
  <si>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</si>
  <si>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</si>
  <si>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</si>
  <si>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</si>
  <si>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</si>
  <si>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</si>
  <si>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</si>
  <si>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</si>
  <si>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</si>
  <si>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</si>
  <si>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</si>
  <si>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</si>
  <si>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</si>
  <si>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</si>
  <si>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</si>
  <si>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</si>
  <si>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</si>
  <si>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</si>
  <si>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</si>
  <si>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</si>
  <si>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</si>
  <si>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</si>
  <si>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</si>
  <si>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</si>
  <si>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</si>
  <si>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</si>
  <si>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</si>
  <si>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</si>
  <si>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</si>
  <si>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</si>
  <si>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</si>
  <si>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</si>
  <si>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</si>
  <si>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</si>
  <si>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</si>
  <si>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</si>
  <si>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</si>
  <si>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</si>
  <si>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</si>
  <si>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</si>
  <si>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</si>
  <si>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</si>
  <si>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</si>
  <si>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</si>
  <si>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</si>
  <si>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</si>
  <si>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</si>
  <si>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</si>
  <si>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</si>
  <si>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</si>
  <si>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</si>
  <si>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</si>
  <si>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</si>
  <si>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</si>
  <si>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</si>
  <si>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</si>
  <si>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</si>
  <si>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</si>
  <si>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</si>
  <si>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</si>
  <si>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</si>
  <si>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</si>
  <si>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</si>
  <si>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</si>
  <si>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</si>
  <si>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</si>
  <si>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</si>
  <si>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</si>
  <si>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</si>
  <si>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</si>
  <si>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</si>
  <si>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</si>
  <si>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</si>
  <si>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</si>
  <si>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</si>
  <si>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</si>
  <si>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</si>
  <si>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</si>
  <si>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</si>
  <si>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</si>
  <si>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</si>
  <si>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</si>
  <si>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</si>
  <si>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</si>
  <si>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</si>
  <si>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</si>
  <si>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</si>
  <si>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</si>
  <si>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</si>
  <si>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</si>
  <si>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</si>
  <si>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</si>
  <si>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</si>
  <si>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</si>
  <si>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</si>
  <si>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</si>
  <si>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</si>
  <si>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</si>
  <si>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</si>
  <si>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</si>
  <si>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</si>
  <si>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</si>
  <si>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</si>
  <si>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</si>
  <si>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</si>
  <si>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</si>
  <si>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</si>
  <si>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</si>
  <si>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</si>
  <si>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</si>
  <si>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</si>
  <si>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</si>
  <si>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</si>
  <si>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</si>
  <si>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</si>
  <si>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</si>
  <si>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</si>
  <si>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</si>
  <si>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</si>
  <si>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</si>
  <si>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</si>
  <si>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</si>
  <si>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</si>
  <si>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</si>
  <si>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</si>
  <si>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</si>
  <si>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</si>
  <si>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</si>
  <si>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</si>
  <si>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</si>
  <si>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</si>
  <si>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</si>
  <si>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</si>
  <si>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</si>
  <si>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</si>
  <si>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</si>
  <si>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</si>
  <si>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</si>
  <si>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</si>
  <si>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</si>
  <si>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</si>
  <si>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</si>
  <si>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</si>
  <si>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</si>
  <si>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</si>
  <si>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</si>
  <si>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</si>
  <si>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</si>
  <si>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</si>
  <si>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</si>
  <si>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</si>
  <si>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</si>
  <si>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</si>
  <si>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</si>
  <si>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</si>
  <si>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</si>
  <si>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</si>
  <si>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</si>
  <si>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</si>
  <si>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</si>
  <si>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</si>
  <si>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</si>
  <si>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</si>
  <si>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</si>
  <si>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</si>
  <si>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</si>
  <si>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</si>
  <si>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</si>
  <si>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</si>
  <si>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</si>
  <si>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</si>
  <si>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</si>
  <si>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</si>
  <si>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</si>
  <si>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</si>
  <si>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</si>
  <si>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</si>
  <si>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</si>
  <si>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</si>
  <si>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</si>
  <si>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</si>
  <si>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</si>
  <si>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</si>
  <si>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</si>
  <si>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</si>
  <si>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</si>
  <si>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</si>
  <si>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</si>
  <si>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</si>
  <si>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</si>
  <si>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</si>
  <si>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</si>
  <si>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</si>
  <si>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</si>
  <si>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</si>
  <si>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</si>
  <si>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</si>
  <si>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</si>
  <si>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</si>
  <si>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</si>
  <si>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</si>
  <si>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</si>
  <si>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</si>
  <si>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</si>
  <si>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</si>
  <si>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</si>
  <si>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</si>
  <si>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</si>
  <si>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</si>
  <si>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</si>
  <si>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</si>
  <si>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</si>
  <si>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</si>
  <si>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</si>
  <si>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</si>
  <si>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</si>
  <si>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</si>
  <si>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</si>
  <si>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</si>
  <si>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</si>
  <si>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</si>
  <si>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</si>
  <si>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</si>
  <si>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</si>
  <si>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</si>
  <si>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</si>
  <si>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</si>
  <si>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</si>
  <si>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</si>
  <si>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</si>
  <si>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</si>
  <si>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</si>
  <si>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</si>
  <si>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</si>
  <si>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</si>
  <si>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</si>
  <si>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</si>
  <si>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</si>
  <si>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</si>
  <si>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</si>
  <si>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</si>
  <si>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</si>
  <si>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</si>
  <si>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</si>
  <si>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</si>
  <si>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</si>
  <si>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</si>
  <si>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</si>
  <si>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</si>
  <si>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</si>
  <si>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</si>
  <si>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</si>
  <si>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</si>
  <si>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</si>
  <si>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</si>
  <si>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</si>
  <si>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</si>
  <si>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</si>
  <si>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</si>
  <si>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</si>
  <si>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</si>
  <si>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</si>
  <si>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</si>
  <si>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</si>
  <si>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</si>
  <si>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</si>
  <si>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</si>
  <si>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</si>
  <si>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</si>
  <si>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</si>
  <si>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</si>
  <si>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</si>
  <si>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</si>
  <si>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</si>
  <si>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</si>
  <si>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</si>
  <si>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</si>
  <si>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</si>
  <si>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</si>
  <si>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</si>
  <si>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</si>
  <si>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</si>
  <si>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</si>
  <si>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</si>
  <si>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</si>
  <si>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</si>
  <si>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</si>
  <si>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</si>
  <si>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</si>
  <si>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</si>
  <si>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</si>
  <si>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</si>
  <si>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</si>
  <si>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</si>
  <si>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</si>
  <si>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</si>
  <si>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</si>
  <si>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</si>
  <si>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</si>
  <si>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</si>
  <si>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</si>
  <si>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</si>
  <si>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</si>
  <si>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</si>
  <si>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</si>
  <si>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</si>
  <si>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</si>
  <si>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</si>
  <si>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</si>
  <si>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</si>
  <si>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</si>
  <si>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</si>
  <si>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</si>
  <si>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</si>
  <si>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</si>
  <si>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</si>
  <si>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</si>
  <si>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</si>
  <si>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</si>
  <si>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</si>
  <si>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</si>
  <si>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</si>
  <si>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</si>
  <si>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</si>
  <si>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</si>
  <si>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</si>
  <si>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</si>
  <si>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</si>
  <si>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</si>
  <si>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</si>
  <si>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</si>
  <si>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</si>
  <si>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</si>
  <si>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</si>
  <si>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</si>
  <si>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</si>
  <si>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</si>
  <si>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</si>
  <si>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</si>
  <si>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</si>
  <si>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</si>
  <si>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</si>
  <si>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</si>
  <si>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</si>
  <si>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</si>
  <si>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</si>
  <si>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</si>
  <si>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</si>
  <si>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</si>
  <si>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</si>
  <si>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</si>
  <si>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</si>
  <si>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</si>
  <si>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</si>
  <si>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</si>
  <si>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</si>
  <si>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</si>
  <si>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</si>
  <si>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</si>
  <si>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</si>
  <si>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</si>
  <si>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</si>
  <si>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</si>
  <si>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</si>
  <si>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</si>
  <si>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</si>
  <si>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</si>
  <si>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</si>
  <si>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</si>
  <si>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</si>
  <si>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</si>
  <si>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</si>
  <si>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</si>
  <si>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</si>
  <si>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</si>
  <si>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</si>
  <si>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</si>
  <si>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</si>
  <si>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</si>
  <si>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</si>
  <si>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</si>
  <si>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</si>
  <si>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</si>
  <si>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</si>
  <si>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</si>
  <si>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</si>
  <si>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</si>
  <si>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</si>
  <si>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</si>
  <si>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</si>
  <si>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</si>
  <si>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</si>
  <si>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</si>
  <si>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</si>
  <si>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</si>
  <si>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</si>
  <si>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</si>
  <si>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</si>
  <si>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</si>
  <si>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</si>
  <si>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</si>
  <si>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</si>
  <si>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</si>
  <si>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</si>
  <si>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</si>
  <si>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</si>
  <si>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</si>
  <si>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</si>
  <si>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</si>
  <si>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</si>
  <si>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</si>
  <si>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</si>
  <si>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</si>
  <si>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</si>
  <si>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</si>
  <si>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</si>
  <si>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</si>
  <si>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</si>
  <si>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</si>
  <si>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</si>
  <si>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</si>
  <si>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</si>
  <si>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</si>
  <si>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</si>
  <si>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</si>
  <si>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</si>
  <si>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</si>
  <si>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</si>
  <si>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</si>
  <si>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</si>
  <si>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</si>
  <si>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</si>
  <si>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</si>
  <si>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</si>
  <si>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</si>
  <si>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</si>
  <si>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</si>
  <si>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</si>
  <si>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</si>
  <si>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</si>
  <si>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</si>
  <si>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</si>
  <si>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</si>
  <si>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</si>
  <si>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</si>
  <si>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</si>
  <si>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</si>
  <si>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</si>
  <si>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</si>
  <si>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</si>
  <si>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</si>
  <si>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</si>
  <si>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</si>
  <si>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</si>
  <si>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</si>
  <si>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</si>
  <si>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</si>
  <si>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</si>
  <si>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</si>
  <si>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</si>
  <si>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</si>
  <si>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</si>
  <si>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</si>
  <si>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</si>
  <si>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</si>
  <si>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</si>
  <si>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</si>
  <si>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</si>
  <si>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</si>
  <si>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</si>
  <si>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</si>
  <si>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</si>
  <si>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</si>
  <si>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</si>
  <si>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</si>
  <si>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</si>
  <si>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</si>
  <si>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</si>
  <si>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</si>
  <si>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</si>
  <si>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</si>
  <si>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</si>
  <si>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</si>
  <si>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</si>
  <si>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</si>
  <si>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</si>
  <si>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</si>
  <si>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</si>
  <si>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</si>
  <si>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</si>
  <si>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</si>
  <si>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</si>
  <si>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</si>
  <si>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</si>
  <si>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</si>
  <si>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</si>
  <si>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</si>
  <si>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</si>
  <si>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</si>
  <si>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</si>
  <si>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</si>
  <si>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</si>
  <si>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</si>
  <si>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</si>
  <si>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</si>
  <si>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</si>
  <si>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</si>
  <si>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</si>
  <si>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</si>
  <si>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</si>
  <si>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</si>
  <si>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</si>
  <si>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</si>
  <si>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</si>
  <si>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</si>
  <si>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</si>
  <si>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</si>
  <si>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</si>
  <si>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</si>
  <si>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</si>
  <si>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</si>
  <si>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</si>
  <si>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</si>
  <si>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</si>
  <si>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</si>
  <si>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</si>
  <si>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</si>
  <si>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</si>
  <si>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</si>
  <si>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</si>
  <si>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</si>
  <si>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</si>
  <si>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</si>
  <si>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</si>
  <si>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</si>
  <si>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</si>
  <si>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</si>
  <si>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</si>
  <si>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</si>
  <si>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</si>
  <si>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</si>
  <si>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</si>
  <si>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</si>
  <si>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</si>
  <si>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</si>
  <si>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</si>
  <si>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</si>
  <si>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</si>
  <si>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</si>
  <si>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</si>
  <si>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</si>
  <si>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</si>
  <si>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</si>
  <si>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</si>
  <si>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</si>
  <si>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</si>
  <si>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</si>
  <si>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</si>
  <si>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</si>
  <si>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</si>
  <si>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</si>
  <si>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</si>
  <si>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</si>
  <si>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</si>
  <si>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</si>
  <si>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</si>
  <si>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</si>
  <si>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</si>
  <si>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</si>
  <si>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</si>
  <si>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</si>
  <si>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</si>
  <si>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</si>
  <si>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</si>
  <si>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</si>
  <si>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</si>
  <si>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</si>
  <si>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</si>
  <si>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</si>
  <si>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</si>
  <si>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</si>
  <si>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</si>
  <si>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</si>
  <si>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</si>
  <si>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</si>
  <si>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</si>
  <si>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</si>
  <si>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</si>
  <si>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</si>
  <si>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</si>
  <si>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</si>
  <si>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</si>
  <si>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</si>
  <si>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</si>
  <si>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</si>
  <si>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</si>
  <si>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</si>
  <si>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</si>
  <si>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</si>
  <si>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</si>
  <si>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</si>
  <si>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</si>
  <si>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</si>
  <si>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</si>
  <si>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</si>
  <si>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</si>
  <si>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</si>
  <si>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</si>
  <si>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</si>
  <si>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</si>
  <si>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</si>
  <si>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</si>
  <si>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</si>
  <si>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</si>
  <si>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</si>
  <si>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</si>
  <si>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</si>
  <si>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</si>
  <si>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</si>
  <si>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</si>
  <si>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</si>
  <si>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</si>
  <si>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</si>
  <si>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</si>
  <si>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</si>
  <si>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</si>
  <si>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</si>
  <si>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</si>
  <si>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</si>
  <si>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</si>
  <si>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</si>
  <si>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</si>
  <si>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</si>
  <si>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</si>
  <si>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</si>
  <si>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</si>
  <si>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</si>
  <si>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</si>
  <si>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</si>
  <si>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</si>
  <si>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</si>
  <si>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</si>
  <si>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</si>
  <si>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</si>
  <si>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</si>
  <si>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</si>
  <si>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</si>
  <si>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</si>
  <si>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</si>
  <si>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</si>
  <si>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</si>
  <si>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</si>
  <si>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</si>
  <si>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</si>
  <si>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</si>
  <si>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</si>
  <si>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</si>
  <si>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</si>
  <si>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</si>
  <si>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</si>
  <si>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</si>
  <si>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</si>
  <si>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</si>
  <si>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</si>
  <si>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</si>
  <si>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</si>
  <si>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</si>
  <si>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</si>
  <si>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</si>
  <si>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</si>
  <si>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</si>
  <si>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</si>
  <si>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</si>
  <si>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</si>
  <si>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</si>
  <si>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</si>
  <si>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</si>
  <si>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</si>
  <si>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</si>
  <si>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</si>
  <si>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</si>
  <si>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</si>
  <si>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</si>
  <si>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</si>
  <si>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</si>
  <si>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</si>
  <si>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</si>
  <si>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</si>
  <si>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</si>
  <si>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</si>
  <si>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</si>
  <si>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</si>
  <si>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</si>
  <si>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</si>
  <si>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</si>
  <si>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</si>
  <si>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</si>
  <si>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</si>
  <si>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</si>
  <si>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</si>
  <si>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</si>
  <si>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</si>
  <si>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</si>
  <si>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</si>
  <si>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</si>
  <si>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</si>
  <si>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</si>
  <si>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</si>
  <si>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</si>
  <si>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</si>
  <si>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</si>
  <si>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</si>
  <si>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</si>
  <si>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</si>
  <si>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</si>
  <si>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</si>
  <si>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</si>
  <si>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</si>
  <si>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</si>
  <si>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</si>
  <si>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</si>
  <si>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</si>
  <si>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</si>
  <si>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收益法-2层</t>
    <phoneticPr fontId="3" type="noConversion"/>
  </si>
  <si>
    <t>收益法-3层</t>
    <phoneticPr fontId="3" type="noConversion"/>
  </si>
  <si>
    <t>收益法-4层</t>
    <phoneticPr fontId="3" type="noConversion"/>
  </si>
  <si>
    <t>收益法-1层</t>
    <phoneticPr fontId="3" type="noConversion"/>
  </si>
  <si>
    <t>2018-1-0335-P01DYGJ1</t>
    <phoneticPr fontId="3" type="noConversion"/>
  </si>
  <si>
    <t>欧红伟</t>
  </si>
  <si>
    <t>崔锴</t>
  </si>
  <si>
    <t>北京市朝阳区管庄农工商联合公司</t>
    <phoneticPr fontId="3" type="noConversion"/>
  </si>
  <si>
    <t>北京农商银行总行商务中心区支行</t>
    <phoneticPr fontId="3" type="noConversion"/>
  </si>
  <si>
    <t>抵押</t>
  </si>
  <si>
    <t>房地产抵押价值</t>
  </si>
  <si>
    <t>北京市</t>
  </si>
  <si>
    <t>企业</t>
  </si>
  <si>
    <t>划拨</t>
  </si>
  <si>
    <t>朝阳区建国路管庄6号</t>
    <phoneticPr fontId="3" type="noConversion"/>
  </si>
  <si>
    <t>原件</t>
  </si>
  <si>
    <t>否</t>
  </si>
  <si>
    <t>商业项目</t>
  </si>
  <si>
    <t>无</t>
  </si>
  <si>
    <t>现房</t>
  </si>
  <si>
    <t>通路</t>
  </si>
  <si>
    <t>通电</t>
  </si>
  <si>
    <t>通上水</t>
  </si>
  <si>
    <t>通下水</t>
  </si>
  <si>
    <t>通讯</t>
  </si>
  <si>
    <t>是</t>
  </si>
  <si>
    <t>京房权证朝国03字第01417号</t>
    <phoneticPr fontId="3" type="noConversion"/>
  </si>
  <si>
    <t>3层</t>
  </si>
  <si>
    <t>4层</t>
  </si>
  <si>
    <t>地上</t>
  </si>
  <si>
    <t>办公楼</t>
  </si>
  <si>
    <t>成新度</t>
  </si>
  <si>
    <t>成本法</t>
  </si>
  <si>
    <t>收益法（汇总）</t>
  </si>
  <si>
    <t>押一</t>
  </si>
  <si>
    <t>按租金收入计税</t>
  </si>
  <si>
    <t>砖混</t>
  </si>
  <si>
    <t>非生产用房</t>
  </si>
  <si>
    <t>其他商服用地</t>
  </si>
  <si>
    <t>估价对象容积率</t>
  </si>
  <si>
    <t>不临58条商业街</t>
  </si>
  <si>
    <t>五通一平</t>
  </si>
  <si>
    <t>缺少</t>
  </si>
  <si>
    <t>通热</t>
  </si>
  <si>
    <t>燃气</t>
  </si>
  <si>
    <t>一般</t>
  </si>
  <si>
    <t>较好</t>
  </si>
  <si>
    <t>好</t>
  </si>
  <si>
    <t>未包含在土地购买价格中</t>
  </si>
  <si>
    <t>已包含在土地取得成本中</t>
  </si>
  <si>
    <t>成本比率</t>
  </si>
  <si>
    <t>京朝国用（2003划）字第0302号</t>
    <phoneticPr fontId="3" type="noConversion"/>
  </si>
  <si>
    <t>租金</t>
  </si>
  <si>
    <t>估价方法</t>
  </si>
  <si>
    <t>管庄乡6号</t>
    <phoneticPr fontId="3" type="noConversion"/>
  </si>
  <si>
    <t>办公</t>
    <phoneticPr fontId="32" type="noConversion"/>
  </si>
  <si>
    <t>2、3幢</t>
  </si>
  <si>
    <t>收益法-1、4</t>
    <phoneticPr fontId="16" type="noConversion"/>
  </si>
  <si>
    <t>1幢</t>
    <phoneticPr fontId="3" type="noConversion"/>
  </si>
  <si>
    <t>2幢</t>
    <phoneticPr fontId="3" type="noConversion"/>
  </si>
  <si>
    <t>3幢</t>
    <phoneticPr fontId="3" type="noConversion"/>
  </si>
  <si>
    <t>4幢</t>
    <phoneticPr fontId="3" type="noConversion"/>
  </si>
  <si>
    <t>办公用房</t>
  </si>
  <si>
    <t>办公用房</t>
    <phoneticPr fontId="3" type="noConversion"/>
  </si>
  <si>
    <t>收益法</t>
  </si>
  <si>
    <t>收益法</t>
    <phoneticPr fontId="16" type="noConversion"/>
  </si>
  <si>
    <t>建安费用</t>
    <phoneticPr fontId="3" type="noConversion"/>
  </si>
  <si>
    <t>1幢</t>
    <phoneticPr fontId="3" type="noConversion"/>
  </si>
  <si>
    <r>
      <t>2</t>
    </r>
    <r>
      <rPr>
        <sz val="10"/>
        <color indexed="8"/>
        <rFont val="宋体"/>
        <family val="3"/>
        <charset val="134"/>
      </rPr>
      <t>幢</t>
    </r>
    <phoneticPr fontId="3" type="noConversion"/>
  </si>
  <si>
    <r>
      <t>3</t>
    </r>
    <r>
      <rPr>
        <sz val="11"/>
        <color indexed="8"/>
        <rFont val="宋体"/>
        <family val="3"/>
        <charset val="134"/>
      </rPr>
      <t>幢</t>
    </r>
    <phoneticPr fontId="3" type="noConversion"/>
  </si>
  <si>
    <r>
      <t>4</t>
    </r>
    <r>
      <rPr>
        <sz val="11"/>
        <color indexed="8"/>
        <rFont val="宋体"/>
        <family val="3"/>
        <charset val="134"/>
      </rPr>
      <t>幢</t>
    </r>
    <phoneticPr fontId="3" type="noConversion"/>
  </si>
  <si>
    <t>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</si>
</sst>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8" tint="0.79998168889431442"/>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4" fontId="254" fillId="0" borderId="13" xfId="0" applyNumberFormat="1" applyFont="1" applyFill="1" applyBorder="1" applyAlignment="1" applyProtection="1">
      <alignment horizontal="left" vertical="center"/>
      <protection locked="0"/>
    </xf>
    <xf numFmtId="14" fontId="23" fillId="5" borderId="78" xfId="0" applyNumberFormat="1" applyFont="1" applyFill="1" applyBorder="1" applyAlignment="1" applyProtection="1">
      <alignment horizontal="center" vertical="center"/>
      <protection locked="0"/>
    </xf>
    <xf numFmtId="0" fontId="23" fillId="7" borderId="54"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256"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81" fontId="56" fillId="0" borderId="24"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0" fontId="11" fillId="17" borderId="1" xfId="0"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0" fontId="47" fillId="17" borderId="1" xfId="0" applyFont="1" applyFill="1" applyBorder="1" applyAlignment="1" applyProtection="1">
      <alignment horizontal="center" vertical="center" wrapText="1"/>
      <protection locked="0"/>
    </xf>
    <xf numFmtId="0" fontId="47" fillId="17" borderId="2" xfId="0" applyFont="1" applyFill="1" applyBorder="1" applyAlignment="1" applyProtection="1">
      <alignment horizontal="center" vertical="center" wrapText="1"/>
      <protection locked="0"/>
    </xf>
    <xf numFmtId="0" fontId="50" fillId="17" borderId="1" xfId="0"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137" fillId="19" borderId="1" xfId="0" applyFont="1" applyFill="1" applyBorder="1" applyAlignment="1" applyProtection="1">
      <alignment horizontal="center" vertical="center" wrapText="1"/>
      <protection locked="0"/>
    </xf>
    <xf numFmtId="0" fontId="47" fillId="19" borderId="2" xfId="0" applyFont="1" applyFill="1" applyBorder="1" applyAlignment="1" applyProtection="1">
      <alignment horizontal="center" vertical="center" wrapText="1"/>
      <protection locked="0"/>
    </xf>
    <xf numFmtId="0" fontId="11" fillId="19" borderId="1" xfId="0" applyFont="1" applyFill="1" applyBorder="1" applyAlignment="1" applyProtection="1">
      <alignment horizontal="center" vertical="center" wrapText="1"/>
      <protection locked="0"/>
    </xf>
    <xf numFmtId="0" fontId="50" fillId="19" borderId="1" xfId="0" applyFont="1" applyFill="1" applyBorder="1" applyAlignment="1" applyProtection="1">
      <alignment horizontal="center" vertical="center" wrapText="1"/>
      <protection locked="0"/>
    </xf>
    <xf numFmtId="0" fontId="47" fillId="19" borderId="1" xfId="0" applyFont="1" applyFill="1" applyBorder="1" applyAlignment="1" applyProtection="1">
      <alignment horizontal="center" vertical="center" wrapText="1"/>
      <protection locked="0"/>
    </xf>
    <xf numFmtId="0" fontId="47" fillId="11" borderId="2"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256457</xdr:colOff>
      <xdr:row>28</xdr:row>
      <xdr:rowOff>170829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42857" cy="4971429"/>
        </a:xfrm>
        <a:prstGeom prst="rect">
          <a:avLst/>
        </a:prstGeom>
      </xdr:spPr>
    </xdr:pic>
    <xdr:clientData/>
  </xdr:twoCellAnchor>
  <xdr:twoCellAnchor editAs="oneCell">
    <xdr:from>
      <xdr:col>9</xdr:col>
      <xdr:colOff>0</xdr:colOff>
      <xdr:row>0</xdr:row>
      <xdr:rowOff>0</xdr:rowOff>
    </xdr:from>
    <xdr:to>
      <xdr:col>22</xdr:col>
      <xdr:colOff>456028</xdr:colOff>
      <xdr:row>34</xdr:row>
      <xdr:rowOff>94509</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9371428" cy="5923809"/>
        </a:xfrm>
        <a:prstGeom prst="rect">
          <a:avLst/>
        </a:prstGeom>
      </xdr:spPr>
    </xdr:pic>
    <xdr:clientData/>
  </xdr:twoCellAnchor>
  <xdr:twoCellAnchor editAs="oneCell">
    <xdr:from>
      <xdr:col>9</xdr:col>
      <xdr:colOff>0</xdr:colOff>
      <xdr:row>35</xdr:row>
      <xdr:rowOff>0</xdr:rowOff>
    </xdr:from>
    <xdr:to>
      <xdr:col>22</xdr:col>
      <xdr:colOff>513172</xdr:colOff>
      <xdr:row>56</xdr:row>
      <xdr:rowOff>161455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6000750"/>
          <a:ext cx="9428572" cy="3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北京市朝阳区建国路管庄6号房地产抵押价值预评估</v>
      </c>
    </row>
    <row r="3" spans="1:2" s="1590" customFormat="1">
      <c r="A3" s="1588" t="s">
        <v>1221</v>
      </c>
      <c r="B3" s="1589" t="str">
        <f>'预评函-封皮'!B40</f>
        <v>北京市朝阳区管庄农工商联合公司</v>
      </c>
    </row>
    <row r="4" spans="1:2" s="1590" customFormat="1">
      <c r="A4" s="1588" t="s">
        <v>1222</v>
      </c>
      <c r="B4" s="1589" t="str">
        <f ca="1">'预评函-封皮'!B46</f>
        <v>欧红伟（注册号：1120000080)、崔锴（注册号：1120100036)</v>
      </c>
    </row>
    <row r="5" spans="1:2" s="1584" customFormat="1" ht="15" thickBot="1">
      <c r="A5" s="1591" t="s">
        <v>1223</v>
      </c>
      <c r="B5" s="1592" t="str">
        <f>'预评函-封皮'!B49</f>
        <v>康正预评字2018-1-0335-P01DYGJ1号</v>
      </c>
    </row>
    <row r="6" spans="1:2" s="1587" customFormat="1" ht="15" thickTop="1">
      <c r="A6" s="1585" t="s">
        <v>1224</v>
      </c>
      <c r="B6" s="1586" t="str">
        <f>'预评函-1'!A4</f>
        <v>受贵公司委托，我公司对北京市朝阳区建国路管庄6号房地产抵押价值进行了预评估。</v>
      </c>
    </row>
    <row r="7" spans="1:2" s="1590" customFormat="1">
      <c r="A7" s="1588" t="s">
        <v>1264</v>
      </c>
      <c r="B7" s="1589" t="str">
        <f>'预评函-1'!A7</f>
        <v>估价对象为北京市朝阳区建国路管庄6号房地产，为北京市朝阳区管庄农工商联合公司所有。根据《国有土地使用证》[]，估价对象（分摊）出让国有建设用地使用权面积为2957.47平方米，建筑面积为4704.86平方米。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为估价委托人在向北京农商银行总行商务中心区支行办理贷款手续过程中，确定房地产抵押贷款额度提供参考依据而评估房地产抵押价值。</v>
      </c>
    </row>
    <row r="12" spans="1:2" s="1590" customFormat="1">
      <c r="A12" s="1588" t="s">
        <v>1226</v>
      </c>
      <c r="B12" s="1589" t="str">
        <f>'预评函-1'!A15</f>
        <v>2018年5月18日（评估专业人员实地查勘之日）</v>
      </c>
    </row>
    <row r="13" spans="1:2" s="1590" customFormat="1">
      <c r="A13" s="1588" t="s">
        <v>1227</v>
      </c>
      <c r="B13" s="1589" t="str">
        <f>'预评函-1'!A18</f>
        <v>本次估价的“房地产价值”是指在正常市场情况下，在价值时点2018年5月18日，估价对象规划用途为，土地取得方式为划拨，假定未设立法定优先受偿款下的房地产市场价值。</v>
      </c>
    </row>
    <row r="14" spans="1:2" s="1590" customFormat="1">
      <c r="A14" s="1588" t="s">
        <v>1228</v>
      </c>
      <c r="B14" s="1589" t="str">
        <f>'预评函-1'!A19</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10049</v>
      </c>
    </row>
    <row r="21" spans="1:2" s="1590" customFormat="1">
      <c r="A21" s="1588" t="s">
        <v>1235</v>
      </c>
      <c r="B21" s="1589">
        <f ca="1">'预评函-2'!D7</f>
        <v>21359</v>
      </c>
    </row>
    <row r="22" spans="1:2" s="1590" customFormat="1">
      <c r="A22" s="1588" t="s">
        <v>1236</v>
      </c>
      <c r="B22" s="1589" t="str">
        <f ca="1">'预评函-2'!D6</f>
        <v>壹亿零肆拾玖万元整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10049</v>
      </c>
    </row>
    <row r="31" spans="1:2" s="1590" customFormat="1">
      <c r="A31" s="1588" t="s">
        <v>1274</v>
      </c>
      <c r="B31" s="1589">
        <f ca="1">'预评函-2'!D15</f>
        <v>21359</v>
      </c>
    </row>
    <row r="32" spans="1:2" s="1590" customFormat="1">
      <c r="A32" s="1588" t="s">
        <v>1241</v>
      </c>
      <c r="B32" s="1589" t="str">
        <f ca="1">'预评函-2'!D14</f>
        <v>壹亿零肆拾玖万元整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北京市朝阳区建国路管庄6号房地产</v>
      </c>
    </row>
    <row r="42" spans="1:2" s="1590" customFormat="1">
      <c r="A42" s="1588" t="s">
        <v>1288</v>
      </c>
      <c r="B42" s="1589" t="str">
        <f>'预评函-3'!B2</f>
        <v>建筑面积</v>
      </c>
    </row>
    <row r="43" spans="1:2" s="1590" customFormat="1">
      <c r="A43" s="1588" t="s">
        <v>1289</v>
      </c>
      <c r="B43" s="1589">
        <f>'预评函-3'!B4</f>
        <v>4704.8599999999997</v>
      </c>
    </row>
    <row r="44" spans="1:2" s="1590" customFormat="1">
      <c r="A44" s="1588" t="s">
        <v>1273</v>
      </c>
      <c r="B44" s="1589" t="str">
        <f>'预评函-3'!C2</f>
        <v>(分摊)土地面积</v>
      </c>
    </row>
    <row r="45" spans="1:2" s="1590" customFormat="1">
      <c r="A45" s="1588" t="s">
        <v>1245</v>
      </c>
      <c r="B45" s="1589">
        <f>'预评函-3'!C4</f>
        <v>2957.47</v>
      </c>
    </row>
    <row r="46" spans="1:2" s="1590" customFormat="1">
      <c r="A46" s="1588" t="s">
        <v>1271</v>
      </c>
      <c r="B46" s="1589" t="str">
        <f>'预评函-3'!D2</f>
        <v>出让国有建设用地使用权价值</v>
      </c>
    </row>
    <row r="47" spans="1:2" s="1590" customFormat="1">
      <c r="A47" s="1588" t="s">
        <v>1246</v>
      </c>
      <c r="B47" s="1589">
        <f ca="1">'预评函-3'!D4</f>
        <v>8682</v>
      </c>
    </row>
    <row r="48" spans="1:2" s="1590" customFormat="1">
      <c r="A48" s="1588" t="s">
        <v>1247</v>
      </c>
      <c r="B48" s="1589">
        <f ca="1">'预评函-3'!E4</f>
        <v>18453</v>
      </c>
    </row>
    <row r="49" spans="1:2" s="1590" customFormat="1">
      <c r="A49" s="1588" t="s">
        <v>1248</v>
      </c>
      <c r="B49" s="1589" t="str">
        <f ca="1">'预评函-3'!D5</f>
        <v>捌仟陆佰捌拾贰万元整</v>
      </c>
    </row>
    <row r="50" spans="1:2" s="1590" customFormat="1">
      <c r="A50" s="1588" t="s">
        <v>1272</v>
      </c>
      <c r="B50" s="1589" t="str">
        <f>'预评函-3'!F2</f>
        <v>在建建筑物价值</v>
      </c>
    </row>
    <row r="51" spans="1:2" s="1590" customFormat="1">
      <c r="A51" s="1588" t="s">
        <v>1249</v>
      </c>
      <c r="B51" s="1589">
        <f ca="1">'预评函-3'!F4</f>
        <v>1367</v>
      </c>
    </row>
    <row r="52" spans="1:2" s="1590" customFormat="1">
      <c r="A52" s="1588" t="s">
        <v>1250</v>
      </c>
      <c r="B52" s="1589">
        <f ca="1">'预评函-3'!G4</f>
        <v>2906</v>
      </c>
    </row>
    <row r="53" spans="1:2" s="1590" customFormat="1">
      <c r="A53" s="1588" t="s">
        <v>1278</v>
      </c>
      <c r="B53" s="1589" t="str">
        <f ca="1">'预评函-3'!F5</f>
        <v>壹仟叁佰陆拾柒万元整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（1）根据估价对象《房屋所有权证》原件、《国有土地使用权》原件，截至价值时点，估价对象抵押权未见登记。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欧红伟</v>
      </c>
    </row>
    <row r="71" spans="1:2">
      <c r="A71" s="1588" t="s">
        <v>1261</v>
      </c>
      <c r="B71" s="1589">
        <f ca="1">'预评函-4'!B4</f>
        <v>1120000080</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8" workbookViewId="0">
      <selection activeCell="X24" sqref="X24"/>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949" t="s">
        <v>3052</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948" t="s">
        <v>3049</v>
      </c>
      <c r="C17" s="2012"/>
    </row>
    <row r="18" spans="1:3">
      <c r="A18" s="2011" t="s">
        <v>1766</v>
      </c>
      <c r="B18" s="2948" t="s">
        <v>3050</v>
      </c>
      <c r="C18" s="2012"/>
    </row>
    <row r="19" spans="1:3">
      <c r="A19" s="2011" t="s">
        <v>1767</v>
      </c>
      <c r="B19" s="2948" t="s">
        <v>3051</v>
      </c>
      <c r="C19" s="2012"/>
    </row>
    <row r="20" spans="1:3">
      <c r="A20" s="2011" t="s">
        <v>1768</v>
      </c>
      <c r="B20" s="2011" t="s">
        <v>3106</v>
      </c>
      <c r="C20" s="2012"/>
    </row>
    <row r="21" spans="1:3">
      <c r="A21" s="2011" t="s">
        <v>1769</v>
      </c>
      <c r="B21" s="2011" t="s">
        <v>3114</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为估价委托人在向北京农商银行总行商务中心区支行办理贷款手续过程中，确定房地产抵押贷款额度提供参考依据而评估房地产抵押价值。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管庄农工商联合公司拟使用北京市朝阳区建国路管庄6号房地产作为抵押担保物，向北京农商银行总行商务中心区支行办理贷款手续。北京农商银行总行商务中心区支行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4"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9" t="s">
        <v>864</v>
      </c>
      <c r="C54" s="2016" t="s">
        <v>1281</v>
      </c>
    </row>
    <row r="55" spans="1:4">
      <c r="A55" s="3004"/>
      <c r="B55" s="2019" t="s">
        <v>865</v>
      </c>
      <c r="C55" s="2016" t="s">
        <v>1282</v>
      </c>
    </row>
    <row r="56" spans="1:4">
      <c r="A56" s="3004"/>
      <c r="B56" s="2019" t="s">
        <v>866</v>
      </c>
      <c r="C56" s="2016" t="s">
        <v>1286</v>
      </c>
    </row>
    <row r="57" spans="1:4">
      <c r="A57" s="3004"/>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0" sqref="I3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05" t="str">
        <f>IF(B10="北京市","北京市",C10)&amp;F10&amp;IF(结果表!G1="在建","出让国有建设用地使用权及在建建筑物",IF(结果表!G1="土地","出让国有建设用地使用权",))&amp;B9&amp;"预评估"</f>
        <v>北京市朝阳区建国路管庄6号房地产抵押价值预评估</v>
      </c>
      <c r="C1" s="3006"/>
      <c r="D1" s="3006"/>
      <c r="E1" s="3006"/>
      <c r="F1" s="3006"/>
      <c r="G1" s="3006"/>
      <c r="H1" s="3006"/>
      <c r="I1" s="300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北京市朝阳区建国路管庄6号房地产抵押价值</v>
      </c>
    </row>
    <row r="2" spans="1:19" ht="18" customHeight="1">
      <c r="A2" s="2023" t="s">
        <v>1776</v>
      </c>
      <c r="B2" s="1036" t="s">
        <v>3053</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北京市朝阳区建国路管庄6号房地产</v>
      </c>
    </row>
    <row r="3" spans="1:19" ht="18" customHeight="1">
      <c r="A3" s="2032" t="s">
        <v>1777</v>
      </c>
      <c r="B3" s="2950">
        <v>43238</v>
      </c>
      <c r="C3" s="2034" t="s">
        <v>1778</v>
      </c>
      <c r="D3" s="2033">
        <f>B3</f>
        <v>43238</v>
      </c>
      <c r="E3" s="2023"/>
      <c r="F3" s="2023"/>
      <c r="G3" s="2023"/>
      <c r="H3" s="2023"/>
      <c r="I3" s="2023"/>
      <c r="J3" s="2023"/>
      <c r="K3" s="2024"/>
      <c r="L3" s="2025"/>
      <c r="M3" s="2025"/>
      <c r="N3" s="2026"/>
      <c r="O3" s="2027"/>
      <c r="P3" s="2026"/>
      <c r="Q3" s="2026"/>
      <c r="R3" s="2026"/>
      <c r="S3" s="2028"/>
    </row>
    <row r="4" spans="1:19" ht="18" customHeight="1" thickBot="1">
      <c r="A4" s="2035" t="s">
        <v>1779</v>
      </c>
      <c r="B4" s="2951" t="s">
        <v>3054</v>
      </c>
      <c r="C4" s="1034">
        <f ca="1">SUMIF(注册房地产估价师,B4,估价师及机构信息!B3:B24)</f>
        <v>1120000080</v>
      </c>
      <c r="D4" s="2036" t="s">
        <v>3055</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1780</v>
      </c>
      <c r="B5" s="2952" t="s">
        <v>3056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53"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t="str">
        <f>B5</f>
        <v>北京市朝阳区管庄农工商联合公司</v>
      </c>
      <c r="C7" s="2045"/>
      <c r="D7" s="2046"/>
      <c r="E7" s="2031"/>
      <c r="F7" s="2039"/>
      <c r="G7" s="2039"/>
      <c r="H7" s="2039"/>
      <c r="I7" s="2039"/>
      <c r="J7" s="2039"/>
      <c r="K7" s="2049"/>
      <c r="L7" s="2025"/>
      <c r="M7" s="2025"/>
      <c r="N7" s="2026"/>
      <c r="O7" s="2027"/>
      <c r="P7" s="2026"/>
      <c r="Q7" s="2026"/>
      <c r="R7" s="2026"/>
    </row>
    <row r="8" spans="1:19" ht="18" customHeight="1">
      <c r="A8" s="2044" t="s">
        <v>1783</v>
      </c>
      <c r="B8" s="2050" t="s">
        <v>3058</v>
      </c>
      <c r="C8" s="2051"/>
      <c r="D8" s="3008" t="s">
        <v>1784</v>
      </c>
      <c r="E8" s="2052" t="s">
        <v>3059</v>
      </c>
      <c r="F8" s="2053"/>
      <c r="G8" s="2023"/>
      <c r="H8" s="2023"/>
      <c r="I8" s="2023"/>
      <c r="J8" s="2039"/>
      <c r="K8" s="2040"/>
      <c r="L8" s="2025"/>
      <c r="M8" s="2025"/>
      <c r="N8" s="2026"/>
      <c r="O8" s="2027"/>
      <c r="P8" s="2026"/>
      <c r="Q8" s="2026"/>
      <c r="R8" s="2026"/>
    </row>
    <row r="9" spans="1:19" ht="18" customHeight="1" thickBot="1">
      <c r="A9" s="2037" t="s">
        <v>1785</v>
      </c>
      <c r="B9" s="2054" t="s">
        <v>3059</v>
      </c>
      <c r="C9" s="2055"/>
      <c r="D9" s="3009"/>
      <c r="E9" s="2054" t="s">
        <v>70</v>
      </c>
      <c r="F9" s="2056"/>
      <c r="G9" s="2057"/>
      <c r="H9" s="2057"/>
      <c r="I9" s="2057"/>
      <c r="J9" s="2039"/>
      <c r="K9" s="2049"/>
      <c r="L9" s="2025"/>
      <c r="M9" s="2025"/>
      <c r="N9" s="2026"/>
      <c r="O9" s="2027"/>
      <c r="P9" s="2026"/>
      <c r="Q9" s="2026"/>
      <c r="R9" s="2026"/>
    </row>
    <row r="10" spans="1:19" ht="18" customHeight="1" thickTop="1">
      <c r="A10" s="2058" t="s">
        <v>1786</v>
      </c>
      <c r="B10" s="2059" t="s">
        <v>3060</v>
      </c>
      <c r="C10" s="2060"/>
      <c r="D10" s="2043"/>
      <c r="E10" s="2061" t="s">
        <v>1787</v>
      </c>
      <c r="F10" s="2954" t="s">
        <v>3063</v>
      </c>
      <c r="G10" s="2062"/>
      <c r="H10" s="2063"/>
      <c r="I10" s="2043"/>
      <c r="J10" s="2039"/>
      <c r="K10" s="2049"/>
      <c r="L10" s="2025"/>
      <c r="M10" s="2025"/>
      <c r="N10" s="2026"/>
      <c r="O10" s="2027"/>
      <c r="P10" s="2026"/>
      <c r="Q10" s="2026"/>
      <c r="R10" s="2026"/>
    </row>
    <row r="11" spans="1:19" ht="18" customHeight="1">
      <c r="A11" s="2064" t="s">
        <v>1788</v>
      </c>
      <c r="B11" s="2065" t="s">
        <v>3061</v>
      </c>
      <c r="C11" s="2066" t="str">
        <f>B5</f>
        <v>北京市朝阳区管庄农工商联合公司</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3062</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v>57848</v>
      </c>
      <c r="F13" s="2074"/>
      <c r="G13" s="2074"/>
      <c r="H13" s="2074"/>
      <c r="I13" s="1044"/>
      <c r="J13" s="2039"/>
      <c r="K13" s="2049"/>
      <c r="L13" s="2025"/>
      <c r="M13" s="2025"/>
      <c r="N13" s="2026"/>
      <c r="O13" s="2027"/>
      <c r="P13" s="2026"/>
      <c r="Q13" s="2026"/>
      <c r="R13" s="2026"/>
    </row>
    <row r="14" spans="1:19" ht="18" customHeight="1">
      <c r="A14" s="2071"/>
      <c r="B14" s="2072"/>
      <c r="C14" s="2073" t="s">
        <v>1798</v>
      </c>
      <c r="D14" s="1047"/>
      <c r="E14" s="1047">
        <v>40</v>
      </c>
      <c r="F14" s="1047"/>
      <c r="G14" s="1047"/>
      <c r="H14" s="1047"/>
      <c r="I14" s="1047"/>
      <c r="J14" s="2039"/>
      <c r="K14" s="2075"/>
      <c r="L14" s="2025"/>
      <c r="M14" s="2025"/>
      <c r="N14" s="2026"/>
      <c r="O14" s="2027"/>
      <c r="P14" s="2026"/>
      <c r="Q14" s="2026"/>
      <c r="R14" s="2026"/>
    </row>
    <row r="15" spans="1:19" ht="18" customHeight="1">
      <c r="A15" s="2058"/>
      <c r="B15" s="2076"/>
      <c r="C15" s="2073" t="s">
        <v>1799</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9"/>
      <c r="K15" s="2077"/>
      <c r="L15" s="2078"/>
      <c r="M15" s="2078"/>
      <c r="N15" s="2079"/>
      <c r="O15" s="2078"/>
      <c r="P15" s="2079"/>
      <c r="Q15" s="2026"/>
      <c r="R15" s="2026"/>
    </row>
    <row r="16" spans="1:19" ht="30.75" customHeight="1">
      <c r="A16" s="2061" t="s">
        <v>1800</v>
      </c>
      <c r="B16" s="3015"/>
      <c r="C16" s="3016"/>
      <c r="D16" s="3017"/>
      <c r="E16" s="2080" t="s">
        <v>1801</v>
      </c>
      <c r="F16" s="3018"/>
      <c r="G16" s="3019"/>
      <c r="H16" s="3019"/>
      <c r="I16" s="3020"/>
      <c r="J16" s="2026"/>
      <c r="K16" s="2077"/>
      <c r="L16" s="2078"/>
      <c r="M16" s="2078"/>
      <c r="N16" s="2079"/>
      <c r="O16" s="2078"/>
      <c r="P16" s="2079"/>
      <c r="Q16" s="2026"/>
      <c r="R16" s="2026"/>
    </row>
    <row r="17" spans="1:22" ht="18" customHeight="1">
      <c r="A17" s="2081" t="s">
        <v>1802</v>
      </c>
      <c r="B17" s="2032" t="s">
        <v>1803</v>
      </c>
      <c r="C17" s="1051">
        <f>'数据-汇总表'!E3</f>
        <v>4704.8599999999997</v>
      </c>
      <c r="D17" s="2082" t="s">
        <v>1804</v>
      </c>
      <c r="E17" s="3021" t="s">
        <v>1805</v>
      </c>
      <c r="F17" s="3022"/>
      <c r="G17" s="3022"/>
      <c r="H17" s="3022"/>
      <c r="I17" s="3023"/>
      <c r="J17" s="2026"/>
      <c r="K17" s="2083"/>
      <c r="L17" s="2078"/>
      <c r="M17" s="2078"/>
      <c r="N17" s="2079"/>
      <c r="O17" s="2078"/>
      <c r="P17" s="2079"/>
      <c r="Q17" s="2026"/>
      <c r="R17" s="2026"/>
      <c r="S17" s="2026"/>
      <c r="T17" s="2026"/>
      <c r="U17" s="2026"/>
      <c r="V17" s="2026"/>
    </row>
    <row r="18" spans="1:22" ht="36" customHeight="1" thickBot="1">
      <c r="A18" s="2084" t="s">
        <v>1806</v>
      </c>
      <c r="B18" s="2035" t="s">
        <v>1807</v>
      </c>
      <c r="C18" s="1441">
        <f>'数据-汇总表'!D3</f>
        <v>2957.47</v>
      </c>
      <c r="D18" s="2085" t="s">
        <v>1804</v>
      </c>
      <c r="E18" s="3024" t="s">
        <v>1808</v>
      </c>
      <c r="F18" s="3025"/>
      <c r="G18" s="3025"/>
      <c r="H18" s="3025"/>
      <c r="I18" s="3026"/>
      <c r="J18" s="2026"/>
      <c r="K18" s="2083"/>
      <c r="L18" s="2078"/>
      <c r="M18" s="2078"/>
      <c r="N18" s="2079"/>
      <c r="O18" s="2078"/>
      <c r="P18" s="2079"/>
      <c r="Q18" s="2026"/>
      <c r="R18" s="2026"/>
      <c r="S18" s="2026"/>
      <c r="T18" s="2026"/>
      <c r="U18" s="2026"/>
      <c r="V18" s="2026"/>
    </row>
    <row r="19" spans="1:22" ht="37.5" customHeight="1" thickTop="1" thickBot="1">
      <c r="A19" s="373" t="s">
        <v>1809</v>
      </c>
      <c r="B19" s="352" t="s">
        <v>1810</v>
      </c>
      <c r="C19" s="2086" t="s">
        <v>3065</v>
      </c>
      <c r="D19" s="2087" t="s">
        <v>1811</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1812</v>
      </c>
      <c r="B20" s="3011" t="s">
        <v>1813</v>
      </c>
      <c r="C20" s="3012"/>
      <c r="D20" s="3013" t="s">
        <v>1814</v>
      </c>
      <c r="E20" s="3014"/>
      <c r="F20" s="2092" t="s">
        <v>1815</v>
      </c>
      <c r="G20" s="2039"/>
      <c r="H20" s="2039"/>
      <c r="I20" s="2039"/>
      <c r="J20" s="2039"/>
      <c r="K20" s="3010"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5"/>
      <c r="N20" s="2079"/>
      <c r="O20" s="2078"/>
      <c r="P20" s="2079"/>
      <c r="Q20" s="2026"/>
      <c r="R20" s="2026"/>
      <c r="S20" s="2026"/>
      <c r="T20" s="2026"/>
      <c r="U20" s="2026"/>
      <c r="V20" s="2026"/>
    </row>
    <row r="21" spans="1:22" ht="24.75" customHeight="1">
      <c r="A21" s="2091"/>
      <c r="B21" s="2093" t="s">
        <v>1817</v>
      </c>
      <c r="C21" s="2094" t="s">
        <v>1818</v>
      </c>
      <c r="D21" s="2095" t="s">
        <v>1819</v>
      </c>
      <c r="E21" s="2096"/>
      <c r="F21" s="2097"/>
      <c r="G21" s="2039"/>
      <c r="H21" s="2039"/>
      <c r="I21" s="2039"/>
      <c r="J21" s="2039"/>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1820</v>
      </c>
      <c r="C22" s="2094" t="s">
        <v>3064</v>
      </c>
      <c r="D22" s="2023"/>
      <c r="E22" s="2023"/>
      <c r="F22" s="2099"/>
      <c r="G22" s="2039"/>
      <c r="H22" s="2039"/>
      <c r="I22" s="2039"/>
      <c r="J22" s="2039"/>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1821</v>
      </c>
      <c r="B23" s="183" t="s">
        <v>1822</v>
      </c>
      <c r="C23" s="2101"/>
      <c r="D23" s="2102" t="s">
        <v>1822</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1823</v>
      </c>
      <c r="C24" s="2106"/>
      <c r="D24" s="2100" t="s">
        <v>1823</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1824</v>
      </c>
      <c r="C25" s="2106"/>
      <c r="D25" s="2100" t="s">
        <v>1824</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1825</v>
      </c>
      <c r="C26" s="2110"/>
      <c r="D26" s="2111" t="s">
        <v>1826</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28" t="s">
        <v>1827</v>
      </c>
      <c r="B27" s="2058" t="s">
        <v>1828</v>
      </c>
      <c r="C27" s="2114" t="s">
        <v>3066</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28"/>
      <c r="B28" s="2032" t="s">
        <v>1829</v>
      </c>
      <c r="C28" s="2116" t="s">
        <v>3067</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28"/>
      <c r="B29" s="2032" t="s">
        <v>1830</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29"/>
      <c r="B30" s="2032" t="s">
        <v>1831</v>
      </c>
      <c r="C30" s="3030"/>
      <c r="D30" s="3031"/>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2" t="s">
        <v>1832</v>
      </c>
      <c r="B31" s="2121" t="s">
        <v>3068</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3"/>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33"/>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1833</v>
      </c>
      <c r="B34" s="2955" t="s">
        <v>3069</v>
      </c>
      <c r="C34" s="2955" t="s">
        <v>3070</v>
      </c>
      <c r="D34" s="2955" t="s">
        <v>3071</v>
      </c>
      <c r="E34" s="2955" t="s">
        <v>3072</v>
      </c>
      <c r="F34" s="2955" t="s">
        <v>3073</v>
      </c>
      <c r="G34" s="2128"/>
      <c r="H34" s="2128"/>
      <c r="I34" s="2039"/>
      <c r="J34" s="2039"/>
      <c r="K34" s="1792">
        <f>COUNTIF(B34:H34,"——")</f>
        <v>0</v>
      </c>
      <c r="L34" s="2069" t="s">
        <v>1834</v>
      </c>
      <c r="M34" s="2069" t="s">
        <v>1835</v>
      </c>
      <c r="N34" s="2069" t="s">
        <v>1836</v>
      </c>
      <c r="O34" s="2069" t="s">
        <v>1837</v>
      </c>
      <c r="P34" s="2069" t="s">
        <v>1838</v>
      </c>
      <c r="Q34" s="2069" t="s">
        <v>1839</v>
      </c>
      <c r="R34" s="2069" t="s">
        <v>1840</v>
      </c>
      <c r="S34" s="3027" t="s">
        <v>1841</v>
      </c>
      <c r="T34" s="2129" t="str">
        <f>NUMBERSTRING(7-K34,1)&amp;"通"</f>
        <v>七通</v>
      </c>
      <c r="U34" s="2026"/>
      <c r="V34" s="2026"/>
    </row>
    <row r="35" spans="1:22" ht="18" customHeight="1">
      <c r="A35" s="2130"/>
      <c r="B35" s="3034" t="s">
        <v>1842</v>
      </c>
      <c r="C35" s="3034"/>
      <c r="D35" s="3034"/>
      <c r="E35" s="3034"/>
      <c r="F35" s="2131">
        <f>C10</f>
        <v>0</v>
      </c>
      <c r="G35" s="2039"/>
      <c r="H35" s="2039"/>
      <c r="I35" s="2039"/>
      <c r="J35" s="2039"/>
      <c r="K35" s="2069"/>
      <c r="L35" s="2069"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27"/>
      <c r="T35" s="48" t="str">
        <f>IF(T34="一通",L35,IF(T34="二通",M35,IF(T34="三通",N35,IF(T34="四通",O35,IF(T34="五通",P35,IF(T34="六通",Q35,R35))))))</f>
        <v>通路、通电、通上水、通下水、通讯、、</v>
      </c>
      <c r="U35" s="2026"/>
      <c r="V35" s="2026"/>
    </row>
    <row r="36" spans="1:22" ht="18" customHeight="1">
      <c r="A36" s="2132"/>
      <c r="B36" s="2131" t="s">
        <v>1843</v>
      </c>
      <c r="C36" s="2131" t="s">
        <v>1844</v>
      </c>
      <c r="D36" s="2131" t="s">
        <v>1845</v>
      </c>
      <c r="E36" s="2131" t="s">
        <v>1846</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1847</v>
      </c>
      <c r="B37" s="2135" t="s">
        <v>56</v>
      </c>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1848</v>
      </c>
      <c r="B38" s="2137" t="s">
        <v>377</v>
      </c>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1850</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1851</v>
      </c>
      <c r="B42" s="1792" t="s">
        <v>1852</v>
      </c>
      <c r="C42" s="1792" t="s">
        <v>1853</v>
      </c>
      <c r="D42" s="1792" t="s">
        <v>1854</v>
      </c>
      <c r="E42" s="1792" t="s">
        <v>1855</v>
      </c>
      <c r="F42" s="1792" t="s">
        <v>1856</v>
      </c>
      <c r="G42" s="1792" t="s">
        <v>1857</v>
      </c>
      <c r="H42" s="1792" t="s">
        <v>1858</v>
      </c>
      <c r="I42" s="1792" t="s">
        <v>1859</v>
      </c>
      <c r="J42" s="2147" t="s">
        <v>1860</v>
      </c>
      <c r="K42" s="2070" t="s">
        <v>1861</v>
      </c>
      <c r="L42" s="2070" t="s">
        <v>1862</v>
      </c>
      <c r="M42" s="2070" t="s">
        <v>1863</v>
      </c>
      <c r="N42" s="1792" t="s">
        <v>1864</v>
      </c>
      <c r="O42" s="1792" t="s">
        <v>1865</v>
      </c>
      <c r="P42" s="1792" t="s">
        <v>1866</v>
      </c>
      <c r="Q42" s="2069" t="s">
        <v>1867</v>
      </c>
      <c r="R42" s="2069" t="s">
        <v>1868</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1870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1874</v>
      </c>
      <c r="AZ2" s="1267"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2957.47</v>
      </c>
      <c r="B3" s="14">
        <f>IF(C3="否",G5-AT5,G5)</f>
        <v>4704.8599999999997</v>
      </c>
      <c r="C3" s="2163" t="s">
        <v>3074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1877</v>
      </c>
      <c r="B5" s="1800"/>
      <c r="C5" s="1800"/>
      <c r="D5" s="180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1877</v>
      </c>
      <c r="AW5" s="1800"/>
      <c r="AX5" s="1800"/>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1878</v>
      </c>
      <c r="B6" s="2169"/>
      <c r="C6" s="2169"/>
      <c r="D6" s="2170"/>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1886</v>
      </c>
      <c r="AV7" s="23" t="s">
        <v>1887</v>
      </c>
      <c r="AW7" s="2161" t="s">
        <v>1888</v>
      </c>
      <c r="AX7" s="23" t="s">
        <v>1881</v>
      </c>
      <c r="AY7" s="1800"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5"/>
      <c r="K8" s="1815"/>
      <c r="L8" s="1815"/>
      <c r="M8" s="1815"/>
      <c r="N8" s="1815"/>
      <c r="O8" s="1815"/>
      <c r="P8" s="1815"/>
      <c r="Q8" s="1815"/>
      <c r="R8" s="1815"/>
      <c r="S8" s="1815"/>
      <c r="T8" s="1815"/>
      <c r="U8" s="1815"/>
      <c r="V8" s="2181"/>
      <c r="W8" s="1815"/>
      <c r="X8" s="1815"/>
      <c r="Y8" s="1815"/>
      <c r="Z8" s="1815"/>
      <c r="AA8" s="2181"/>
      <c r="AB8" s="2182"/>
      <c r="AC8" s="978" t="s">
        <v>1892</v>
      </c>
      <c r="AD8" s="2183"/>
      <c r="AE8" s="2175"/>
      <c r="AF8" s="1815"/>
      <c r="AG8" s="1815"/>
      <c r="AH8" s="1815"/>
      <c r="AI8" s="1815"/>
      <c r="AJ8" s="1815"/>
      <c r="AK8" s="1815"/>
      <c r="AL8" s="1815"/>
      <c r="AM8" s="1815"/>
      <c r="AN8" s="1815"/>
      <c r="AO8" s="1815"/>
      <c r="AP8" s="1815"/>
      <c r="AQ8" s="1815"/>
      <c r="AR8" s="1815"/>
      <c r="AS8" s="1815"/>
      <c r="AT8" s="1289" t="s">
        <v>1893</v>
      </c>
      <c r="AU8" s="2177" t="s">
        <v>1894</v>
      </c>
      <c r="AV8" s="1289"/>
      <c r="AW8" s="2160"/>
      <c r="AX8" s="1289"/>
      <c r="AY8" s="2161" t="s">
        <v>1895</v>
      </c>
      <c r="AZ8" s="1814" t="s">
        <v>1896</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1897</v>
      </c>
      <c r="I9" s="2186" t="s">
        <v>3078</v>
      </c>
      <c r="J9" s="978"/>
      <c r="K9" s="2186"/>
      <c r="L9" s="978"/>
      <c r="M9" s="2186"/>
      <c r="N9" s="978"/>
      <c r="O9" s="2186"/>
      <c r="P9" s="978"/>
      <c r="Q9" s="2186"/>
      <c r="R9" s="978"/>
      <c r="S9" s="2186"/>
      <c r="T9" s="978"/>
      <c r="U9" s="2186"/>
      <c r="V9" s="978"/>
      <c r="W9" s="2186"/>
      <c r="X9" s="2187"/>
      <c r="Y9" s="2186"/>
      <c r="Z9" s="978"/>
      <c r="AA9" s="2186"/>
      <c r="AB9" s="978"/>
      <c r="AC9" s="2178" t="s">
        <v>1897</v>
      </c>
      <c r="AD9" s="15" t="s">
        <v>1898</v>
      </c>
      <c r="AE9" s="1295"/>
      <c r="AF9" s="15" t="s">
        <v>1899</v>
      </c>
      <c r="AG9" s="1295"/>
      <c r="AH9" s="15" t="s">
        <v>1898</v>
      </c>
      <c r="AI9" s="1295"/>
      <c r="AJ9" s="15" t="s">
        <v>1899</v>
      </c>
      <c r="AK9" s="1295"/>
      <c r="AL9" s="15" t="s">
        <v>1898</v>
      </c>
      <c r="AM9" s="1295"/>
      <c r="AN9" s="15" t="s">
        <v>1899</v>
      </c>
      <c r="AO9" s="1295"/>
      <c r="AP9" s="15" t="s">
        <v>1898</v>
      </c>
      <c r="AQ9" s="1295"/>
      <c r="AR9" s="15" t="s">
        <v>1899</v>
      </c>
      <c r="AS9" s="2188"/>
      <c r="AT9" s="2177"/>
      <c r="AU9" s="2177" t="s">
        <v>1900</v>
      </c>
      <c r="AV9" s="1289"/>
      <c r="AW9" s="2160"/>
      <c r="AX9" s="1289"/>
      <c r="AY9" s="28"/>
      <c r="AZ9" s="28" t="s">
        <v>1890</v>
      </c>
      <c r="BA9" s="2189" t="s">
        <v>1901</v>
      </c>
      <c r="BB9" s="2190"/>
      <c r="BC9" s="1335"/>
      <c r="BD9" s="1335"/>
      <c r="BE9" s="1335"/>
      <c r="BF9" s="1335"/>
      <c r="BG9" s="1335"/>
      <c r="BH9" s="1335"/>
      <c r="BI9" s="1335"/>
      <c r="BJ9" s="1335"/>
      <c r="BK9" s="2191"/>
      <c r="BL9" s="15" t="s">
        <v>1902</v>
      </c>
      <c r="BM9" s="1815"/>
      <c r="BN9" s="2180"/>
      <c r="BO9" s="1815"/>
      <c r="BP9" s="1815"/>
      <c r="BQ9" s="1815"/>
      <c r="BR9" s="1815"/>
      <c r="BS9" s="1815"/>
      <c r="BT9" s="26"/>
    </row>
    <row r="10" spans="1:72" s="2184" customFormat="1" ht="12.75">
      <c r="A10" s="2177"/>
      <c r="B10" s="2177"/>
      <c r="C10" s="2177"/>
      <c r="D10" s="2177"/>
      <c r="E10" s="2177"/>
      <c r="F10" s="2177"/>
      <c r="G10" s="1289"/>
      <c r="H10" s="28"/>
      <c r="I10" s="2186" t="s">
        <v>27</v>
      </c>
      <c r="J10" s="978"/>
      <c r="K10" s="2192"/>
      <c r="L10" s="978"/>
      <c r="M10" s="2192"/>
      <c r="N10" s="978"/>
      <c r="O10" s="2192"/>
      <c r="P10" s="978"/>
      <c r="Q10" s="2192"/>
      <c r="R10" s="978"/>
      <c r="S10" s="2192"/>
      <c r="T10" s="978"/>
      <c r="U10" s="2192"/>
      <c r="V10" s="978"/>
      <c r="W10" s="2192"/>
      <c r="X10" s="978"/>
      <c r="Y10" s="2192"/>
      <c r="Z10" s="978"/>
      <c r="AA10" s="2192"/>
      <c r="AB10" s="978"/>
      <c r="AC10" s="1289"/>
      <c r="AD10" s="15" t="s">
        <v>1903</v>
      </c>
      <c r="AE10" s="2193"/>
      <c r="AF10" s="15" t="s">
        <v>1903</v>
      </c>
      <c r="AG10" s="2193"/>
      <c r="AH10" s="15" t="s">
        <v>1904</v>
      </c>
      <c r="AI10" s="2193"/>
      <c r="AJ10" s="15" t="s">
        <v>1904</v>
      </c>
      <c r="AK10" s="2193"/>
      <c r="AL10" s="15" t="s">
        <v>1905</v>
      </c>
      <c r="AM10" s="1295"/>
      <c r="AN10" s="15" t="s">
        <v>1905</v>
      </c>
      <c r="AO10" s="1295"/>
      <c r="AP10" s="15" t="s">
        <v>1906</v>
      </c>
      <c r="AQ10" s="1295"/>
      <c r="AR10" s="15" t="s">
        <v>1906</v>
      </c>
      <c r="AS10" s="1295"/>
      <c r="AT10" s="2177"/>
      <c r="AU10" s="2177"/>
      <c r="AV10" s="1289"/>
      <c r="AW10" s="2160"/>
      <c r="AX10" s="1289"/>
      <c r="AY10" s="28"/>
      <c r="AZ10" s="28"/>
      <c r="BA10" s="2194" t="s">
        <v>1897</v>
      </c>
      <c r="BB10" s="2195" t="str">
        <f>I9</f>
        <v>地上</v>
      </c>
      <c r="BC10" s="29">
        <f>K9</f>
        <v>0</v>
      </c>
      <c r="BD10" s="29">
        <f>M9</f>
        <v>0</v>
      </c>
      <c r="BE10" s="29">
        <f>O9</f>
        <v>0</v>
      </c>
      <c r="BF10" s="29">
        <f>Q9</f>
        <v>0</v>
      </c>
      <c r="BG10" s="29">
        <f>S9</f>
        <v>0</v>
      </c>
      <c r="BH10" s="29">
        <f>U9</f>
        <v>0</v>
      </c>
      <c r="BI10" s="29">
        <f>W9</f>
        <v>0</v>
      </c>
      <c r="BJ10" s="29">
        <f>Y9</f>
        <v>0</v>
      </c>
      <c r="BK10" s="29">
        <f>AA9</f>
        <v>0</v>
      </c>
      <c r="BL10" s="25" t="s">
        <v>1897</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3079</v>
      </c>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1907</v>
      </c>
      <c r="AE11" s="1816"/>
      <c r="AF11" s="2199" t="s">
        <v>1907</v>
      </c>
      <c r="AG11" s="1816"/>
      <c r="AH11" s="2199" t="s">
        <v>1908</v>
      </c>
      <c r="AI11" s="2200"/>
      <c r="AJ11" s="2199" t="s">
        <v>1908</v>
      </c>
      <c r="AK11" s="1816"/>
      <c r="AL11" s="1814"/>
      <c r="AM11" s="1816"/>
      <c r="AN11" s="1814"/>
      <c r="AO11" s="1816"/>
      <c r="AP11" s="1814"/>
      <c r="AQ11" s="1816"/>
      <c r="AR11" s="1814"/>
      <c r="AS11" s="1816"/>
      <c r="AT11" s="2160"/>
      <c r="AU11" s="2177"/>
      <c r="AV11" s="1289"/>
      <c r="AW11" s="2160"/>
      <c r="AX11" s="1289"/>
      <c r="AY11" s="28"/>
      <c r="AZ11" s="28"/>
      <c r="BA11" s="28"/>
      <c r="BB11" s="2182" t="str">
        <f>I10</f>
        <v>办公</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9" t="s">
        <v>1910</v>
      </c>
      <c r="W12" s="11" t="s">
        <v>1909</v>
      </c>
      <c r="X12" s="11" t="s">
        <v>1910</v>
      </c>
      <c r="Y12" s="11" t="s">
        <v>1909</v>
      </c>
      <c r="Z12" s="11" t="s">
        <v>1910</v>
      </c>
      <c r="AA12" s="11" t="s">
        <v>1909</v>
      </c>
      <c r="AB12" s="11" t="s">
        <v>1910</v>
      </c>
      <c r="AC12" s="2204"/>
      <c r="AD12" s="1803"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38.25">
      <c r="A13" s="2956" t="s">
        <v>3100</v>
      </c>
      <c r="B13" s="2956" t="s">
        <v>3075</v>
      </c>
      <c r="C13" s="2956" t="s">
        <v>3107</v>
      </c>
      <c r="D13" s="2208" t="s">
        <v>3074</v>
      </c>
      <c r="E13" s="16">
        <f>IF($C$3="是",ROUND($A$3*G13/$B$3,2),ROUND($A$3*(G13-AT13)/$B$3,2))</f>
        <v>2508.5100000000002</v>
      </c>
      <c r="F13" s="32"/>
      <c r="G13" s="33">
        <f>H13+AC13+AT13</f>
        <v>3990.64</v>
      </c>
      <c r="H13" s="20">
        <f>SUMIF(I$12:AB$12,"总值",I13:AB13)</f>
        <v>3990.64</v>
      </c>
      <c r="I13" s="2957">
        <f>1065.52+1128.37+1128.37+668.38</f>
        <v>3990.64</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京朝国用（2003划）字第0302号</v>
      </c>
      <c r="AW13" s="11" t="str">
        <f t="shared" si="6"/>
        <v>京房权证朝国03字第01417号</v>
      </c>
      <c r="AX13" s="11" t="str">
        <f t="shared" si="6"/>
        <v>1幢</v>
      </c>
      <c r="AY13" s="1803">
        <f>ROUND($AY$6*AZ13/$AZ$5,2)</f>
        <v>2508.5100000000002</v>
      </c>
      <c r="AZ13" s="16">
        <f>BA13+BL13</f>
        <v>3990.64</v>
      </c>
      <c r="BA13" s="16">
        <f>SUM(BB13:BK13)</f>
        <v>3990.64</v>
      </c>
      <c r="BB13" s="16">
        <f>IF($D13="是",I13-J13,0)</f>
        <v>3990.64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2956"/>
      <c r="B14" s="2956"/>
      <c r="C14" s="2956" t="s">
        <v>3108</v>
      </c>
      <c r="D14" s="2208" t="s">
        <v>3074</v>
      </c>
      <c r="E14" s="16">
        <f>IF($C$3="是",ROUND($A$3*G14/$B$3,2),ROUND($A$3*(G14-AT14)/$B$3,2))</f>
        <v>9.7899999999999991</v>
      </c>
      <c r="F14" s="32"/>
      <c r="G14" s="33">
        <f>H14+AC14+AT14</f>
        <v>15.57</v>
      </c>
      <c r="H14" s="20">
        <f>SUMIF(I$12:AB$12,"总值",I14:AB14)</f>
        <v>15.57</v>
      </c>
      <c r="I14" s="2957">
        <f>15.57</f>
        <v>15.57</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2幢</v>
      </c>
      <c r="AY14" s="1803">
        <f>ROUND($AY$6*AZ14/$AZ$5,2)</f>
        <v>9.7899999999999991</v>
      </c>
      <c r="AZ14" s="16">
        <f>BA14+BL14</f>
        <v>15.57</v>
      </c>
      <c r="BA14" s="16">
        <f>SUM(BB14:BK14)</f>
        <v>15.57</v>
      </c>
      <c r="BB14" s="16">
        <f>IF($D14="是",I14-J14,0)</f>
        <v>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2956"/>
      <c r="B15" s="2956"/>
      <c r="C15" s="2956" t="s">
        <v>3109</v>
      </c>
      <c r="D15" s="2208" t="s">
        <v>3074</v>
      </c>
      <c r="E15" s="16">
        <f>IF($C$3="是",ROUND($A$3*G15/$B$3,2),ROUND($A$3*(G15-AT15)/$B$3,2))</f>
        <v>180.12</v>
      </c>
      <c r="F15" s="32"/>
      <c r="G15" s="33">
        <f>H15+AC15+AT15</f>
        <v>286.54000000000002</v>
      </c>
      <c r="H15" s="20">
        <f>SUMIF(I$12:AB$12,"总值",I15:AB15)</f>
        <v>286.54000000000002</v>
      </c>
      <c r="I15" s="2957">
        <f>286.54</f>
        <v>286.54000000000002</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3幢</v>
      </c>
      <c r="AY15" s="1803">
        <f>ROUND($AY$6*AZ15/$AZ$5,2)</f>
        <v>180.12</v>
      </c>
      <c r="AZ15" s="16">
        <f>BA15+BL15</f>
        <v>286.54000000000002</v>
      </c>
      <c r="BA15" s="16">
        <f>SUM(BB15:BK15)</f>
        <v>286.54000000000002</v>
      </c>
      <c r="BB15" s="16">
        <f>IF($D15="是",I15-J15,0)</f>
        <v>286.54000000000002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3289" t="s">
        <v>3115</v>
      </c>
      <c r="B16" s="2956"/>
      <c r="C16" s="2956" t="s">
        <v>3110</v>
      </c>
      <c r="D16" s="2208" t="s">
        <v>3074</v>
      </c>
      <c r="E16" s="16">
        <f>IF($C$3="是",ROUND($A$3*G16/$B$3,2),ROUND($A$3*(G16-AT16)/$B$3,2))</f>
        <v>259.05</v>
      </c>
      <c r="F16" s="32"/>
      <c r="G16" s="33">
        <f>H16+AC16+AT16</f>
        <v>412.11</v>
      </c>
      <c r="H16" s="20">
        <f>SUMIF(I$12:AB$12,"总值",I16:AB16)</f>
        <v>412.11</v>
      </c>
      <c r="I16" s="2957">
        <f>278.36+133.75</f>
        <v>412.11</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t="str">
        <f t="shared" si="6"/>
        <v>建安费用</v>
      </c>
      <c r="AW16" s="11">
        <f t="shared" si="6"/>
        <v>0</v>
      </c>
      <c r="AX16" s="11" t="str">
        <f t="shared" si="6"/>
        <v>4幢</v>
      </c>
      <c r="AY16" s="1803">
        <f>ROUND($AY$6*AZ16/$AZ$5,2)</f>
        <v>259.05</v>
      </c>
      <c r="AZ16" s="16">
        <f>BA16+BL16</f>
        <v>412.11</v>
      </c>
      <c r="BA16" s="16">
        <f>SUM(BB16:BK16)</f>
        <v>412.11</v>
      </c>
      <c r="BB16" s="16">
        <f>IF($D16="是",I16-J16,0)</f>
        <v>412.11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3289" t="s">
        <v>3116</v>
      </c>
      <c r="B17" s="3289">
        <v>2800</v>
      </c>
      <c r="C17" s="3293">
        <f>ROUND(B17*I13,0)</f>
        <v>11173792</v>
      </c>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1幢</v>
      </c>
      <c r="AW17" s="11">
        <f t="shared" si="6"/>
        <v>2800</v>
      </c>
      <c r="AX17" s="11">
        <f t="shared" si="6"/>
        <v>11173792</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3290" t="s">
        <v>3117</v>
      </c>
      <c r="B18" s="3290">
        <v>2000</v>
      </c>
      <c r="C18" s="3293">
        <f t="shared" ref="C18:C20" si="7">ROUND(B18*I14,0)</f>
        <v>31140</v>
      </c>
      <c r="D18" s="2213"/>
      <c r="E18" s="35">
        <f t="shared" ref="E18:E112" si="8">IF($C$3="是",ROUND($A$3*G18/$B$3,2),ROUND($A$3*(G18-AT18)/$B$3,2))</f>
        <v>0</v>
      </c>
      <c r="F18" s="36"/>
      <c r="G18" s="37">
        <f t="shared" ref="G18:G109" si="9">H18+AC18+AT18</f>
        <v>0</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4"/>
      <c r="AV18" s="1792" t="str">
        <f t="shared" ref="AV18:AV112" si="12">A18</f>
        <v>2幢</v>
      </c>
      <c r="AW18" s="1792">
        <f t="shared" ref="AW18:AW112" si="13">B18</f>
        <v>2000</v>
      </c>
      <c r="AX18" s="1792">
        <f t="shared" ref="AX18:AX112" si="14">C18</f>
        <v>31140</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3291" t="s">
        <v>3118</v>
      </c>
      <c r="B19" s="3292">
        <f>B18</f>
        <v>2000</v>
      </c>
      <c r="C19" s="3293">
        <f t="shared" si="7"/>
        <v>573080</v>
      </c>
      <c r="D19" s="2213"/>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4"/>
      <c r="AV19" s="1792" t="str">
        <f t="shared" si="12"/>
        <v>3幢</v>
      </c>
      <c r="AW19" s="1792">
        <f t="shared" si="13"/>
        <v>2000</v>
      </c>
      <c r="AX19" s="1792">
        <f t="shared" si="14"/>
        <v>573080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3291" t="s">
        <v>3119</v>
      </c>
      <c r="B20" s="3292">
        <v>2200</v>
      </c>
      <c r="C20" s="3293">
        <f t="shared" si="7"/>
        <v>906642</v>
      </c>
      <c r="D20" s="2213"/>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4"/>
      <c r="AV20" s="1792" t="str">
        <f t="shared" si="12"/>
        <v>4幢</v>
      </c>
      <c r="AW20" s="1792">
        <f t="shared" si="13"/>
        <v>2200</v>
      </c>
      <c r="AX20" s="1792">
        <f t="shared" si="14"/>
        <v>906642</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294">
        <f>ROUND(C21/B3,0)</f>
        <v>2696</v>
      </c>
      <c r="C21" s="3292">
        <f>C17+C18+C19+C20</f>
        <v>12684654</v>
      </c>
      <c r="D21" s="2213"/>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4"/>
      <c r="AV21" s="1792">
        <f t="shared" si="12"/>
        <v>0</v>
      </c>
      <c r="AW21" s="1792">
        <f t="shared" si="13"/>
        <v>2696</v>
      </c>
      <c r="AX21" s="1792">
        <f t="shared" si="14"/>
        <v>12684654</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3295" t="s">
        <v>3120</v>
      </c>
      <c r="B22" s="3296"/>
      <c r="C22" s="34"/>
      <c r="D22" s="2213"/>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4"/>
      <c r="AV22" s="1792" t="str">
        <f t="shared" si="12"/>
        <v>租金</v>
      </c>
      <c r="AW22" s="1792">
        <f t="shared" si="13"/>
        <v>0</v>
      </c>
      <c r="AX22" s="1792">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3297" t="s">
        <v>3116</v>
      </c>
      <c r="B23" s="3296">
        <v>3.7</v>
      </c>
      <c r="C23" s="34"/>
      <c r="D23" s="2213"/>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4"/>
      <c r="AV23" s="1792" t="str">
        <f t="shared" si="12"/>
        <v>1幢</v>
      </c>
      <c r="AW23" s="1792">
        <f t="shared" si="13"/>
        <v>3.7</v>
      </c>
      <c r="AX23" s="1792">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3298" t="s">
        <v>3117</v>
      </c>
      <c r="B24" s="3296">
        <v>0</v>
      </c>
      <c r="C24" s="34"/>
      <c r="D24" s="2213"/>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4"/>
      <c r="AV24" s="1792" t="str">
        <f t="shared" si="12"/>
        <v>2幢</v>
      </c>
      <c r="AW24" s="1792">
        <f t="shared" si="13"/>
        <v>0</v>
      </c>
      <c r="AX24" s="1792">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3299" t="s">
        <v>3118</v>
      </c>
      <c r="B25" s="3296">
        <f>ROUND(B23*0.5,1)</f>
        <v>1.9</v>
      </c>
      <c r="C25" s="34"/>
      <c r="D25" s="2213"/>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4"/>
      <c r="AV25" s="1792" t="str">
        <f t="shared" si="12"/>
        <v>3幢</v>
      </c>
      <c r="AW25" s="1792">
        <f t="shared" si="13"/>
        <v>1.9</v>
      </c>
      <c r="AX25" s="1792">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3299" t="s">
        <v>3119</v>
      </c>
      <c r="B26" s="3296">
        <f>B23</f>
        <v>3.7</v>
      </c>
      <c r="C26" s="34"/>
      <c r="D26" s="2213"/>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4"/>
      <c r="AV26" s="1792" t="str">
        <f t="shared" si="12"/>
        <v>4幢</v>
      </c>
      <c r="AW26" s="1792">
        <f t="shared" si="13"/>
        <v>3.7</v>
      </c>
      <c r="AX26" s="1792">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3299"/>
      <c r="B27" s="3300">
        <f>ROUND((B23*(I13+I16)+B25*I15+B24*I14)/B3,1)</f>
        <v>3.6</v>
      </c>
      <c r="C27" s="34"/>
      <c r="D27" s="2213"/>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4"/>
      <c r="AV27" s="1792">
        <f t="shared" si="12"/>
        <v>0</v>
      </c>
      <c r="AW27" s="1792">
        <f t="shared" si="13"/>
        <v>3.6</v>
      </c>
      <c r="AX27" s="1792">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3"/>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4"/>
      <c r="AV28" s="1792">
        <f t="shared" si="12"/>
        <v>0</v>
      </c>
      <c r="AW28" s="1792">
        <f t="shared" si="13"/>
        <v>0</v>
      </c>
      <c r="AX28" s="1792">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3"/>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4"/>
      <c r="AV29" s="1792">
        <f t="shared" si="12"/>
        <v>0</v>
      </c>
      <c r="AW29" s="1792">
        <f t="shared" si="13"/>
        <v>0</v>
      </c>
      <c r="AX29" s="1792">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3"/>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4"/>
      <c r="AV30" s="1792">
        <f t="shared" si="12"/>
        <v>0</v>
      </c>
      <c r="AW30" s="1792">
        <f t="shared" si="13"/>
        <v>0</v>
      </c>
      <c r="AX30" s="1792">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3"/>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4"/>
      <c r="AV31" s="1792">
        <f t="shared" si="12"/>
        <v>0</v>
      </c>
      <c r="AW31" s="1792">
        <f t="shared" si="13"/>
        <v>0</v>
      </c>
      <c r="AX31" s="1792">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3"/>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4"/>
      <c r="AV32" s="1792">
        <f t="shared" si="12"/>
        <v>0</v>
      </c>
      <c r="AW32" s="1792">
        <f t="shared" si="13"/>
        <v>0</v>
      </c>
      <c r="AX32" s="1792">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3"/>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4"/>
      <c r="AV33" s="1792">
        <f t="shared" si="12"/>
        <v>0</v>
      </c>
      <c r="AW33" s="1792">
        <f t="shared" si="13"/>
        <v>0</v>
      </c>
      <c r="AX33" s="1792">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3"/>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4"/>
      <c r="AV34" s="1792">
        <f t="shared" si="12"/>
        <v>0</v>
      </c>
      <c r="AW34" s="1792">
        <f t="shared" si="13"/>
        <v>0</v>
      </c>
      <c r="AX34" s="1792">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3"/>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4"/>
      <c r="AV35" s="1792">
        <f t="shared" si="12"/>
        <v>0</v>
      </c>
      <c r="AW35" s="1792">
        <f t="shared" si="13"/>
        <v>0</v>
      </c>
      <c r="AX35" s="1792">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3"/>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4"/>
      <c r="AV36" s="1792">
        <f t="shared" si="12"/>
        <v>0</v>
      </c>
      <c r="AW36" s="1792">
        <f t="shared" si="13"/>
        <v>0</v>
      </c>
      <c r="AX36" s="1792">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3"/>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4"/>
      <c r="AV37" s="1792">
        <f t="shared" si="12"/>
        <v>0</v>
      </c>
      <c r="AW37" s="1792">
        <f t="shared" si="13"/>
        <v>0</v>
      </c>
      <c r="AX37" s="1792">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3"/>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4"/>
      <c r="AV38" s="1792">
        <f t="shared" si="12"/>
        <v>0</v>
      </c>
      <c r="AW38" s="1792">
        <f t="shared" si="13"/>
        <v>0</v>
      </c>
      <c r="AX38" s="1792">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3"/>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4"/>
      <c r="AV39" s="1792">
        <f t="shared" si="12"/>
        <v>0</v>
      </c>
      <c r="AW39" s="1792">
        <f t="shared" si="13"/>
        <v>0</v>
      </c>
      <c r="AX39" s="1792">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3"/>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4"/>
      <c r="AV40" s="1792">
        <f t="shared" si="12"/>
        <v>0</v>
      </c>
      <c r="AW40" s="1792">
        <f t="shared" si="13"/>
        <v>0</v>
      </c>
      <c r="AX40" s="1792">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3"/>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4"/>
      <c r="AV41" s="1792">
        <f t="shared" si="12"/>
        <v>0</v>
      </c>
      <c r="AW41" s="1792">
        <f t="shared" si="13"/>
        <v>0</v>
      </c>
      <c r="AX41" s="1792">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3"/>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4"/>
      <c r="AV42" s="1792">
        <f t="shared" si="12"/>
        <v>0</v>
      </c>
      <c r="AW42" s="1792">
        <f t="shared" si="13"/>
        <v>0</v>
      </c>
      <c r="AX42" s="1792">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3"/>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4"/>
      <c r="AV43" s="1792">
        <f t="shared" si="12"/>
        <v>0</v>
      </c>
      <c r="AW43" s="1792">
        <f t="shared" si="13"/>
        <v>0</v>
      </c>
      <c r="AX43" s="1792">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3"/>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4"/>
      <c r="AV44" s="1792">
        <f t="shared" si="12"/>
        <v>0</v>
      </c>
      <c r="AW44" s="1792">
        <f t="shared" si="13"/>
        <v>0</v>
      </c>
      <c r="AX44" s="1792">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3"/>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4"/>
      <c r="AV45" s="1792">
        <f t="shared" si="12"/>
        <v>0</v>
      </c>
      <c r="AW45" s="1792">
        <f t="shared" si="13"/>
        <v>0</v>
      </c>
      <c r="AX45" s="1792">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3"/>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4"/>
      <c r="AV46" s="1792">
        <f t="shared" si="12"/>
        <v>0</v>
      </c>
      <c r="AW46" s="1792">
        <f t="shared" si="13"/>
        <v>0</v>
      </c>
      <c r="AX46" s="1792">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3"/>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4"/>
      <c r="AV47" s="1792">
        <f t="shared" si="12"/>
        <v>0</v>
      </c>
      <c r="AW47" s="1792">
        <f t="shared" si="13"/>
        <v>0</v>
      </c>
      <c r="AX47" s="1792">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3"/>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4"/>
      <c r="AV48" s="1792">
        <f t="shared" si="12"/>
        <v>0</v>
      </c>
      <c r="AW48" s="1792">
        <f t="shared" si="13"/>
        <v>0</v>
      </c>
      <c r="AX48" s="1792">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3"/>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4"/>
      <c r="AV49" s="1792">
        <f t="shared" si="12"/>
        <v>0</v>
      </c>
      <c r="AW49" s="1792">
        <f t="shared" si="13"/>
        <v>0</v>
      </c>
      <c r="AX49" s="1792">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3"/>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4"/>
      <c r="AV50" s="1792">
        <f t="shared" si="12"/>
        <v>0</v>
      </c>
      <c r="AW50" s="1792">
        <f t="shared" si="13"/>
        <v>0</v>
      </c>
      <c r="AX50" s="1792">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3"/>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4"/>
      <c r="AV51" s="1792">
        <f t="shared" si="12"/>
        <v>0</v>
      </c>
      <c r="AW51" s="1792">
        <f t="shared" si="13"/>
        <v>0</v>
      </c>
      <c r="AX51" s="1792">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3"/>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4"/>
      <c r="AV52" s="1792">
        <f t="shared" si="12"/>
        <v>0</v>
      </c>
      <c r="AW52" s="1792">
        <f t="shared" si="13"/>
        <v>0</v>
      </c>
      <c r="AX52" s="1792">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3"/>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4"/>
      <c r="AV53" s="1792">
        <f t="shared" si="12"/>
        <v>0</v>
      </c>
      <c r="AW53" s="1792">
        <f t="shared" si="13"/>
        <v>0</v>
      </c>
      <c r="AX53" s="1792">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3"/>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4"/>
      <c r="AV54" s="1792">
        <f t="shared" si="12"/>
        <v>0</v>
      </c>
      <c r="AW54" s="1792">
        <f t="shared" si="13"/>
        <v>0</v>
      </c>
      <c r="AX54" s="1792">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3"/>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4"/>
      <c r="AV55" s="1792">
        <f t="shared" si="12"/>
        <v>0</v>
      </c>
      <c r="AW55" s="1792">
        <f t="shared" si="13"/>
        <v>0</v>
      </c>
      <c r="AX55" s="1792">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3"/>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4"/>
      <c r="AV56" s="1792">
        <f t="shared" si="12"/>
        <v>0</v>
      </c>
      <c r="AW56" s="1792">
        <f t="shared" si="13"/>
        <v>0</v>
      </c>
      <c r="AX56" s="1792">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3"/>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4"/>
      <c r="AV57" s="1792">
        <f t="shared" si="12"/>
        <v>0</v>
      </c>
      <c r="AW57" s="1792">
        <f t="shared" si="13"/>
        <v>0</v>
      </c>
      <c r="AX57" s="1792">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3"/>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4"/>
      <c r="AV58" s="1792">
        <f t="shared" si="12"/>
        <v>0</v>
      </c>
      <c r="AW58" s="1792">
        <f t="shared" si="13"/>
        <v>0</v>
      </c>
      <c r="AX58" s="1792">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3"/>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4"/>
      <c r="AV59" s="1792">
        <f t="shared" si="12"/>
        <v>0</v>
      </c>
      <c r="AW59" s="1792">
        <f t="shared" si="13"/>
        <v>0</v>
      </c>
      <c r="AX59" s="1792">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3"/>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4"/>
      <c r="AV60" s="1792">
        <f t="shared" si="12"/>
        <v>0</v>
      </c>
      <c r="AW60" s="1792">
        <f t="shared" si="13"/>
        <v>0</v>
      </c>
      <c r="AX60" s="1792">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3"/>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4"/>
      <c r="AV61" s="1792">
        <f t="shared" si="12"/>
        <v>0</v>
      </c>
      <c r="AW61" s="1792">
        <f t="shared" si="13"/>
        <v>0</v>
      </c>
      <c r="AX61" s="1792">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3"/>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4"/>
      <c r="AV62" s="1792">
        <f t="shared" si="12"/>
        <v>0</v>
      </c>
      <c r="AW62" s="1792">
        <f t="shared" si="13"/>
        <v>0</v>
      </c>
      <c r="AX62" s="1792">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3"/>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4"/>
      <c r="AV63" s="1792">
        <f t="shared" si="12"/>
        <v>0</v>
      </c>
      <c r="AW63" s="1792">
        <f t="shared" si="13"/>
        <v>0</v>
      </c>
      <c r="AX63" s="1792">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3"/>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4"/>
      <c r="AV64" s="1792">
        <f t="shared" si="12"/>
        <v>0</v>
      </c>
      <c r="AW64" s="1792">
        <f t="shared" si="13"/>
        <v>0</v>
      </c>
      <c r="AX64" s="1792">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3"/>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4"/>
      <c r="AV65" s="1792">
        <f t="shared" si="12"/>
        <v>0</v>
      </c>
      <c r="AW65" s="1792">
        <f t="shared" si="13"/>
        <v>0</v>
      </c>
      <c r="AX65" s="1792">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3"/>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4"/>
      <c r="AV66" s="1792">
        <f t="shared" si="12"/>
        <v>0</v>
      </c>
      <c r="AW66" s="1792">
        <f t="shared" si="13"/>
        <v>0</v>
      </c>
      <c r="AX66" s="1792">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3"/>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4"/>
      <c r="AV67" s="1792">
        <f t="shared" si="12"/>
        <v>0</v>
      </c>
      <c r="AW67" s="1792">
        <f t="shared" si="13"/>
        <v>0</v>
      </c>
      <c r="AX67" s="1792">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3"/>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4"/>
      <c r="AV68" s="1792">
        <f t="shared" si="12"/>
        <v>0</v>
      </c>
      <c r="AW68" s="1792">
        <f t="shared" si="13"/>
        <v>0</v>
      </c>
      <c r="AX68" s="1792">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3"/>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4"/>
      <c r="AV69" s="1792">
        <f t="shared" si="12"/>
        <v>0</v>
      </c>
      <c r="AW69" s="1792">
        <f t="shared" si="13"/>
        <v>0</v>
      </c>
      <c r="AX69" s="1792">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3"/>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4"/>
      <c r="AV70" s="1792">
        <f t="shared" si="12"/>
        <v>0</v>
      </c>
      <c r="AW70" s="1792">
        <f t="shared" si="13"/>
        <v>0</v>
      </c>
      <c r="AX70" s="1792">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3"/>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4"/>
      <c r="AV71" s="1792">
        <f t="shared" si="12"/>
        <v>0</v>
      </c>
      <c r="AW71" s="1792">
        <f t="shared" si="13"/>
        <v>0</v>
      </c>
      <c r="AX71" s="1792">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3"/>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4"/>
      <c r="AV72" s="1792">
        <f t="shared" si="12"/>
        <v>0</v>
      </c>
      <c r="AW72" s="1792">
        <f t="shared" si="13"/>
        <v>0</v>
      </c>
      <c r="AX72" s="1792">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3"/>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4"/>
      <c r="AV73" s="1792">
        <f t="shared" si="12"/>
        <v>0</v>
      </c>
      <c r="AW73" s="1792">
        <f t="shared" si="13"/>
        <v>0</v>
      </c>
      <c r="AX73" s="1792">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3"/>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4"/>
      <c r="AV74" s="1792">
        <f t="shared" si="12"/>
        <v>0</v>
      </c>
      <c r="AW74" s="1792">
        <f t="shared" si="13"/>
        <v>0</v>
      </c>
      <c r="AX74" s="1792">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3"/>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4"/>
      <c r="AV75" s="1792">
        <f t="shared" si="12"/>
        <v>0</v>
      </c>
      <c r="AW75" s="1792">
        <f t="shared" si="13"/>
        <v>0</v>
      </c>
      <c r="AX75" s="1792">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3"/>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4"/>
      <c r="AV76" s="1792">
        <f t="shared" si="12"/>
        <v>0</v>
      </c>
      <c r="AW76" s="1792">
        <f t="shared" si="13"/>
        <v>0</v>
      </c>
      <c r="AX76" s="1792">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3"/>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4"/>
      <c r="AV77" s="1792">
        <f t="shared" si="12"/>
        <v>0</v>
      </c>
      <c r="AW77" s="1792">
        <f t="shared" si="13"/>
        <v>0</v>
      </c>
      <c r="AX77" s="1792">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3"/>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4"/>
      <c r="AV78" s="1792">
        <f t="shared" si="12"/>
        <v>0</v>
      </c>
      <c r="AW78" s="1792">
        <f t="shared" si="13"/>
        <v>0</v>
      </c>
      <c r="AX78" s="1792">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3"/>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4"/>
      <c r="AV79" s="1792">
        <f t="shared" si="12"/>
        <v>0</v>
      </c>
      <c r="AW79" s="1792">
        <f t="shared" si="13"/>
        <v>0</v>
      </c>
      <c r="AX79" s="1792">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3"/>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4"/>
      <c r="AV80" s="1792">
        <f t="shared" si="12"/>
        <v>0</v>
      </c>
      <c r="AW80" s="1792">
        <f t="shared" si="13"/>
        <v>0</v>
      </c>
      <c r="AX80" s="1792">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3"/>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4"/>
      <c r="AV81" s="1792">
        <f t="shared" si="12"/>
        <v>0</v>
      </c>
      <c r="AW81" s="1792">
        <f t="shared" si="13"/>
        <v>0</v>
      </c>
      <c r="AX81" s="1792">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3"/>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4"/>
      <c r="AV82" s="1792">
        <f t="shared" si="12"/>
        <v>0</v>
      </c>
      <c r="AW82" s="1792">
        <f t="shared" si="13"/>
        <v>0</v>
      </c>
      <c r="AX82" s="1792">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3"/>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4"/>
      <c r="AV83" s="1792">
        <f t="shared" si="12"/>
        <v>0</v>
      </c>
      <c r="AW83" s="1792">
        <f t="shared" si="13"/>
        <v>0</v>
      </c>
      <c r="AX83" s="1792">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3"/>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4"/>
      <c r="AV84" s="1792">
        <f t="shared" si="12"/>
        <v>0</v>
      </c>
      <c r="AW84" s="1792">
        <f t="shared" si="13"/>
        <v>0</v>
      </c>
      <c r="AX84" s="1792">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3"/>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4"/>
      <c r="AV85" s="1792">
        <f t="shared" si="12"/>
        <v>0</v>
      </c>
      <c r="AW85" s="1792">
        <f t="shared" si="13"/>
        <v>0</v>
      </c>
      <c r="AX85" s="1792">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3"/>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4"/>
      <c r="AV86" s="1792">
        <f t="shared" si="12"/>
        <v>0</v>
      </c>
      <c r="AW86" s="1792">
        <f t="shared" si="13"/>
        <v>0</v>
      </c>
      <c r="AX86" s="1792">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3"/>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4"/>
      <c r="AV87" s="1792">
        <f t="shared" si="12"/>
        <v>0</v>
      </c>
      <c r="AW87" s="1792">
        <f t="shared" si="13"/>
        <v>0</v>
      </c>
      <c r="AX87" s="1792">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3"/>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4"/>
      <c r="AV88" s="1792">
        <f t="shared" si="12"/>
        <v>0</v>
      </c>
      <c r="AW88" s="1792">
        <f t="shared" si="13"/>
        <v>0</v>
      </c>
      <c r="AX88" s="1792">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3"/>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4"/>
      <c r="AV89" s="1792">
        <f t="shared" si="12"/>
        <v>0</v>
      </c>
      <c r="AW89" s="1792">
        <f t="shared" si="13"/>
        <v>0</v>
      </c>
      <c r="AX89" s="1792">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3"/>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4"/>
      <c r="AV90" s="1792">
        <f t="shared" si="12"/>
        <v>0</v>
      </c>
      <c r="AW90" s="1792">
        <f t="shared" si="13"/>
        <v>0</v>
      </c>
      <c r="AX90" s="1792">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3"/>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4"/>
      <c r="AV91" s="1792">
        <f t="shared" si="12"/>
        <v>0</v>
      </c>
      <c r="AW91" s="1792">
        <f t="shared" si="13"/>
        <v>0</v>
      </c>
      <c r="AX91" s="1792">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3"/>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4"/>
      <c r="AV92" s="1792">
        <f t="shared" si="12"/>
        <v>0</v>
      </c>
      <c r="AW92" s="1792">
        <f t="shared" si="13"/>
        <v>0</v>
      </c>
      <c r="AX92" s="1792">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3"/>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4"/>
      <c r="AV93" s="1792">
        <f t="shared" si="12"/>
        <v>0</v>
      </c>
      <c r="AW93" s="1792">
        <f t="shared" si="13"/>
        <v>0</v>
      </c>
      <c r="AX93" s="1792">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3"/>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4"/>
      <c r="AV94" s="1792">
        <f t="shared" si="12"/>
        <v>0</v>
      </c>
      <c r="AW94" s="1792">
        <f t="shared" si="13"/>
        <v>0</v>
      </c>
      <c r="AX94" s="1792">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3"/>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4"/>
      <c r="AV95" s="1792">
        <f t="shared" si="12"/>
        <v>0</v>
      </c>
      <c r="AW95" s="1792">
        <f t="shared" si="13"/>
        <v>0</v>
      </c>
      <c r="AX95" s="1792">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3"/>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4"/>
      <c r="AV96" s="1792">
        <f t="shared" si="12"/>
        <v>0</v>
      </c>
      <c r="AW96" s="1792">
        <f t="shared" si="13"/>
        <v>0</v>
      </c>
      <c r="AX96" s="1792">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3"/>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4"/>
      <c r="AV97" s="1792">
        <f t="shared" si="12"/>
        <v>0</v>
      </c>
      <c r="AW97" s="1792">
        <f t="shared" si="13"/>
        <v>0</v>
      </c>
      <c r="AX97" s="1792">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3"/>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4"/>
      <c r="AV98" s="1792">
        <f t="shared" si="12"/>
        <v>0</v>
      </c>
      <c r="AW98" s="1792">
        <f t="shared" si="13"/>
        <v>0</v>
      </c>
      <c r="AX98" s="1792">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3"/>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4"/>
      <c r="AV99" s="1792">
        <f t="shared" si="12"/>
        <v>0</v>
      </c>
      <c r="AW99" s="1792">
        <f t="shared" si="13"/>
        <v>0</v>
      </c>
      <c r="AX99" s="1792">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3"/>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4"/>
      <c r="AV100" s="1792">
        <f t="shared" si="12"/>
        <v>0</v>
      </c>
      <c r="AW100" s="1792">
        <f t="shared" si="13"/>
        <v>0</v>
      </c>
      <c r="AX100" s="1792">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3"/>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4"/>
      <c r="AV101" s="1792">
        <f t="shared" si="12"/>
        <v>0</v>
      </c>
      <c r="AW101" s="1792">
        <f t="shared" si="13"/>
        <v>0</v>
      </c>
      <c r="AX101" s="1792">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3"/>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4"/>
      <c r="AV102" s="1792">
        <f t="shared" si="12"/>
        <v>0</v>
      </c>
      <c r="AW102" s="1792">
        <f t="shared" si="13"/>
        <v>0</v>
      </c>
      <c r="AX102" s="1792">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3"/>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4"/>
      <c r="AV103" s="1792">
        <f t="shared" si="12"/>
        <v>0</v>
      </c>
      <c r="AW103" s="1792">
        <f t="shared" si="13"/>
        <v>0</v>
      </c>
      <c r="AX103" s="1792">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3"/>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4"/>
      <c r="AV104" s="1792">
        <f t="shared" si="12"/>
        <v>0</v>
      </c>
      <c r="AW104" s="1792">
        <f t="shared" si="13"/>
        <v>0</v>
      </c>
      <c r="AX104" s="1792">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3"/>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4"/>
      <c r="AV105" s="1792">
        <f t="shared" si="12"/>
        <v>0</v>
      </c>
      <c r="AW105" s="1792">
        <f t="shared" si="13"/>
        <v>0</v>
      </c>
      <c r="AX105" s="1792">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3"/>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4"/>
      <c r="AV106" s="1792">
        <f t="shared" si="12"/>
        <v>0</v>
      </c>
      <c r="AW106" s="1792">
        <f t="shared" si="13"/>
        <v>0</v>
      </c>
      <c r="AX106" s="1792">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3"/>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4"/>
      <c r="AV107" s="1792">
        <f t="shared" si="12"/>
        <v>0</v>
      </c>
      <c r="AW107" s="1792">
        <f t="shared" si="13"/>
        <v>0</v>
      </c>
      <c r="AX107" s="1792">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3"/>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4"/>
      <c r="AV108" s="1792">
        <f t="shared" si="12"/>
        <v>0</v>
      </c>
      <c r="AW108" s="1792">
        <f t="shared" si="13"/>
        <v>0</v>
      </c>
      <c r="AX108" s="1792">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3"/>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4"/>
      <c r="AV109" s="1792">
        <f t="shared" si="12"/>
        <v>0</v>
      </c>
      <c r="AW109" s="1792">
        <f t="shared" si="13"/>
        <v>0</v>
      </c>
      <c r="AX109" s="1792">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3"/>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2"/>
        <v>0</v>
      </c>
      <c r="AW110" s="1792">
        <f t="shared" si="13"/>
        <v>0</v>
      </c>
      <c r="AX110" s="1792">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3"/>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49"/>
      <c r="AV111" s="1792">
        <f t="shared" si="12"/>
        <v>0</v>
      </c>
      <c r="AW111" s="1792">
        <f t="shared" si="13"/>
        <v>0</v>
      </c>
      <c r="AX111" s="1792">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3"/>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49"/>
      <c r="AV112" s="1792">
        <f t="shared" si="12"/>
        <v>0</v>
      </c>
      <c r="AW112" s="1792">
        <f t="shared" si="13"/>
        <v>0</v>
      </c>
      <c r="AX112" s="1792">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3"/>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3">A113</f>
        <v>0</v>
      </c>
      <c r="AW113" s="1792">
        <f t="shared" ref="AW113:AW144" si="64">B113</f>
        <v>0</v>
      </c>
      <c r="AX113" s="1792">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3"/>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4"/>
      <c r="AV114" s="1792">
        <f t="shared" si="63"/>
        <v>0</v>
      </c>
      <c r="AW114" s="1792">
        <f t="shared" si="64"/>
        <v>0</v>
      </c>
      <c r="AX114" s="1792">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3"/>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4"/>
      <c r="AV115" s="1792">
        <f t="shared" si="63"/>
        <v>0</v>
      </c>
      <c r="AW115" s="1792">
        <f t="shared" si="64"/>
        <v>0</v>
      </c>
      <c r="AX115" s="1792">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3"/>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4"/>
      <c r="AV116" s="1792">
        <f t="shared" si="63"/>
        <v>0</v>
      </c>
      <c r="AW116" s="1792">
        <f t="shared" si="64"/>
        <v>0</v>
      </c>
      <c r="AX116" s="1792">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3"/>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4"/>
      <c r="AV117" s="1792">
        <f t="shared" si="63"/>
        <v>0</v>
      </c>
      <c r="AW117" s="1792">
        <f t="shared" si="64"/>
        <v>0</v>
      </c>
      <c r="AX117" s="1792">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3"/>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4"/>
      <c r="AV118" s="1792">
        <f t="shared" si="63"/>
        <v>0</v>
      </c>
      <c r="AW118" s="1792">
        <f t="shared" si="64"/>
        <v>0</v>
      </c>
      <c r="AX118" s="1792">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3"/>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4"/>
      <c r="AV119" s="1792">
        <f t="shared" si="63"/>
        <v>0</v>
      </c>
      <c r="AW119" s="1792">
        <f t="shared" si="64"/>
        <v>0</v>
      </c>
      <c r="AX119" s="1792">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3"/>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4"/>
      <c r="AV120" s="1792">
        <f t="shared" si="63"/>
        <v>0</v>
      </c>
      <c r="AW120" s="1792">
        <f t="shared" si="64"/>
        <v>0</v>
      </c>
      <c r="AX120" s="1792">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3"/>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4"/>
      <c r="AV121" s="1792">
        <f t="shared" si="63"/>
        <v>0</v>
      </c>
      <c r="AW121" s="1792">
        <f t="shared" si="64"/>
        <v>0</v>
      </c>
      <c r="AX121" s="1792">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3"/>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4"/>
      <c r="AV122" s="1792">
        <f t="shared" si="63"/>
        <v>0</v>
      </c>
      <c r="AW122" s="1792">
        <f t="shared" si="64"/>
        <v>0</v>
      </c>
      <c r="AX122" s="1792">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3"/>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4"/>
      <c r="AV123" s="1792">
        <f t="shared" si="63"/>
        <v>0</v>
      </c>
      <c r="AW123" s="1792">
        <f t="shared" si="64"/>
        <v>0</v>
      </c>
      <c r="AX123" s="1792">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3"/>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4"/>
      <c r="AV124" s="1792">
        <f t="shared" si="63"/>
        <v>0</v>
      </c>
      <c r="AW124" s="1792">
        <f t="shared" si="64"/>
        <v>0</v>
      </c>
      <c r="AX124" s="1792">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3"/>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4"/>
      <c r="AV125" s="1792">
        <f t="shared" si="63"/>
        <v>0</v>
      </c>
      <c r="AW125" s="1792">
        <f t="shared" si="64"/>
        <v>0</v>
      </c>
      <c r="AX125" s="1792">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3"/>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4"/>
      <c r="AV126" s="1792">
        <f t="shared" si="63"/>
        <v>0</v>
      </c>
      <c r="AW126" s="1792">
        <f t="shared" si="64"/>
        <v>0</v>
      </c>
      <c r="AX126" s="1792">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3"/>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4"/>
      <c r="AV127" s="1792">
        <f t="shared" si="63"/>
        <v>0</v>
      </c>
      <c r="AW127" s="1792">
        <f t="shared" si="64"/>
        <v>0</v>
      </c>
      <c r="AX127" s="1792">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3"/>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4"/>
      <c r="AV128" s="1792">
        <f t="shared" si="63"/>
        <v>0</v>
      </c>
      <c r="AW128" s="1792">
        <f t="shared" si="64"/>
        <v>0</v>
      </c>
      <c r="AX128" s="1792">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3"/>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4"/>
      <c r="AV129" s="1792">
        <f t="shared" si="63"/>
        <v>0</v>
      </c>
      <c r="AW129" s="1792">
        <f t="shared" si="64"/>
        <v>0</v>
      </c>
      <c r="AX129" s="1792">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3"/>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4"/>
      <c r="AV130" s="1792">
        <f t="shared" si="63"/>
        <v>0</v>
      </c>
      <c r="AW130" s="1792">
        <f t="shared" si="64"/>
        <v>0</v>
      </c>
      <c r="AX130" s="1792">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3"/>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4"/>
      <c r="AV131" s="1792">
        <f t="shared" si="63"/>
        <v>0</v>
      </c>
      <c r="AW131" s="1792">
        <f t="shared" si="64"/>
        <v>0</v>
      </c>
      <c r="AX131" s="1792">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3"/>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4"/>
      <c r="AV132" s="1792">
        <f t="shared" si="63"/>
        <v>0</v>
      </c>
      <c r="AW132" s="1792">
        <f t="shared" si="64"/>
        <v>0</v>
      </c>
      <c r="AX132" s="1792">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3"/>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4"/>
      <c r="AV133" s="1792">
        <f t="shared" si="63"/>
        <v>0</v>
      </c>
      <c r="AW133" s="1792">
        <f t="shared" si="64"/>
        <v>0</v>
      </c>
      <c r="AX133" s="1792">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3"/>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4"/>
      <c r="AV134" s="1792">
        <f t="shared" si="63"/>
        <v>0</v>
      </c>
      <c r="AW134" s="1792">
        <f t="shared" si="64"/>
        <v>0</v>
      </c>
      <c r="AX134" s="1792">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3"/>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4"/>
      <c r="AV135" s="1792">
        <f t="shared" si="63"/>
        <v>0</v>
      </c>
      <c r="AW135" s="1792">
        <f t="shared" si="64"/>
        <v>0</v>
      </c>
      <c r="AX135" s="1792">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3"/>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4"/>
      <c r="AV136" s="1792">
        <f t="shared" si="63"/>
        <v>0</v>
      </c>
      <c r="AW136" s="1792">
        <f t="shared" si="64"/>
        <v>0</v>
      </c>
      <c r="AX136" s="1792">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3"/>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4"/>
      <c r="AV137" s="1792">
        <f t="shared" si="63"/>
        <v>0</v>
      </c>
      <c r="AW137" s="1792">
        <f t="shared" si="64"/>
        <v>0</v>
      </c>
      <c r="AX137" s="1792">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3"/>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4"/>
      <c r="AV138" s="1792">
        <f t="shared" si="63"/>
        <v>0</v>
      </c>
      <c r="AW138" s="1792">
        <f t="shared" si="64"/>
        <v>0</v>
      </c>
      <c r="AX138" s="1792">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3"/>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4"/>
      <c r="AV139" s="1792">
        <f t="shared" si="63"/>
        <v>0</v>
      </c>
      <c r="AW139" s="1792">
        <f t="shared" si="64"/>
        <v>0</v>
      </c>
      <c r="AX139" s="1792">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3"/>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4"/>
      <c r="AV140" s="1792">
        <f t="shared" si="63"/>
        <v>0</v>
      </c>
      <c r="AW140" s="1792">
        <f t="shared" si="64"/>
        <v>0</v>
      </c>
      <c r="AX140" s="1792">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3"/>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4"/>
      <c r="AV141" s="1792">
        <f t="shared" si="63"/>
        <v>0</v>
      </c>
      <c r="AW141" s="1792">
        <f t="shared" si="64"/>
        <v>0</v>
      </c>
      <c r="AX141" s="1792">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3"/>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3"/>
        <v>0</v>
      </c>
      <c r="AW142" s="1792">
        <f t="shared" si="64"/>
        <v>0</v>
      </c>
      <c r="AX142" s="1792">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3"/>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4"/>
      <c r="AV143" s="1792">
        <f t="shared" si="63"/>
        <v>0</v>
      </c>
      <c r="AW143" s="1792">
        <f t="shared" si="64"/>
        <v>0</v>
      </c>
      <c r="AX143" s="1792">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3"/>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4"/>
      <c r="AV144" s="1792">
        <f t="shared" si="63"/>
        <v>0</v>
      </c>
      <c r="AW144" s="1792">
        <f t="shared" si="64"/>
        <v>0</v>
      </c>
      <c r="AX144" s="1792">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3"/>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2">A145</f>
        <v>0</v>
      </c>
      <c r="AW145" s="1792">
        <f t="shared" ref="AW145:AW176" si="93">B145</f>
        <v>0</v>
      </c>
      <c r="AX145" s="1792">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3"/>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4"/>
      <c r="AV146" s="1792">
        <f t="shared" si="92"/>
        <v>0</v>
      </c>
      <c r="AW146" s="1792">
        <f t="shared" si="93"/>
        <v>0</v>
      </c>
      <c r="AX146" s="1792">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3"/>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4"/>
      <c r="AV147" s="1792">
        <f t="shared" si="92"/>
        <v>0</v>
      </c>
      <c r="AW147" s="1792">
        <f t="shared" si="93"/>
        <v>0</v>
      </c>
      <c r="AX147" s="1792">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3"/>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4"/>
      <c r="AV148" s="1792">
        <f t="shared" si="92"/>
        <v>0</v>
      </c>
      <c r="AW148" s="1792">
        <f t="shared" si="93"/>
        <v>0</v>
      </c>
      <c r="AX148" s="1792">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3"/>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4"/>
      <c r="AV149" s="1792">
        <f t="shared" si="92"/>
        <v>0</v>
      </c>
      <c r="AW149" s="1792">
        <f t="shared" si="93"/>
        <v>0</v>
      </c>
      <c r="AX149" s="1792">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3"/>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4"/>
      <c r="AV150" s="1792">
        <f t="shared" si="92"/>
        <v>0</v>
      </c>
      <c r="AW150" s="1792">
        <f t="shared" si="93"/>
        <v>0</v>
      </c>
      <c r="AX150" s="1792">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3"/>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4"/>
      <c r="AV151" s="1792">
        <f t="shared" si="92"/>
        <v>0</v>
      </c>
      <c r="AW151" s="1792">
        <f t="shared" si="93"/>
        <v>0</v>
      </c>
      <c r="AX151" s="1792">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3"/>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4"/>
      <c r="AV152" s="1792">
        <f t="shared" si="92"/>
        <v>0</v>
      </c>
      <c r="AW152" s="1792">
        <f t="shared" si="93"/>
        <v>0</v>
      </c>
      <c r="AX152" s="1792">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3"/>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4"/>
      <c r="AV153" s="1792">
        <f t="shared" si="92"/>
        <v>0</v>
      </c>
      <c r="AW153" s="1792">
        <f t="shared" si="93"/>
        <v>0</v>
      </c>
      <c r="AX153" s="1792">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3"/>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4"/>
      <c r="AV154" s="1792">
        <f t="shared" si="92"/>
        <v>0</v>
      </c>
      <c r="AW154" s="1792">
        <f t="shared" si="93"/>
        <v>0</v>
      </c>
      <c r="AX154" s="1792">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3"/>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4"/>
      <c r="AV155" s="1792">
        <f t="shared" si="92"/>
        <v>0</v>
      </c>
      <c r="AW155" s="1792">
        <f t="shared" si="93"/>
        <v>0</v>
      </c>
      <c r="AX155" s="1792">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3"/>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4"/>
      <c r="AV156" s="1792">
        <f t="shared" si="92"/>
        <v>0</v>
      </c>
      <c r="AW156" s="1792">
        <f t="shared" si="93"/>
        <v>0</v>
      </c>
      <c r="AX156" s="1792">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3"/>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4"/>
      <c r="AV157" s="1792">
        <f t="shared" si="92"/>
        <v>0</v>
      </c>
      <c r="AW157" s="1792">
        <f t="shared" si="93"/>
        <v>0</v>
      </c>
      <c r="AX157" s="1792">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3"/>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4"/>
      <c r="AV158" s="1792">
        <f t="shared" si="92"/>
        <v>0</v>
      </c>
      <c r="AW158" s="1792">
        <f t="shared" si="93"/>
        <v>0</v>
      </c>
      <c r="AX158" s="1792">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3"/>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4"/>
      <c r="AV159" s="1792">
        <f t="shared" si="92"/>
        <v>0</v>
      </c>
      <c r="AW159" s="1792">
        <f t="shared" si="93"/>
        <v>0</v>
      </c>
      <c r="AX159" s="1792">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3"/>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4"/>
      <c r="AV160" s="1792">
        <f t="shared" si="92"/>
        <v>0</v>
      </c>
      <c r="AW160" s="1792">
        <f t="shared" si="93"/>
        <v>0</v>
      </c>
      <c r="AX160" s="1792">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3"/>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4"/>
      <c r="AV161" s="1792">
        <f t="shared" si="92"/>
        <v>0</v>
      </c>
      <c r="AW161" s="1792">
        <f t="shared" si="93"/>
        <v>0</v>
      </c>
      <c r="AX161" s="1792">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3"/>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4"/>
      <c r="AV162" s="1792">
        <f t="shared" si="92"/>
        <v>0</v>
      </c>
      <c r="AW162" s="1792">
        <f t="shared" si="93"/>
        <v>0</v>
      </c>
      <c r="AX162" s="1792">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3"/>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4"/>
      <c r="AV163" s="1792">
        <f t="shared" si="92"/>
        <v>0</v>
      </c>
      <c r="AW163" s="1792">
        <f t="shared" si="93"/>
        <v>0</v>
      </c>
      <c r="AX163" s="1792">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3"/>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4"/>
      <c r="AV164" s="1792">
        <f t="shared" si="92"/>
        <v>0</v>
      </c>
      <c r="AW164" s="1792">
        <f t="shared" si="93"/>
        <v>0</v>
      </c>
      <c r="AX164" s="1792">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3"/>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4"/>
      <c r="AV165" s="1792">
        <f t="shared" si="92"/>
        <v>0</v>
      </c>
      <c r="AW165" s="1792">
        <f t="shared" si="93"/>
        <v>0</v>
      </c>
      <c r="AX165" s="1792">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3"/>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4"/>
      <c r="AV166" s="1792">
        <f t="shared" si="92"/>
        <v>0</v>
      </c>
      <c r="AW166" s="1792">
        <f t="shared" si="93"/>
        <v>0</v>
      </c>
      <c r="AX166" s="1792">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3"/>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4"/>
      <c r="AV167" s="1792">
        <f t="shared" si="92"/>
        <v>0</v>
      </c>
      <c r="AW167" s="1792">
        <f t="shared" si="93"/>
        <v>0</v>
      </c>
      <c r="AX167" s="1792">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3"/>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4"/>
      <c r="AV168" s="1792">
        <f t="shared" si="92"/>
        <v>0</v>
      </c>
      <c r="AW168" s="1792">
        <f t="shared" si="93"/>
        <v>0</v>
      </c>
      <c r="AX168" s="1792">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3"/>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4"/>
      <c r="AV169" s="1792">
        <f t="shared" si="92"/>
        <v>0</v>
      </c>
      <c r="AW169" s="1792">
        <f t="shared" si="93"/>
        <v>0</v>
      </c>
      <c r="AX169" s="1792">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3"/>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4"/>
      <c r="AV170" s="1792">
        <f t="shared" si="92"/>
        <v>0</v>
      </c>
      <c r="AW170" s="1792">
        <f t="shared" si="93"/>
        <v>0</v>
      </c>
      <c r="AX170" s="1792">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3"/>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4"/>
      <c r="AV171" s="1792">
        <f t="shared" si="92"/>
        <v>0</v>
      </c>
      <c r="AW171" s="1792">
        <f t="shared" si="93"/>
        <v>0</v>
      </c>
      <c r="AX171" s="1792">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3"/>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4"/>
      <c r="AV172" s="1792">
        <f t="shared" si="92"/>
        <v>0</v>
      </c>
      <c r="AW172" s="1792">
        <f t="shared" si="93"/>
        <v>0</v>
      </c>
      <c r="AX172" s="1792">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3"/>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4"/>
      <c r="AV173" s="1792">
        <f t="shared" si="92"/>
        <v>0</v>
      </c>
      <c r="AW173" s="1792">
        <f t="shared" si="93"/>
        <v>0</v>
      </c>
      <c r="AX173" s="1792">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3"/>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2"/>
        <v>0</v>
      </c>
      <c r="AW174" s="1792">
        <f t="shared" si="93"/>
        <v>0</v>
      </c>
      <c r="AX174" s="1792">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3"/>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4"/>
      <c r="AV175" s="1792">
        <f t="shared" si="92"/>
        <v>0</v>
      </c>
      <c r="AW175" s="1792">
        <f t="shared" si="93"/>
        <v>0</v>
      </c>
      <c r="AX175" s="1792">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3"/>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4"/>
      <c r="AV176" s="1792">
        <f t="shared" si="92"/>
        <v>0</v>
      </c>
      <c r="AW176" s="1792">
        <f t="shared" si="93"/>
        <v>0</v>
      </c>
      <c r="AX176" s="1792">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3"/>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1">A177</f>
        <v>0</v>
      </c>
      <c r="AW177" s="1792">
        <f t="shared" ref="AW177:AW207" si="122">B177</f>
        <v>0</v>
      </c>
      <c r="AX177" s="1792">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3"/>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4"/>
      <c r="AV178" s="1792">
        <f t="shared" si="121"/>
        <v>0</v>
      </c>
      <c r="AW178" s="1792">
        <f t="shared" si="122"/>
        <v>0</v>
      </c>
      <c r="AX178" s="1792">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3"/>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4"/>
      <c r="AV179" s="1792">
        <f t="shared" si="121"/>
        <v>0</v>
      </c>
      <c r="AW179" s="1792">
        <f t="shared" si="122"/>
        <v>0</v>
      </c>
      <c r="AX179" s="1792">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3"/>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4"/>
      <c r="AV180" s="1792">
        <f t="shared" si="121"/>
        <v>0</v>
      </c>
      <c r="AW180" s="1792">
        <f t="shared" si="122"/>
        <v>0</v>
      </c>
      <c r="AX180" s="1792">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3"/>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4"/>
      <c r="AV181" s="1792">
        <f t="shared" si="121"/>
        <v>0</v>
      </c>
      <c r="AW181" s="1792">
        <f t="shared" si="122"/>
        <v>0</v>
      </c>
      <c r="AX181" s="1792">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3"/>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4"/>
      <c r="AV182" s="1792">
        <f t="shared" si="121"/>
        <v>0</v>
      </c>
      <c r="AW182" s="1792">
        <f t="shared" si="122"/>
        <v>0</v>
      </c>
      <c r="AX182" s="1792">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3"/>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4"/>
      <c r="AV183" s="1792">
        <f t="shared" si="121"/>
        <v>0</v>
      </c>
      <c r="AW183" s="1792">
        <f t="shared" si="122"/>
        <v>0</v>
      </c>
      <c r="AX183" s="1792">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3"/>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4"/>
      <c r="AV184" s="1792">
        <f t="shared" si="121"/>
        <v>0</v>
      </c>
      <c r="AW184" s="1792">
        <f t="shared" si="122"/>
        <v>0</v>
      </c>
      <c r="AX184" s="1792">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3"/>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4"/>
      <c r="AV185" s="1792">
        <f t="shared" si="121"/>
        <v>0</v>
      </c>
      <c r="AW185" s="1792">
        <f t="shared" si="122"/>
        <v>0</v>
      </c>
      <c r="AX185" s="1792">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3"/>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4"/>
      <c r="AV186" s="1792">
        <f t="shared" si="121"/>
        <v>0</v>
      </c>
      <c r="AW186" s="1792">
        <f t="shared" si="122"/>
        <v>0</v>
      </c>
      <c r="AX186" s="1792">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3"/>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4"/>
      <c r="AV187" s="1792">
        <f t="shared" si="121"/>
        <v>0</v>
      </c>
      <c r="AW187" s="1792">
        <f t="shared" si="122"/>
        <v>0</v>
      </c>
      <c r="AX187" s="1792">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3"/>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4"/>
      <c r="AV188" s="1792">
        <f t="shared" si="121"/>
        <v>0</v>
      </c>
      <c r="AW188" s="1792">
        <f t="shared" si="122"/>
        <v>0</v>
      </c>
      <c r="AX188" s="1792">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3"/>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4"/>
      <c r="AV189" s="1792">
        <f t="shared" si="121"/>
        <v>0</v>
      </c>
      <c r="AW189" s="1792">
        <f t="shared" si="122"/>
        <v>0</v>
      </c>
      <c r="AX189" s="1792">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3"/>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4"/>
      <c r="AV190" s="1792">
        <f t="shared" si="121"/>
        <v>0</v>
      </c>
      <c r="AW190" s="1792">
        <f t="shared" si="122"/>
        <v>0</v>
      </c>
      <c r="AX190" s="1792">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3"/>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4"/>
      <c r="AV191" s="1792">
        <f t="shared" si="121"/>
        <v>0</v>
      </c>
      <c r="AW191" s="1792">
        <f t="shared" si="122"/>
        <v>0</v>
      </c>
      <c r="AX191" s="1792">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3"/>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4"/>
      <c r="AV192" s="1792">
        <f t="shared" si="121"/>
        <v>0</v>
      </c>
      <c r="AW192" s="1792">
        <f t="shared" si="122"/>
        <v>0</v>
      </c>
      <c r="AX192" s="1792">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3"/>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4"/>
      <c r="AV193" s="1792">
        <f t="shared" si="121"/>
        <v>0</v>
      </c>
      <c r="AW193" s="1792">
        <f t="shared" si="122"/>
        <v>0</v>
      </c>
      <c r="AX193" s="1792">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3"/>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4"/>
      <c r="AV194" s="1792">
        <f t="shared" si="121"/>
        <v>0</v>
      </c>
      <c r="AW194" s="1792">
        <f t="shared" si="122"/>
        <v>0</v>
      </c>
      <c r="AX194" s="1792">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3"/>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4"/>
      <c r="AV195" s="1792">
        <f t="shared" si="121"/>
        <v>0</v>
      </c>
      <c r="AW195" s="1792">
        <f t="shared" si="122"/>
        <v>0</v>
      </c>
      <c r="AX195" s="1792">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3"/>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4"/>
      <c r="AV196" s="1792">
        <f t="shared" si="121"/>
        <v>0</v>
      </c>
      <c r="AW196" s="1792">
        <f t="shared" si="122"/>
        <v>0</v>
      </c>
      <c r="AX196" s="1792">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3"/>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4"/>
      <c r="AV197" s="1792">
        <f t="shared" si="121"/>
        <v>0</v>
      </c>
      <c r="AW197" s="1792">
        <f t="shared" si="122"/>
        <v>0</v>
      </c>
      <c r="AX197" s="1792">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3"/>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4"/>
      <c r="AV198" s="1792">
        <f t="shared" si="121"/>
        <v>0</v>
      </c>
      <c r="AW198" s="1792">
        <f t="shared" si="122"/>
        <v>0</v>
      </c>
      <c r="AX198" s="1792">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3"/>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4"/>
      <c r="AV199" s="1792">
        <f t="shared" si="121"/>
        <v>0</v>
      </c>
      <c r="AW199" s="1792">
        <f t="shared" si="122"/>
        <v>0</v>
      </c>
      <c r="AX199" s="1792">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3"/>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4"/>
      <c r="AV200" s="1792">
        <f t="shared" si="121"/>
        <v>0</v>
      </c>
      <c r="AW200" s="1792">
        <f t="shared" si="122"/>
        <v>0</v>
      </c>
      <c r="AX200" s="1792">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3"/>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4"/>
      <c r="AV201" s="1792">
        <f t="shared" si="121"/>
        <v>0</v>
      </c>
      <c r="AW201" s="1792">
        <f t="shared" si="122"/>
        <v>0</v>
      </c>
      <c r="AX201" s="1792">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3"/>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4"/>
      <c r="AV202" s="1792">
        <f t="shared" si="121"/>
        <v>0</v>
      </c>
      <c r="AW202" s="1792">
        <f t="shared" si="122"/>
        <v>0</v>
      </c>
      <c r="AX202" s="1792">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3"/>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4"/>
      <c r="AV203" s="1792">
        <f t="shared" si="121"/>
        <v>0</v>
      </c>
      <c r="AW203" s="1792">
        <f t="shared" si="122"/>
        <v>0</v>
      </c>
      <c r="AX203" s="1792">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3"/>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4"/>
      <c r="AV204" s="1792">
        <f t="shared" si="121"/>
        <v>0</v>
      </c>
      <c r="AW204" s="1792">
        <f t="shared" si="122"/>
        <v>0</v>
      </c>
      <c r="AX204" s="1792">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3"/>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49"/>
      <c r="AV205" s="1792">
        <f t="shared" si="121"/>
        <v>0</v>
      </c>
      <c r="AW205" s="1792">
        <f t="shared" si="122"/>
        <v>0</v>
      </c>
      <c r="AX205" s="1792">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3"/>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1"/>
        <v>0</v>
      </c>
      <c r="AW206" s="1792">
        <f t="shared" si="122"/>
        <v>0</v>
      </c>
      <c r="AX206" s="1792">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3"/>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1"/>
        <v>0</v>
      </c>
      <c r="AW207" s="1792">
        <f t="shared" si="122"/>
        <v>0</v>
      </c>
      <c r="AX207" s="1792">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3"/>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8">A208</f>
        <v>0</v>
      </c>
      <c r="AW208" s="1792">
        <f t="shared" ref="AW208:AW302" si="129">B208</f>
        <v>0</v>
      </c>
      <c r="AX208" s="1792">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3"/>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4"/>
      <c r="AV209" s="1792">
        <f t="shared" si="128"/>
        <v>0</v>
      </c>
      <c r="AW209" s="1792">
        <f t="shared" si="129"/>
        <v>0</v>
      </c>
      <c r="AX209" s="1792">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3"/>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4"/>
      <c r="AV210" s="1792">
        <f t="shared" si="128"/>
        <v>0</v>
      </c>
      <c r="AW210" s="1792">
        <f t="shared" si="129"/>
        <v>0</v>
      </c>
      <c r="AX210" s="1792">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3"/>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4"/>
      <c r="AV211" s="1792">
        <f t="shared" si="128"/>
        <v>0</v>
      </c>
      <c r="AW211" s="1792">
        <f t="shared" si="129"/>
        <v>0</v>
      </c>
      <c r="AX211" s="1792">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3"/>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4"/>
      <c r="AV212" s="1792">
        <f t="shared" si="128"/>
        <v>0</v>
      </c>
      <c r="AW212" s="1792">
        <f t="shared" si="129"/>
        <v>0</v>
      </c>
      <c r="AX212" s="1792">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3"/>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4"/>
      <c r="AV213" s="1792">
        <f t="shared" si="128"/>
        <v>0</v>
      </c>
      <c r="AW213" s="1792">
        <f t="shared" si="129"/>
        <v>0</v>
      </c>
      <c r="AX213" s="1792">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3"/>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4"/>
      <c r="AV214" s="1792">
        <f t="shared" si="128"/>
        <v>0</v>
      </c>
      <c r="AW214" s="1792">
        <f t="shared" si="129"/>
        <v>0</v>
      </c>
      <c r="AX214" s="1792">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3"/>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4"/>
      <c r="AV215" s="1792">
        <f t="shared" si="128"/>
        <v>0</v>
      </c>
      <c r="AW215" s="1792">
        <f t="shared" si="129"/>
        <v>0</v>
      </c>
      <c r="AX215" s="1792">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3"/>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4"/>
      <c r="AV216" s="1792">
        <f t="shared" si="128"/>
        <v>0</v>
      </c>
      <c r="AW216" s="1792">
        <f t="shared" si="129"/>
        <v>0</v>
      </c>
      <c r="AX216" s="1792">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3"/>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4"/>
      <c r="AV217" s="1792">
        <f t="shared" si="128"/>
        <v>0</v>
      </c>
      <c r="AW217" s="1792">
        <f t="shared" si="129"/>
        <v>0</v>
      </c>
      <c r="AX217" s="1792">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3"/>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4"/>
      <c r="AV218" s="1792">
        <f t="shared" si="128"/>
        <v>0</v>
      </c>
      <c r="AW218" s="1792">
        <f t="shared" si="129"/>
        <v>0</v>
      </c>
      <c r="AX218" s="1792">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3"/>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4"/>
      <c r="AV219" s="1792">
        <f t="shared" si="128"/>
        <v>0</v>
      </c>
      <c r="AW219" s="1792">
        <f t="shared" si="129"/>
        <v>0</v>
      </c>
      <c r="AX219" s="1792">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3"/>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4"/>
      <c r="AV220" s="1792">
        <f t="shared" si="128"/>
        <v>0</v>
      </c>
      <c r="AW220" s="1792">
        <f t="shared" si="129"/>
        <v>0</v>
      </c>
      <c r="AX220" s="1792">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3"/>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4"/>
      <c r="AV221" s="1792">
        <f t="shared" si="128"/>
        <v>0</v>
      </c>
      <c r="AW221" s="1792">
        <f t="shared" si="129"/>
        <v>0</v>
      </c>
      <c r="AX221" s="1792">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3"/>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4"/>
      <c r="AV222" s="1792">
        <f t="shared" si="128"/>
        <v>0</v>
      </c>
      <c r="AW222" s="1792">
        <f t="shared" si="129"/>
        <v>0</v>
      </c>
      <c r="AX222" s="1792">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3"/>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4"/>
      <c r="AV223" s="1792">
        <f t="shared" si="128"/>
        <v>0</v>
      </c>
      <c r="AW223" s="1792">
        <f t="shared" si="129"/>
        <v>0</v>
      </c>
      <c r="AX223" s="1792">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3"/>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4"/>
      <c r="AV224" s="1792">
        <f t="shared" si="128"/>
        <v>0</v>
      </c>
      <c r="AW224" s="1792">
        <f t="shared" si="129"/>
        <v>0</v>
      </c>
      <c r="AX224" s="1792">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3"/>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4"/>
      <c r="AV225" s="1792">
        <f t="shared" si="128"/>
        <v>0</v>
      </c>
      <c r="AW225" s="1792">
        <f t="shared" si="129"/>
        <v>0</v>
      </c>
      <c r="AX225" s="1792">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3"/>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4"/>
      <c r="AV226" s="1792">
        <f t="shared" si="128"/>
        <v>0</v>
      </c>
      <c r="AW226" s="1792">
        <f t="shared" si="129"/>
        <v>0</v>
      </c>
      <c r="AX226" s="1792">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3"/>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4"/>
      <c r="AV227" s="1792">
        <f t="shared" si="128"/>
        <v>0</v>
      </c>
      <c r="AW227" s="1792">
        <f t="shared" si="129"/>
        <v>0</v>
      </c>
      <c r="AX227" s="1792">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3"/>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4"/>
      <c r="AV228" s="1792">
        <f t="shared" si="128"/>
        <v>0</v>
      </c>
      <c r="AW228" s="1792">
        <f t="shared" si="129"/>
        <v>0</v>
      </c>
      <c r="AX228" s="1792">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3"/>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4"/>
      <c r="AV229" s="1792">
        <f t="shared" si="128"/>
        <v>0</v>
      </c>
      <c r="AW229" s="1792">
        <f t="shared" si="129"/>
        <v>0</v>
      </c>
      <c r="AX229" s="1792">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3"/>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4"/>
      <c r="AV230" s="1792">
        <f t="shared" si="128"/>
        <v>0</v>
      </c>
      <c r="AW230" s="1792">
        <f t="shared" si="129"/>
        <v>0</v>
      </c>
      <c r="AX230" s="1792">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3"/>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4"/>
      <c r="AV231" s="1792">
        <f t="shared" si="128"/>
        <v>0</v>
      </c>
      <c r="AW231" s="1792">
        <f t="shared" si="129"/>
        <v>0</v>
      </c>
      <c r="AX231" s="1792">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3"/>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4"/>
      <c r="AV232" s="1792">
        <f t="shared" si="128"/>
        <v>0</v>
      </c>
      <c r="AW232" s="1792">
        <f t="shared" si="129"/>
        <v>0</v>
      </c>
      <c r="AX232" s="1792">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3"/>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4"/>
      <c r="AV233" s="1792">
        <f t="shared" si="128"/>
        <v>0</v>
      </c>
      <c r="AW233" s="1792">
        <f t="shared" si="129"/>
        <v>0</v>
      </c>
      <c r="AX233" s="1792">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3"/>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4"/>
      <c r="AV234" s="1792">
        <f t="shared" si="128"/>
        <v>0</v>
      </c>
      <c r="AW234" s="1792">
        <f t="shared" si="129"/>
        <v>0</v>
      </c>
      <c r="AX234" s="1792">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3"/>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4"/>
      <c r="AV235" s="1792">
        <f t="shared" si="128"/>
        <v>0</v>
      </c>
      <c r="AW235" s="1792">
        <f t="shared" si="129"/>
        <v>0</v>
      </c>
      <c r="AX235" s="1792">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3"/>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4"/>
      <c r="AV236" s="1792">
        <f t="shared" si="128"/>
        <v>0</v>
      </c>
      <c r="AW236" s="1792">
        <f t="shared" si="129"/>
        <v>0</v>
      </c>
      <c r="AX236" s="1792">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3"/>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4"/>
      <c r="AV237" s="1792">
        <f t="shared" si="128"/>
        <v>0</v>
      </c>
      <c r="AW237" s="1792">
        <f t="shared" si="129"/>
        <v>0</v>
      </c>
      <c r="AX237" s="1792">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3"/>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4"/>
      <c r="AV238" s="1792">
        <f t="shared" si="128"/>
        <v>0</v>
      </c>
      <c r="AW238" s="1792">
        <f t="shared" si="129"/>
        <v>0</v>
      </c>
      <c r="AX238" s="1792">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3"/>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4"/>
      <c r="AV239" s="1792">
        <f t="shared" si="128"/>
        <v>0</v>
      </c>
      <c r="AW239" s="1792">
        <f t="shared" si="129"/>
        <v>0</v>
      </c>
      <c r="AX239" s="1792">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3"/>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4"/>
      <c r="AV240" s="1792">
        <f t="shared" si="128"/>
        <v>0</v>
      </c>
      <c r="AW240" s="1792">
        <f t="shared" si="129"/>
        <v>0</v>
      </c>
      <c r="AX240" s="1792">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3"/>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4"/>
      <c r="AV241" s="1792">
        <f t="shared" si="128"/>
        <v>0</v>
      </c>
      <c r="AW241" s="1792">
        <f t="shared" si="129"/>
        <v>0</v>
      </c>
      <c r="AX241" s="1792">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3"/>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4"/>
      <c r="AV242" s="1792">
        <f t="shared" si="128"/>
        <v>0</v>
      </c>
      <c r="AW242" s="1792">
        <f t="shared" si="129"/>
        <v>0</v>
      </c>
      <c r="AX242" s="1792">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3"/>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4"/>
      <c r="AV243" s="1792">
        <f t="shared" si="128"/>
        <v>0</v>
      </c>
      <c r="AW243" s="1792">
        <f t="shared" si="129"/>
        <v>0</v>
      </c>
      <c r="AX243" s="1792">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3"/>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4"/>
      <c r="AV244" s="1792">
        <f t="shared" si="128"/>
        <v>0</v>
      </c>
      <c r="AW244" s="1792">
        <f t="shared" si="129"/>
        <v>0</v>
      </c>
      <c r="AX244" s="1792">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3"/>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4"/>
      <c r="AV245" s="1792">
        <f t="shared" si="128"/>
        <v>0</v>
      </c>
      <c r="AW245" s="1792">
        <f t="shared" si="129"/>
        <v>0</v>
      </c>
      <c r="AX245" s="1792">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3"/>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4"/>
      <c r="AV246" s="1792">
        <f t="shared" si="128"/>
        <v>0</v>
      </c>
      <c r="AW246" s="1792">
        <f t="shared" si="129"/>
        <v>0</v>
      </c>
      <c r="AX246" s="1792">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3"/>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4"/>
      <c r="AV247" s="1792">
        <f t="shared" si="128"/>
        <v>0</v>
      </c>
      <c r="AW247" s="1792">
        <f t="shared" si="129"/>
        <v>0</v>
      </c>
      <c r="AX247" s="1792">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3"/>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4"/>
      <c r="AV248" s="1792">
        <f t="shared" si="128"/>
        <v>0</v>
      </c>
      <c r="AW248" s="1792">
        <f t="shared" si="129"/>
        <v>0</v>
      </c>
      <c r="AX248" s="1792">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3"/>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4"/>
      <c r="AV249" s="1792">
        <f t="shared" si="128"/>
        <v>0</v>
      </c>
      <c r="AW249" s="1792">
        <f t="shared" si="129"/>
        <v>0</v>
      </c>
      <c r="AX249" s="1792">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3"/>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4"/>
      <c r="AV250" s="1792">
        <f t="shared" si="128"/>
        <v>0</v>
      </c>
      <c r="AW250" s="1792">
        <f t="shared" si="129"/>
        <v>0</v>
      </c>
      <c r="AX250" s="1792">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3"/>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4"/>
      <c r="AV251" s="1792">
        <f t="shared" si="128"/>
        <v>0</v>
      </c>
      <c r="AW251" s="1792">
        <f t="shared" si="129"/>
        <v>0</v>
      </c>
      <c r="AX251" s="1792">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3"/>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4"/>
      <c r="AV252" s="1792">
        <f t="shared" si="128"/>
        <v>0</v>
      </c>
      <c r="AW252" s="1792">
        <f t="shared" si="129"/>
        <v>0</v>
      </c>
      <c r="AX252" s="1792">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3"/>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4"/>
      <c r="AV253" s="1792">
        <f t="shared" si="128"/>
        <v>0</v>
      </c>
      <c r="AW253" s="1792">
        <f t="shared" si="129"/>
        <v>0</v>
      </c>
      <c r="AX253" s="1792">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3"/>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4"/>
      <c r="AV254" s="1792">
        <f t="shared" si="128"/>
        <v>0</v>
      </c>
      <c r="AW254" s="1792">
        <f t="shared" si="129"/>
        <v>0</v>
      </c>
      <c r="AX254" s="1792">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3"/>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4"/>
      <c r="AV255" s="1792">
        <f t="shared" si="128"/>
        <v>0</v>
      </c>
      <c r="AW255" s="1792">
        <f t="shared" si="129"/>
        <v>0</v>
      </c>
      <c r="AX255" s="1792">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3"/>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4"/>
      <c r="AV256" s="1792">
        <f t="shared" si="128"/>
        <v>0</v>
      </c>
      <c r="AW256" s="1792">
        <f t="shared" si="129"/>
        <v>0</v>
      </c>
      <c r="AX256" s="1792">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3"/>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4"/>
      <c r="AV257" s="1792">
        <f t="shared" si="128"/>
        <v>0</v>
      </c>
      <c r="AW257" s="1792">
        <f t="shared" si="129"/>
        <v>0</v>
      </c>
      <c r="AX257" s="1792">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3"/>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4"/>
      <c r="AV258" s="1792">
        <f t="shared" si="128"/>
        <v>0</v>
      </c>
      <c r="AW258" s="1792">
        <f t="shared" si="129"/>
        <v>0</v>
      </c>
      <c r="AX258" s="1792">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3"/>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4"/>
      <c r="AV259" s="1792">
        <f t="shared" si="128"/>
        <v>0</v>
      </c>
      <c r="AW259" s="1792">
        <f t="shared" si="129"/>
        <v>0</v>
      </c>
      <c r="AX259" s="1792">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3"/>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4"/>
      <c r="AV260" s="1792">
        <f t="shared" si="128"/>
        <v>0</v>
      </c>
      <c r="AW260" s="1792">
        <f t="shared" si="129"/>
        <v>0</v>
      </c>
      <c r="AX260" s="1792">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3"/>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4"/>
      <c r="AV261" s="1792">
        <f t="shared" si="128"/>
        <v>0</v>
      </c>
      <c r="AW261" s="1792">
        <f t="shared" si="129"/>
        <v>0</v>
      </c>
      <c r="AX261" s="1792">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3"/>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4"/>
      <c r="AV262" s="1792">
        <f t="shared" si="128"/>
        <v>0</v>
      </c>
      <c r="AW262" s="1792">
        <f t="shared" si="129"/>
        <v>0</v>
      </c>
      <c r="AX262" s="1792">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3"/>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4"/>
      <c r="AV263" s="1792">
        <f t="shared" si="128"/>
        <v>0</v>
      </c>
      <c r="AW263" s="1792">
        <f t="shared" si="129"/>
        <v>0</v>
      </c>
      <c r="AX263" s="1792">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3"/>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4"/>
      <c r="AV264" s="1792">
        <f t="shared" si="128"/>
        <v>0</v>
      </c>
      <c r="AW264" s="1792">
        <f t="shared" si="129"/>
        <v>0</v>
      </c>
      <c r="AX264" s="1792">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3"/>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4"/>
      <c r="AV265" s="1792">
        <f t="shared" si="128"/>
        <v>0</v>
      </c>
      <c r="AW265" s="1792">
        <f t="shared" si="129"/>
        <v>0</v>
      </c>
      <c r="AX265" s="1792">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3"/>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4"/>
      <c r="AV266" s="1792">
        <f t="shared" si="128"/>
        <v>0</v>
      </c>
      <c r="AW266" s="1792">
        <f t="shared" si="129"/>
        <v>0</v>
      </c>
      <c r="AX266" s="1792">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3"/>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4"/>
      <c r="AV267" s="1792">
        <f t="shared" si="128"/>
        <v>0</v>
      </c>
      <c r="AW267" s="1792">
        <f t="shared" si="129"/>
        <v>0</v>
      </c>
      <c r="AX267" s="1792">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3"/>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4"/>
      <c r="AV268" s="1792">
        <f t="shared" si="128"/>
        <v>0</v>
      </c>
      <c r="AW268" s="1792">
        <f t="shared" si="129"/>
        <v>0</v>
      </c>
      <c r="AX268" s="1792">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3"/>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4"/>
      <c r="AV269" s="1792">
        <f t="shared" si="128"/>
        <v>0</v>
      </c>
      <c r="AW269" s="1792">
        <f t="shared" si="129"/>
        <v>0</v>
      </c>
      <c r="AX269" s="1792">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3"/>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4"/>
      <c r="AV270" s="1792">
        <f t="shared" si="128"/>
        <v>0</v>
      </c>
      <c r="AW270" s="1792">
        <f t="shared" si="129"/>
        <v>0</v>
      </c>
      <c r="AX270" s="1792">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3"/>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4"/>
      <c r="AV271" s="1792">
        <f t="shared" si="128"/>
        <v>0</v>
      </c>
      <c r="AW271" s="1792">
        <f t="shared" si="129"/>
        <v>0</v>
      </c>
      <c r="AX271" s="1792">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3"/>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4"/>
      <c r="AV272" s="1792">
        <f t="shared" si="128"/>
        <v>0</v>
      </c>
      <c r="AW272" s="1792">
        <f t="shared" si="129"/>
        <v>0</v>
      </c>
      <c r="AX272" s="1792">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3"/>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4"/>
      <c r="AV273" s="1792">
        <f t="shared" si="128"/>
        <v>0</v>
      </c>
      <c r="AW273" s="1792">
        <f t="shared" si="129"/>
        <v>0</v>
      </c>
      <c r="AX273" s="1792">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3"/>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4"/>
      <c r="AV274" s="1792">
        <f t="shared" si="128"/>
        <v>0</v>
      </c>
      <c r="AW274" s="1792">
        <f t="shared" si="129"/>
        <v>0</v>
      </c>
      <c r="AX274" s="1792">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3"/>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4"/>
      <c r="AV275" s="1792">
        <f t="shared" si="128"/>
        <v>0</v>
      </c>
      <c r="AW275" s="1792">
        <f t="shared" si="129"/>
        <v>0</v>
      </c>
      <c r="AX275" s="1792">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3"/>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4"/>
      <c r="AV276" s="1792">
        <f t="shared" si="128"/>
        <v>0</v>
      </c>
      <c r="AW276" s="1792">
        <f t="shared" si="129"/>
        <v>0</v>
      </c>
      <c r="AX276" s="1792">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3"/>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4"/>
      <c r="AV277" s="1792">
        <f t="shared" si="128"/>
        <v>0</v>
      </c>
      <c r="AW277" s="1792">
        <f t="shared" si="129"/>
        <v>0</v>
      </c>
      <c r="AX277" s="1792">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3"/>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4"/>
      <c r="AV278" s="1792">
        <f t="shared" si="128"/>
        <v>0</v>
      </c>
      <c r="AW278" s="1792">
        <f t="shared" si="129"/>
        <v>0</v>
      </c>
      <c r="AX278" s="1792">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3"/>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4"/>
      <c r="AV279" s="1792">
        <f t="shared" si="128"/>
        <v>0</v>
      </c>
      <c r="AW279" s="1792">
        <f t="shared" si="129"/>
        <v>0</v>
      </c>
      <c r="AX279" s="1792">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3"/>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4"/>
      <c r="AV280" s="1792">
        <f t="shared" si="128"/>
        <v>0</v>
      </c>
      <c r="AW280" s="1792">
        <f t="shared" si="129"/>
        <v>0</v>
      </c>
      <c r="AX280" s="1792">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3"/>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4"/>
      <c r="AV281" s="1792">
        <f t="shared" si="128"/>
        <v>0</v>
      </c>
      <c r="AW281" s="1792">
        <f t="shared" si="129"/>
        <v>0</v>
      </c>
      <c r="AX281" s="1792">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3"/>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4"/>
      <c r="AV282" s="1792">
        <f t="shared" si="128"/>
        <v>0</v>
      </c>
      <c r="AW282" s="1792">
        <f t="shared" si="129"/>
        <v>0</v>
      </c>
      <c r="AX282" s="1792">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3"/>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4"/>
      <c r="AV283" s="1792">
        <f t="shared" si="128"/>
        <v>0</v>
      </c>
      <c r="AW283" s="1792">
        <f t="shared" si="129"/>
        <v>0</v>
      </c>
      <c r="AX283" s="1792">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3"/>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4"/>
      <c r="AV284" s="1792">
        <f t="shared" si="128"/>
        <v>0</v>
      </c>
      <c r="AW284" s="1792">
        <f t="shared" si="129"/>
        <v>0</v>
      </c>
      <c r="AX284" s="1792">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3"/>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4"/>
      <c r="AV285" s="1792">
        <f t="shared" si="128"/>
        <v>0</v>
      </c>
      <c r="AW285" s="1792">
        <f t="shared" si="129"/>
        <v>0</v>
      </c>
      <c r="AX285" s="1792">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3"/>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4"/>
      <c r="AV286" s="1792">
        <f t="shared" si="128"/>
        <v>0</v>
      </c>
      <c r="AW286" s="1792">
        <f t="shared" si="129"/>
        <v>0</v>
      </c>
      <c r="AX286" s="1792">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3"/>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4"/>
      <c r="AV287" s="1792">
        <f t="shared" si="128"/>
        <v>0</v>
      </c>
      <c r="AW287" s="1792">
        <f t="shared" si="129"/>
        <v>0</v>
      </c>
      <c r="AX287" s="1792">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3"/>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4"/>
      <c r="AV288" s="1792">
        <f t="shared" si="128"/>
        <v>0</v>
      </c>
      <c r="AW288" s="1792">
        <f t="shared" si="129"/>
        <v>0</v>
      </c>
      <c r="AX288" s="1792">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3"/>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4"/>
      <c r="AV289" s="1792">
        <f t="shared" si="128"/>
        <v>0</v>
      </c>
      <c r="AW289" s="1792">
        <f t="shared" si="129"/>
        <v>0</v>
      </c>
      <c r="AX289" s="1792">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3"/>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4"/>
      <c r="AV290" s="1792">
        <f t="shared" si="128"/>
        <v>0</v>
      </c>
      <c r="AW290" s="1792">
        <f t="shared" si="129"/>
        <v>0</v>
      </c>
      <c r="AX290" s="1792">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3"/>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4"/>
      <c r="AV291" s="1792">
        <f t="shared" si="128"/>
        <v>0</v>
      </c>
      <c r="AW291" s="1792">
        <f t="shared" si="129"/>
        <v>0</v>
      </c>
      <c r="AX291" s="1792">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3"/>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4"/>
      <c r="AV292" s="1792">
        <f t="shared" si="128"/>
        <v>0</v>
      </c>
      <c r="AW292" s="1792">
        <f t="shared" si="129"/>
        <v>0</v>
      </c>
      <c r="AX292" s="1792">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3"/>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4"/>
      <c r="AV293" s="1792">
        <f t="shared" si="128"/>
        <v>0</v>
      </c>
      <c r="AW293" s="1792">
        <f t="shared" si="129"/>
        <v>0</v>
      </c>
      <c r="AX293" s="1792">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3"/>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4"/>
      <c r="AV294" s="1792">
        <f t="shared" si="128"/>
        <v>0</v>
      </c>
      <c r="AW294" s="1792">
        <f t="shared" si="129"/>
        <v>0</v>
      </c>
      <c r="AX294" s="1792">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3"/>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4"/>
      <c r="AV295" s="1792">
        <f t="shared" si="128"/>
        <v>0</v>
      </c>
      <c r="AW295" s="1792">
        <f t="shared" si="129"/>
        <v>0</v>
      </c>
      <c r="AX295" s="1792">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3"/>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4"/>
      <c r="AV296" s="1792">
        <f t="shared" si="128"/>
        <v>0</v>
      </c>
      <c r="AW296" s="1792">
        <f t="shared" si="129"/>
        <v>0</v>
      </c>
      <c r="AX296" s="1792">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3"/>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4"/>
      <c r="AV297" s="1792">
        <f t="shared" si="128"/>
        <v>0</v>
      </c>
      <c r="AW297" s="1792">
        <f t="shared" si="129"/>
        <v>0</v>
      </c>
      <c r="AX297" s="1792">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3"/>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4"/>
      <c r="AV298" s="1792">
        <f t="shared" si="128"/>
        <v>0</v>
      </c>
      <c r="AW298" s="1792">
        <f t="shared" si="129"/>
        <v>0</v>
      </c>
      <c r="AX298" s="1792">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3"/>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4"/>
      <c r="AV299" s="1792">
        <f t="shared" si="128"/>
        <v>0</v>
      </c>
      <c r="AW299" s="1792">
        <f t="shared" si="129"/>
        <v>0</v>
      </c>
      <c r="AX299" s="1792">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3"/>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8"/>
        <v>0</v>
      </c>
      <c r="AW300" s="1792">
        <f t="shared" si="129"/>
        <v>0</v>
      </c>
      <c r="AX300" s="1792">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3"/>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49"/>
      <c r="AV301" s="1792">
        <f t="shared" si="128"/>
        <v>0</v>
      </c>
      <c r="AW301" s="1792">
        <f t="shared" si="129"/>
        <v>0</v>
      </c>
      <c r="AX301" s="1792">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3"/>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49"/>
      <c r="AV302" s="1792">
        <f t="shared" si="128"/>
        <v>0</v>
      </c>
      <c r="AW302" s="1792">
        <f t="shared" si="129"/>
        <v>0</v>
      </c>
      <c r="AX302" s="1792">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3"/>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9">A303</f>
        <v>0</v>
      </c>
      <c r="AW303" s="1792">
        <f t="shared" ref="AW303:AW334" si="180">B303</f>
        <v>0</v>
      </c>
      <c r="AX303" s="1792">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3"/>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4"/>
      <c r="AV304" s="1792">
        <f t="shared" si="179"/>
        <v>0</v>
      </c>
      <c r="AW304" s="1792">
        <f t="shared" si="180"/>
        <v>0</v>
      </c>
      <c r="AX304" s="1792">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3"/>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4"/>
      <c r="AV305" s="1792">
        <f t="shared" si="179"/>
        <v>0</v>
      </c>
      <c r="AW305" s="1792">
        <f t="shared" si="180"/>
        <v>0</v>
      </c>
      <c r="AX305" s="1792">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3"/>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4"/>
      <c r="AV306" s="1792">
        <f t="shared" si="179"/>
        <v>0</v>
      </c>
      <c r="AW306" s="1792">
        <f t="shared" si="180"/>
        <v>0</v>
      </c>
      <c r="AX306" s="1792">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3"/>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4"/>
      <c r="AV307" s="1792">
        <f t="shared" si="179"/>
        <v>0</v>
      </c>
      <c r="AW307" s="1792">
        <f t="shared" si="180"/>
        <v>0</v>
      </c>
      <c r="AX307" s="1792">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3"/>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4"/>
      <c r="AV308" s="1792">
        <f t="shared" si="179"/>
        <v>0</v>
      </c>
      <c r="AW308" s="1792">
        <f t="shared" si="180"/>
        <v>0</v>
      </c>
      <c r="AX308" s="1792">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3"/>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4"/>
      <c r="AV309" s="1792">
        <f t="shared" si="179"/>
        <v>0</v>
      </c>
      <c r="AW309" s="1792">
        <f t="shared" si="180"/>
        <v>0</v>
      </c>
      <c r="AX309" s="1792">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3"/>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4"/>
      <c r="AV310" s="1792">
        <f t="shared" si="179"/>
        <v>0</v>
      </c>
      <c r="AW310" s="1792">
        <f t="shared" si="180"/>
        <v>0</v>
      </c>
      <c r="AX310" s="1792">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3"/>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4"/>
      <c r="AV311" s="1792">
        <f t="shared" si="179"/>
        <v>0</v>
      </c>
      <c r="AW311" s="1792">
        <f t="shared" si="180"/>
        <v>0</v>
      </c>
      <c r="AX311" s="1792">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3"/>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4"/>
      <c r="AV312" s="1792">
        <f t="shared" si="179"/>
        <v>0</v>
      </c>
      <c r="AW312" s="1792">
        <f t="shared" si="180"/>
        <v>0</v>
      </c>
      <c r="AX312" s="1792">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3"/>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4"/>
      <c r="AV313" s="1792">
        <f t="shared" si="179"/>
        <v>0</v>
      </c>
      <c r="AW313" s="1792">
        <f t="shared" si="180"/>
        <v>0</v>
      </c>
      <c r="AX313" s="1792">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3"/>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4"/>
      <c r="AV314" s="1792">
        <f t="shared" si="179"/>
        <v>0</v>
      </c>
      <c r="AW314" s="1792">
        <f t="shared" si="180"/>
        <v>0</v>
      </c>
      <c r="AX314" s="1792">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3"/>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4"/>
      <c r="AV315" s="1792">
        <f t="shared" si="179"/>
        <v>0</v>
      </c>
      <c r="AW315" s="1792">
        <f t="shared" si="180"/>
        <v>0</v>
      </c>
      <c r="AX315" s="1792">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3"/>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4"/>
      <c r="AV316" s="1792">
        <f t="shared" si="179"/>
        <v>0</v>
      </c>
      <c r="AW316" s="1792">
        <f t="shared" si="180"/>
        <v>0</v>
      </c>
      <c r="AX316" s="1792">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3"/>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4"/>
      <c r="AV317" s="1792">
        <f t="shared" si="179"/>
        <v>0</v>
      </c>
      <c r="AW317" s="1792">
        <f t="shared" si="180"/>
        <v>0</v>
      </c>
      <c r="AX317" s="1792">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3"/>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4"/>
      <c r="AV318" s="1792">
        <f t="shared" si="179"/>
        <v>0</v>
      </c>
      <c r="AW318" s="1792">
        <f t="shared" si="180"/>
        <v>0</v>
      </c>
      <c r="AX318" s="1792">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3"/>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4"/>
      <c r="AV319" s="1792">
        <f t="shared" si="179"/>
        <v>0</v>
      </c>
      <c r="AW319" s="1792">
        <f t="shared" si="180"/>
        <v>0</v>
      </c>
      <c r="AX319" s="1792">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3"/>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4"/>
      <c r="AV320" s="1792">
        <f t="shared" si="179"/>
        <v>0</v>
      </c>
      <c r="AW320" s="1792">
        <f t="shared" si="180"/>
        <v>0</v>
      </c>
      <c r="AX320" s="1792">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3"/>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4"/>
      <c r="AV321" s="1792">
        <f t="shared" si="179"/>
        <v>0</v>
      </c>
      <c r="AW321" s="1792">
        <f t="shared" si="180"/>
        <v>0</v>
      </c>
      <c r="AX321" s="1792">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3"/>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4"/>
      <c r="AV322" s="1792">
        <f t="shared" si="179"/>
        <v>0</v>
      </c>
      <c r="AW322" s="1792">
        <f t="shared" si="180"/>
        <v>0</v>
      </c>
      <c r="AX322" s="1792">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3"/>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4"/>
      <c r="AV323" s="1792">
        <f t="shared" si="179"/>
        <v>0</v>
      </c>
      <c r="AW323" s="1792">
        <f t="shared" si="180"/>
        <v>0</v>
      </c>
      <c r="AX323" s="1792">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3"/>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4"/>
      <c r="AV324" s="1792">
        <f t="shared" si="179"/>
        <v>0</v>
      </c>
      <c r="AW324" s="1792">
        <f t="shared" si="180"/>
        <v>0</v>
      </c>
      <c r="AX324" s="1792">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3"/>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4"/>
      <c r="AV325" s="1792">
        <f t="shared" si="179"/>
        <v>0</v>
      </c>
      <c r="AW325" s="1792">
        <f t="shared" si="180"/>
        <v>0</v>
      </c>
      <c r="AX325" s="1792">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3"/>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4"/>
      <c r="AV326" s="1792">
        <f t="shared" si="179"/>
        <v>0</v>
      </c>
      <c r="AW326" s="1792">
        <f t="shared" si="180"/>
        <v>0</v>
      </c>
      <c r="AX326" s="1792">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3"/>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4"/>
      <c r="AV327" s="1792">
        <f t="shared" si="179"/>
        <v>0</v>
      </c>
      <c r="AW327" s="1792">
        <f t="shared" si="180"/>
        <v>0</v>
      </c>
      <c r="AX327" s="1792">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3"/>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4"/>
      <c r="AV328" s="1792">
        <f t="shared" si="179"/>
        <v>0</v>
      </c>
      <c r="AW328" s="1792">
        <f t="shared" si="180"/>
        <v>0</v>
      </c>
      <c r="AX328" s="1792">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3"/>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4"/>
      <c r="AV329" s="1792">
        <f t="shared" si="179"/>
        <v>0</v>
      </c>
      <c r="AW329" s="1792">
        <f t="shared" si="180"/>
        <v>0</v>
      </c>
      <c r="AX329" s="1792">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3"/>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4"/>
      <c r="AV330" s="1792">
        <f t="shared" si="179"/>
        <v>0</v>
      </c>
      <c r="AW330" s="1792">
        <f t="shared" si="180"/>
        <v>0</v>
      </c>
      <c r="AX330" s="1792">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3"/>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4"/>
      <c r="AV331" s="1792">
        <f t="shared" si="179"/>
        <v>0</v>
      </c>
      <c r="AW331" s="1792">
        <f t="shared" si="180"/>
        <v>0</v>
      </c>
      <c r="AX331" s="1792">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3"/>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9"/>
        <v>0</v>
      </c>
      <c r="AW332" s="1792">
        <f t="shared" si="180"/>
        <v>0</v>
      </c>
      <c r="AX332" s="1792">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3"/>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4"/>
      <c r="AV333" s="1792">
        <f t="shared" si="179"/>
        <v>0</v>
      </c>
      <c r="AW333" s="1792">
        <f t="shared" si="180"/>
        <v>0</v>
      </c>
      <c r="AX333" s="1792">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3"/>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4"/>
      <c r="AV334" s="1792">
        <f t="shared" si="179"/>
        <v>0</v>
      </c>
      <c r="AW334" s="1792">
        <f t="shared" si="180"/>
        <v>0</v>
      </c>
      <c r="AX334" s="1792">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3"/>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8">A335</f>
        <v>0</v>
      </c>
      <c r="AW335" s="1792">
        <f t="shared" ref="AW335:AW366" si="209">B335</f>
        <v>0</v>
      </c>
      <c r="AX335" s="1792">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3"/>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4"/>
      <c r="AV336" s="1792">
        <f t="shared" si="208"/>
        <v>0</v>
      </c>
      <c r="AW336" s="1792">
        <f t="shared" si="209"/>
        <v>0</v>
      </c>
      <c r="AX336" s="1792">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3"/>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4"/>
      <c r="AV337" s="1792">
        <f t="shared" si="208"/>
        <v>0</v>
      </c>
      <c r="AW337" s="1792">
        <f t="shared" si="209"/>
        <v>0</v>
      </c>
      <c r="AX337" s="1792">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3"/>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4"/>
      <c r="AV338" s="1792">
        <f t="shared" si="208"/>
        <v>0</v>
      </c>
      <c r="AW338" s="1792">
        <f t="shared" si="209"/>
        <v>0</v>
      </c>
      <c r="AX338" s="1792">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3"/>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4"/>
      <c r="AV339" s="1792">
        <f t="shared" si="208"/>
        <v>0</v>
      </c>
      <c r="AW339" s="1792">
        <f t="shared" si="209"/>
        <v>0</v>
      </c>
      <c r="AX339" s="1792">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3"/>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4"/>
      <c r="AV340" s="1792">
        <f t="shared" si="208"/>
        <v>0</v>
      </c>
      <c r="AW340" s="1792">
        <f t="shared" si="209"/>
        <v>0</v>
      </c>
      <c r="AX340" s="1792">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3"/>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4"/>
      <c r="AV341" s="1792">
        <f t="shared" si="208"/>
        <v>0</v>
      </c>
      <c r="AW341" s="1792">
        <f t="shared" si="209"/>
        <v>0</v>
      </c>
      <c r="AX341" s="1792">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3"/>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4"/>
      <c r="AV342" s="1792">
        <f t="shared" si="208"/>
        <v>0</v>
      </c>
      <c r="AW342" s="1792">
        <f t="shared" si="209"/>
        <v>0</v>
      </c>
      <c r="AX342" s="1792">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3"/>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4"/>
      <c r="AV343" s="1792">
        <f t="shared" si="208"/>
        <v>0</v>
      </c>
      <c r="AW343" s="1792">
        <f t="shared" si="209"/>
        <v>0</v>
      </c>
      <c r="AX343" s="1792">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3"/>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4"/>
      <c r="AV344" s="1792">
        <f t="shared" si="208"/>
        <v>0</v>
      </c>
      <c r="AW344" s="1792">
        <f t="shared" si="209"/>
        <v>0</v>
      </c>
      <c r="AX344" s="1792">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3"/>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4"/>
      <c r="AV345" s="1792">
        <f t="shared" si="208"/>
        <v>0</v>
      </c>
      <c r="AW345" s="1792">
        <f t="shared" si="209"/>
        <v>0</v>
      </c>
      <c r="AX345" s="1792">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3"/>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4"/>
      <c r="AV346" s="1792">
        <f t="shared" si="208"/>
        <v>0</v>
      </c>
      <c r="AW346" s="1792">
        <f t="shared" si="209"/>
        <v>0</v>
      </c>
      <c r="AX346" s="1792">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3"/>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4"/>
      <c r="AV347" s="1792">
        <f t="shared" si="208"/>
        <v>0</v>
      </c>
      <c r="AW347" s="1792">
        <f t="shared" si="209"/>
        <v>0</v>
      </c>
      <c r="AX347" s="1792">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3"/>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4"/>
      <c r="AV348" s="1792">
        <f t="shared" si="208"/>
        <v>0</v>
      </c>
      <c r="AW348" s="1792">
        <f t="shared" si="209"/>
        <v>0</v>
      </c>
      <c r="AX348" s="1792">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3"/>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4"/>
      <c r="AV349" s="1792">
        <f t="shared" si="208"/>
        <v>0</v>
      </c>
      <c r="AW349" s="1792">
        <f t="shared" si="209"/>
        <v>0</v>
      </c>
      <c r="AX349" s="1792">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3"/>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4"/>
      <c r="AV350" s="1792">
        <f t="shared" si="208"/>
        <v>0</v>
      </c>
      <c r="AW350" s="1792">
        <f t="shared" si="209"/>
        <v>0</v>
      </c>
      <c r="AX350" s="1792">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3"/>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4"/>
      <c r="AV351" s="1792">
        <f t="shared" si="208"/>
        <v>0</v>
      </c>
      <c r="AW351" s="1792">
        <f t="shared" si="209"/>
        <v>0</v>
      </c>
      <c r="AX351" s="1792">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3"/>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4"/>
      <c r="AV352" s="1792">
        <f t="shared" si="208"/>
        <v>0</v>
      </c>
      <c r="AW352" s="1792">
        <f t="shared" si="209"/>
        <v>0</v>
      </c>
      <c r="AX352" s="1792">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3"/>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4"/>
      <c r="AV353" s="1792">
        <f t="shared" si="208"/>
        <v>0</v>
      </c>
      <c r="AW353" s="1792">
        <f t="shared" si="209"/>
        <v>0</v>
      </c>
      <c r="AX353" s="1792">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3"/>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4"/>
      <c r="AV354" s="1792">
        <f t="shared" si="208"/>
        <v>0</v>
      </c>
      <c r="AW354" s="1792">
        <f t="shared" si="209"/>
        <v>0</v>
      </c>
      <c r="AX354" s="1792">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3"/>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4"/>
      <c r="AV355" s="1792">
        <f t="shared" si="208"/>
        <v>0</v>
      </c>
      <c r="AW355" s="1792">
        <f t="shared" si="209"/>
        <v>0</v>
      </c>
      <c r="AX355" s="1792">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3"/>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4"/>
      <c r="AV356" s="1792">
        <f t="shared" si="208"/>
        <v>0</v>
      </c>
      <c r="AW356" s="1792">
        <f t="shared" si="209"/>
        <v>0</v>
      </c>
      <c r="AX356" s="1792">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3"/>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4"/>
      <c r="AV357" s="1792">
        <f t="shared" si="208"/>
        <v>0</v>
      </c>
      <c r="AW357" s="1792">
        <f t="shared" si="209"/>
        <v>0</v>
      </c>
      <c r="AX357" s="1792">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3"/>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4"/>
      <c r="AV358" s="1792">
        <f t="shared" si="208"/>
        <v>0</v>
      </c>
      <c r="AW358" s="1792">
        <f t="shared" si="209"/>
        <v>0</v>
      </c>
      <c r="AX358" s="1792">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3"/>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4"/>
      <c r="AV359" s="1792">
        <f t="shared" si="208"/>
        <v>0</v>
      </c>
      <c r="AW359" s="1792">
        <f t="shared" si="209"/>
        <v>0</v>
      </c>
      <c r="AX359" s="1792">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3"/>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4"/>
      <c r="AV360" s="1792">
        <f t="shared" si="208"/>
        <v>0</v>
      </c>
      <c r="AW360" s="1792">
        <f t="shared" si="209"/>
        <v>0</v>
      </c>
      <c r="AX360" s="1792">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3"/>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4"/>
      <c r="AV361" s="1792">
        <f t="shared" si="208"/>
        <v>0</v>
      </c>
      <c r="AW361" s="1792">
        <f t="shared" si="209"/>
        <v>0</v>
      </c>
      <c r="AX361" s="1792">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3"/>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4"/>
      <c r="AV362" s="1792">
        <f t="shared" si="208"/>
        <v>0</v>
      </c>
      <c r="AW362" s="1792">
        <f t="shared" si="209"/>
        <v>0</v>
      </c>
      <c r="AX362" s="1792">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3"/>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4"/>
      <c r="AV363" s="1792">
        <f t="shared" si="208"/>
        <v>0</v>
      </c>
      <c r="AW363" s="1792">
        <f t="shared" si="209"/>
        <v>0</v>
      </c>
      <c r="AX363" s="1792">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3"/>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8"/>
        <v>0</v>
      </c>
      <c r="AW364" s="1792">
        <f t="shared" si="209"/>
        <v>0</v>
      </c>
      <c r="AX364" s="1792">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3"/>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4"/>
      <c r="AV365" s="1792">
        <f t="shared" si="208"/>
        <v>0</v>
      </c>
      <c r="AW365" s="1792">
        <f t="shared" si="209"/>
        <v>0</v>
      </c>
      <c r="AX365" s="1792">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3"/>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4"/>
      <c r="AV366" s="1792">
        <f t="shared" si="208"/>
        <v>0</v>
      </c>
      <c r="AW366" s="1792">
        <f t="shared" si="209"/>
        <v>0</v>
      </c>
      <c r="AX366" s="1792">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3"/>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7">A367</f>
        <v>0</v>
      </c>
      <c r="AW367" s="1792">
        <f t="shared" ref="AW367:AW397" si="238">B367</f>
        <v>0</v>
      </c>
      <c r="AX367" s="1792">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3"/>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4"/>
      <c r="AV368" s="1792">
        <f t="shared" si="237"/>
        <v>0</v>
      </c>
      <c r="AW368" s="1792">
        <f t="shared" si="238"/>
        <v>0</v>
      </c>
      <c r="AX368" s="1792">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3"/>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4"/>
      <c r="AV369" s="1792">
        <f t="shared" si="237"/>
        <v>0</v>
      </c>
      <c r="AW369" s="1792">
        <f t="shared" si="238"/>
        <v>0</v>
      </c>
      <c r="AX369" s="1792">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3"/>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4"/>
      <c r="AV370" s="1792">
        <f t="shared" si="237"/>
        <v>0</v>
      </c>
      <c r="AW370" s="1792">
        <f t="shared" si="238"/>
        <v>0</v>
      </c>
      <c r="AX370" s="1792">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3"/>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4"/>
      <c r="AV371" s="1792">
        <f t="shared" si="237"/>
        <v>0</v>
      </c>
      <c r="AW371" s="1792">
        <f t="shared" si="238"/>
        <v>0</v>
      </c>
      <c r="AX371" s="1792">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3"/>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4"/>
      <c r="AV372" s="1792">
        <f t="shared" si="237"/>
        <v>0</v>
      </c>
      <c r="AW372" s="1792">
        <f t="shared" si="238"/>
        <v>0</v>
      </c>
      <c r="AX372" s="1792">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3"/>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4"/>
      <c r="AV373" s="1792">
        <f t="shared" si="237"/>
        <v>0</v>
      </c>
      <c r="AW373" s="1792">
        <f t="shared" si="238"/>
        <v>0</v>
      </c>
      <c r="AX373" s="1792">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3"/>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4"/>
      <c r="AV374" s="1792">
        <f t="shared" si="237"/>
        <v>0</v>
      </c>
      <c r="AW374" s="1792">
        <f t="shared" si="238"/>
        <v>0</v>
      </c>
      <c r="AX374" s="1792">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3"/>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4"/>
      <c r="AV375" s="1792">
        <f t="shared" si="237"/>
        <v>0</v>
      </c>
      <c r="AW375" s="1792">
        <f t="shared" si="238"/>
        <v>0</v>
      </c>
      <c r="AX375" s="1792">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3"/>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4"/>
      <c r="AV376" s="1792">
        <f t="shared" si="237"/>
        <v>0</v>
      </c>
      <c r="AW376" s="1792">
        <f t="shared" si="238"/>
        <v>0</v>
      </c>
      <c r="AX376" s="1792">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3"/>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4"/>
      <c r="AV377" s="1792">
        <f t="shared" si="237"/>
        <v>0</v>
      </c>
      <c r="AW377" s="1792">
        <f t="shared" si="238"/>
        <v>0</v>
      </c>
      <c r="AX377" s="1792">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3"/>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4"/>
      <c r="AV378" s="1792">
        <f t="shared" si="237"/>
        <v>0</v>
      </c>
      <c r="AW378" s="1792">
        <f t="shared" si="238"/>
        <v>0</v>
      </c>
      <c r="AX378" s="1792">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3"/>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4"/>
      <c r="AV379" s="1792">
        <f t="shared" si="237"/>
        <v>0</v>
      </c>
      <c r="AW379" s="1792">
        <f t="shared" si="238"/>
        <v>0</v>
      </c>
      <c r="AX379" s="1792">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3"/>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4"/>
      <c r="AV380" s="1792">
        <f t="shared" si="237"/>
        <v>0</v>
      </c>
      <c r="AW380" s="1792">
        <f t="shared" si="238"/>
        <v>0</v>
      </c>
      <c r="AX380" s="1792">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3"/>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4"/>
      <c r="AV381" s="1792">
        <f t="shared" si="237"/>
        <v>0</v>
      </c>
      <c r="AW381" s="1792">
        <f t="shared" si="238"/>
        <v>0</v>
      </c>
      <c r="AX381" s="1792">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3"/>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4"/>
      <c r="AV382" s="1792">
        <f t="shared" si="237"/>
        <v>0</v>
      </c>
      <c r="AW382" s="1792">
        <f t="shared" si="238"/>
        <v>0</v>
      </c>
      <c r="AX382" s="1792">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3"/>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4"/>
      <c r="AV383" s="1792">
        <f t="shared" si="237"/>
        <v>0</v>
      </c>
      <c r="AW383" s="1792">
        <f t="shared" si="238"/>
        <v>0</v>
      </c>
      <c r="AX383" s="1792">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3"/>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4"/>
      <c r="AV384" s="1792">
        <f t="shared" si="237"/>
        <v>0</v>
      </c>
      <c r="AW384" s="1792">
        <f t="shared" si="238"/>
        <v>0</v>
      </c>
      <c r="AX384" s="1792">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3"/>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4"/>
      <c r="AV385" s="1792">
        <f t="shared" si="237"/>
        <v>0</v>
      </c>
      <c r="AW385" s="1792">
        <f t="shared" si="238"/>
        <v>0</v>
      </c>
      <c r="AX385" s="1792">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3"/>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4"/>
      <c r="AV386" s="1792">
        <f t="shared" si="237"/>
        <v>0</v>
      </c>
      <c r="AW386" s="1792">
        <f t="shared" si="238"/>
        <v>0</v>
      </c>
      <c r="AX386" s="1792">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3"/>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4"/>
      <c r="AV387" s="1792">
        <f t="shared" si="237"/>
        <v>0</v>
      </c>
      <c r="AW387" s="1792">
        <f t="shared" si="238"/>
        <v>0</v>
      </c>
      <c r="AX387" s="1792">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3"/>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4"/>
      <c r="AV388" s="1792">
        <f t="shared" si="237"/>
        <v>0</v>
      </c>
      <c r="AW388" s="1792">
        <f t="shared" si="238"/>
        <v>0</v>
      </c>
      <c r="AX388" s="1792">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3"/>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4"/>
      <c r="AV389" s="1792">
        <f t="shared" si="237"/>
        <v>0</v>
      </c>
      <c r="AW389" s="1792">
        <f t="shared" si="238"/>
        <v>0</v>
      </c>
      <c r="AX389" s="1792">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3"/>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4"/>
      <c r="AV390" s="1792">
        <f t="shared" si="237"/>
        <v>0</v>
      </c>
      <c r="AW390" s="1792">
        <f t="shared" si="238"/>
        <v>0</v>
      </c>
      <c r="AX390" s="1792">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3"/>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4"/>
      <c r="AV391" s="1792">
        <f t="shared" si="237"/>
        <v>0</v>
      </c>
      <c r="AW391" s="1792">
        <f t="shared" si="238"/>
        <v>0</v>
      </c>
      <c r="AX391" s="1792">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3"/>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4"/>
      <c r="AV392" s="1792">
        <f t="shared" si="237"/>
        <v>0</v>
      </c>
      <c r="AW392" s="1792">
        <f t="shared" si="238"/>
        <v>0</v>
      </c>
      <c r="AX392" s="1792">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3"/>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4"/>
      <c r="AV393" s="1792">
        <f t="shared" si="237"/>
        <v>0</v>
      </c>
      <c r="AW393" s="1792">
        <f t="shared" si="238"/>
        <v>0</v>
      </c>
      <c r="AX393" s="1792">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3"/>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4"/>
      <c r="AV394" s="1792">
        <f t="shared" si="237"/>
        <v>0</v>
      </c>
      <c r="AW394" s="1792">
        <f t="shared" si="238"/>
        <v>0</v>
      </c>
      <c r="AX394" s="1792">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3"/>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49"/>
      <c r="AV395" s="1792">
        <f t="shared" si="237"/>
        <v>0</v>
      </c>
      <c r="AW395" s="1792">
        <f t="shared" si="238"/>
        <v>0</v>
      </c>
      <c r="AX395" s="1792">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3"/>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7"/>
        <v>0</v>
      </c>
      <c r="AW396" s="1792">
        <f t="shared" si="238"/>
        <v>0</v>
      </c>
      <c r="AX396" s="1792">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3"/>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7"/>
        <v>0</v>
      </c>
      <c r="AW397" s="1792">
        <f t="shared" si="238"/>
        <v>0</v>
      </c>
      <c r="AX397" s="1792">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3"/>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4">A398</f>
        <v>0</v>
      </c>
      <c r="AW398" s="1792">
        <f t="shared" ref="AW398:AW492" si="245">B398</f>
        <v>0</v>
      </c>
      <c r="AX398" s="1792">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3"/>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4"/>
      <c r="AV399" s="1792">
        <f t="shared" si="244"/>
        <v>0</v>
      </c>
      <c r="AW399" s="1792">
        <f t="shared" si="245"/>
        <v>0</v>
      </c>
      <c r="AX399" s="1792">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3"/>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4"/>
      <c r="AV400" s="1792">
        <f t="shared" si="244"/>
        <v>0</v>
      </c>
      <c r="AW400" s="1792">
        <f t="shared" si="245"/>
        <v>0</v>
      </c>
      <c r="AX400" s="1792">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3"/>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4"/>
      <c r="AV401" s="1792">
        <f t="shared" si="244"/>
        <v>0</v>
      </c>
      <c r="AW401" s="1792">
        <f t="shared" si="245"/>
        <v>0</v>
      </c>
      <c r="AX401" s="1792">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3"/>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4"/>
      <c r="AV402" s="1792">
        <f t="shared" si="244"/>
        <v>0</v>
      </c>
      <c r="AW402" s="1792">
        <f t="shared" si="245"/>
        <v>0</v>
      </c>
      <c r="AX402" s="1792">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3"/>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4"/>
      <c r="AV403" s="1792">
        <f t="shared" si="244"/>
        <v>0</v>
      </c>
      <c r="AW403" s="1792">
        <f t="shared" si="245"/>
        <v>0</v>
      </c>
      <c r="AX403" s="1792">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3"/>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4"/>
      <c r="AV404" s="1792">
        <f t="shared" si="244"/>
        <v>0</v>
      </c>
      <c r="AW404" s="1792">
        <f t="shared" si="245"/>
        <v>0</v>
      </c>
      <c r="AX404" s="1792">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3"/>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4"/>
      <c r="AV405" s="1792">
        <f t="shared" si="244"/>
        <v>0</v>
      </c>
      <c r="AW405" s="1792">
        <f t="shared" si="245"/>
        <v>0</v>
      </c>
      <c r="AX405" s="1792">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3"/>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4"/>
      <c r="AV406" s="1792">
        <f t="shared" si="244"/>
        <v>0</v>
      </c>
      <c r="AW406" s="1792">
        <f t="shared" si="245"/>
        <v>0</v>
      </c>
      <c r="AX406" s="1792">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3"/>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4"/>
      <c r="AV407" s="1792">
        <f t="shared" si="244"/>
        <v>0</v>
      </c>
      <c r="AW407" s="1792">
        <f t="shared" si="245"/>
        <v>0</v>
      </c>
      <c r="AX407" s="1792">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3"/>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4"/>
      <c r="AV408" s="1792">
        <f t="shared" si="244"/>
        <v>0</v>
      </c>
      <c r="AW408" s="1792">
        <f t="shared" si="245"/>
        <v>0</v>
      </c>
      <c r="AX408" s="1792">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3"/>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4"/>
      <c r="AV409" s="1792">
        <f t="shared" si="244"/>
        <v>0</v>
      </c>
      <c r="AW409" s="1792">
        <f t="shared" si="245"/>
        <v>0</v>
      </c>
      <c r="AX409" s="1792">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3"/>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4"/>
      <c r="AV410" s="1792">
        <f t="shared" si="244"/>
        <v>0</v>
      </c>
      <c r="AW410" s="1792">
        <f t="shared" si="245"/>
        <v>0</v>
      </c>
      <c r="AX410" s="1792">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3"/>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4"/>
      <c r="AV411" s="1792">
        <f t="shared" si="244"/>
        <v>0</v>
      </c>
      <c r="AW411" s="1792">
        <f t="shared" si="245"/>
        <v>0</v>
      </c>
      <c r="AX411" s="1792">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3"/>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4"/>
      <c r="AV412" s="1792">
        <f t="shared" si="244"/>
        <v>0</v>
      </c>
      <c r="AW412" s="1792">
        <f t="shared" si="245"/>
        <v>0</v>
      </c>
      <c r="AX412" s="1792">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3"/>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4"/>
      <c r="AV413" s="1792">
        <f t="shared" si="244"/>
        <v>0</v>
      </c>
      <c r="AW413" s="1792">
        <f t="shared" si="245"/>
        <v>0</v>
      </c>
      <c r="AX413" s="1792">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3"/>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4"/>
      <c r="AV414" s="1792">
        <f t="shared" si="244"/>
        <v>0</v>
      </c>
      <c r="AW414" s="1792">
        <f t="shared" si="245"/>
        <v>0</v>
      </c>
      <c r="AX414" s="1792">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3"/>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4"/>
      <c r="AV415" s="1792">
        <f t="shared" si="244"/>
        <v>0</v>
      </c>
      <c r="AW415" s="1792">
        <f t="shared" si="245"/>
        <v>0</v>
      </c>
      <c r="AX415" s="1792">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3"/>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4"/>
      <c r="AV416" s="1792">
        <f t="shared" si="244"/>
        <v>0</v>
      </c>
      <c r="AW416" s="1792">
        <f t="shared" si="245"/>
        <v>0</v>
      </c>
      <c r="AX416" s="1792">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3"/>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4"/>
      <c r="AV417" s="1792">
        <f t="shared" si="244"/>
        <v>0</v>
      </c>
      <c r="AW417" s="1792">
        <f t="shared" si="245"/>
        <v>0</v>
      </c>
      <c r="AX417" s="1792">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3"/>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4"/>
      <c r="AV418" s="1792">
        <f t="shared" si="244"/>
        <v>0</v>
      </c>
      <c r="AW418" s="1792">
        <f t="shared" si="245"/>
        <v>0</v>
      </c>
      <c r="AX418" s="1792">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3"/>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4"/>
      <c r="AV419" s="1792">
        <f t="shared" si="244"/>
        <v>0</v>
      </c>
      <c r="AW419" s="1792">
        <f t="shared" si="245"/>
        <v>0</v>
      </c>
      <c r="AX419" s="1792">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3"/>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4"/>
      <c r="AV420" s="1792">
        <f t="shared" si="244"/>
        <v>0</v>
      </c>
      <c r="AW420" s="1792">
        <f t="shared" si="245"/>
        <v>0</v>
      </c>
      <c r="AX420" s="1792">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3"/>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4"/>
      <c r="AV421" s="1792">
        <f t="shared" si="244"/>
        <v>0</v>
      </c>
      <c r="AW421" s="1792">
        <f t="shared" si="245"/>
        <v>0</v>
      </c>
      <c r="AX421" s="1792">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3"/>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4"/>
      <c r="AV422" s="1792">
        <f t="shared" si="244"/>
        <v>0</v>
      </c>
      <c r="AW422" s="1792">
        <f t="shared" si="245"/>
        <v>0</v>
      </c>
      <c r="AX422" s="1792">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3"/>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4"/>
      <c r="AV423" s="1792">
        <f t="shared" si="244"/>
        <v>0</v>
      </c>
      <c r="AW423" s="1792">
        <f t="shared" si="245"/>
        <v>0</v>
      </c>
      <c r="AX423" s="1792">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3"/>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4"/>
      <c r="AV424" s="1792">
        <f t="shared" si="244"/>
        <v>0</v>
      </c>
      <c r="AW424" s="1792">
        <f t="shared" si="245"/>
        <v>0</v>
      </c>
      <c r="AX424" s="1792">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3"/>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4"/>
      <c r="AV425" s="1792">
        <f t="shared" si="244"/>
        <v>0</v>
      </c>
      <c r="AW425" s="1792">
        <f t="shared" si="245"/>
        <v>0</v>
      </c>
      <c r="AX425" s="1792">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3"/>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4"/>
      <c r="AV426" s="1792">
        <f t="shared" si="244"/>
        <v>0</v>
      </c>
      <c r="AW426" s="1792">
        <f t="shared" si="245"/>
        <v>0</v>
      </c>
      <c r="AX426" s="1792">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3"/>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4"/>
      <c r="AV427" s="1792">
        <f t="shared" si="244"/>
        <v>0</v>
      </c>
      <c r="AW427" s="1792">
        <f t="shared" si="245"/>
        <v>0</v>
      </c>
      <c r="AX427" s="1792">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3"/>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4"/>
      <c r="AV428" s="1792">
        <f t="shared" si="244"/>
        <v>0</v>
      </c>
      <c r="AW428" s="1792">
        <f t="shared" si="245"/>
        <v>0</v>
      </c>
      <c r="AX428" s="1792">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3"/>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4"/>
      <c r="AV429" s="1792">
        <f t="shared" si="244"/>
        <v>0</v>
      </c>
      <c r="AW429" s="1792">
        <f t="shared" si="245"/>
        <v>0</v>
      </c>
      <c r="AX429" s="1792">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3"/>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4"/>
      <c r="AV430" s="1792">
        <f t="shared" si="244"/>
        <v>0</v>
      </c>
      <c r="AW430" s="1792">
        <f t="shared" si="245"/>
        <v>0</v>
      </c>
      <c r="AX430" s="1792">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3"/>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4"/>
      <c r="AV431" s="1792">
        <f t="shared" si="244"/>
        <v>0</v>
      </c>
      <c r="AW431" s="1792">
        <f t="shared" si="245"/>
        <v>0</v>
      </c>
      <c r="AX431" s="1792">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3"/>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4"/>
      <c r="AV432" s="1792">
        <f t="shared" si="244"/>
        <v>0</v>
      </c>
      <c r="AW432" s="1792">
        <f t="shared" si="245"/>
        <v>0</v>
      </c>
      <c r="AX432" s="1792">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3"/>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4"/>
      <c r="AV433" s="1792">
        <f t="shared" si="244"/>
        <v>0</v>
      </c>
      <c r="AW433" s="1792">
        <f t="shared" si="245"/>
        <v>0</v>
      </c>
      <c r="AX433" s="1792">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3"/>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4"/>
      <c r="AV434" s="1792">
        <f t="shared" si="244"/>
        <v>0</v>
      </c>
      <c r="AW434" s="1792">
        <f t="shared" si="245"/>
        <v>0</v>
      </c>
      <c r="AX434" s="1792">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3"/>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4"/>
      <c r="AV435" s="1792">
        <f t="shared" si="244"/>
        <v>0</v>
      </c>
      <c r="AW435" s="1792">
        <f t="shared" si="245"/>
        <v>0</v>
      </c>
      <c r="AX435" s="1792">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3"/>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4"/>
      <c r="AV436" s="1792">
        <f t="shared" si="244"/>
        <v>0</v>
      </c>
      <c r="AW436" s="1792">
        <f t="shared" si="245"/>
        <v>0</v>
      </c>
      <c r="AX436" s="1792">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3"/>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4"/>
      <c r="AV437" s="1792">
        <f t="shared" si="244"/>
        <v>0</v>
      </c>
      <c r="AW437" s="1792">
        <f t="shared" si="245"/>
        <v>0</v>
      </c>
      <c r="AX437" s="1792">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3"/>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4"/>
      <c r="AV438" s="1792">
        <f t="shared" si="244"/>
        <v>0</v>
      </c>
      <c r="AW438" s="1792">
        <f t="shared" si="245"/>
        <v>0</v>
      </c>
      <c r="AX438" s="1792">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3"/>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4"/>
      <c r="AV439" s="1792">
        <f t="shared" si="244"/>
        <v>0</v>
      </c>
      <c r="AW439" s="1792">
        <f t="shared" si="245"/>
        <v>0</v>
      </c>
      <c r="AX439" s="1792">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3"/>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4"/>
      <c r="AV440" s="1792">
        <f t="shared" si="244"/>
        <v>0</v>
      </c>
      <c r="AW440" s="1792">
        <f t="shared" si="245"/>
        <v>0</v>
      </c>
      <c r="AX440" s="1792">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3"/>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4"/>
      <c r="AV441" s="1792">
        <f t="shared" si="244"/>
        <v>0</v>
      </c>
      <c r="AW441" s="1792">
        <f t="shared" si="245"/>
        <v>0</v>
      </c>
      <c r="AX441" s="1792">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3"/>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4"/>
      <c r="AV442" s="1792">
        <f t="shared" si="244"/>
        <v>0</v>
      </c>
      <c r="AW442" s="1792">
        <f t="shared" si="245"/>
        <v>0</v>
      </c>
      <c r="AX442" s="1792">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3"/>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4"/>
      <c r="AV443" s="1792">
        <f t="shared" si="244"/>
        <v>0</v>
      </c>
      <c r="AW443" s="1792">
        <f t="shared" si="245"/>
        <v>0</v>
      </c>
      <c r="AX443" s="1792">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3"/>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4"/>
      <c r="AV444" s="1792">
        <f t="shared" si="244"/>
        <v>0</v>
      </c>
      <c r="AW444" s="1792">
        <f t="shared" si="245"/>
        <v>0</v>
      </c>
      <c r="AX444" s="1792">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3"/>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4"/>
      <c r="AV445" s="1792">
        <f t="shared" si="244"/>
        <v>0</v>
      </c>
      <c r="AW445" s="1792">
        <f t="shared" si="245"/>
        <v>0</v>
      </c>
      <c r="AX445" s="1792">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3"/>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4"/>
      <c r="AV446" s="1792">
        <f t="shared" si="244"/>
        <v>0</v>
      </c>
      <c r="AW446" s="1792">
        <f t="shared" si="245"/>
        <v>0</v>
      </c>
      <c r="AX446" s="1792">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3"/>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4"/>
      <c r="AV447" s="1792">
        <f t="shared" si="244"/>
        <v>0</v>
      </c>
      <c r="AW447" s="1792">
        <f t="shared" si="245"/>
        <v>0</v>
      </c>
      <c r="AX447" s="1792">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3"/>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4"/>
      <c r="AV448" s="1792">
        <f t="shared" si="244"/>
        <v>0</v>
      </c>
      <c r="AW448" s="1792">
        <f t="shared" si="245"/>
        <v>0</v>
      </c>
      <c r="AX448" s="1792">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3"/>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4"/>
      <c r="AV449" s="1792">
        <f t="shared" si="244"/>
        <v>0</v>
      </c>
      <c r="AW449" s="1792">
        <f t="shared" si="245"/>
        <v>0</v>
      </c>
      <c r="AX449" s="1792">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3"/>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4"/>
      <c r="AV450" s="1792">
        <f t="shared" si="244"/>
        <v>0</v>
      </c>
      <c r="AW450" s="1792">
        <f t="shared" si="245"/>
        <v>0</v>
      </c>
      <c r="AX450" s="1792">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3"/>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4"/>
      <c r="AV451" s="1792">
        <f t="shared" si="244"/>
        <v>0</v>
      </c>
      <c r="AW451" s="1792">
        <f t="shared" si="245"/>
        <v>0</v>
      </c>
      <c r="AX451" s="1792">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3"/>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4"/>
      <c r="AV452" s="1792">
        <f t="shared" si="244"/>
        <v>0</v>
      </c>
      <c r="AW452" s="1792">
        <f t="shared" si="245"/>
        <v>0</v>
      </c>
      <c r="AX452" s="1792">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3"/>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4"/>
      <c r="AV453" s="1792">
        <f t="shared" si="244"/>
        <v>0</v>
      </c>
      <c r="AW453" s="1792">
        <f t="shared" si="245"/>
        <v>0</v>
      </c>
      <c r="AX453" s="1792">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3"/>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4"/>
      <c r="AV454" s="1792">
        <f t="shared" si="244"/>
        <v>0</v>
      </c>
      <c r="AW454" s="1792">
        <f t="shared" si="245"/>
        <v>0</v>
      </c>
      <c r="AX454" s="1792">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3"/>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4"/>
      <c r="AV455" s="1792">
        <f t="shared" si="244"/>
        <v>0</v>
      </c>
      <c r="AW455" s="1792">
        <f t="shared" si="245"/>
        <v>0</v>
      </c>
      <c r="AX455" s="1792">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3"/>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4"/>
      <c r="AV456" s="1792">
        <f t="shared" si="244"/>
        <v>0</v>
      </c>
      <c r="AW456" s="1792">
        <f t="shared" si="245"/>
        <v>0</v>
      </c>
      <c r="AX456" s="1792">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3"/>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4"/>
      <c r="AV457" s="1792">
        <f t="shared" si="244"/>
        <v>0</v>
      </c>
      <c r="AW457" s="1792">
        <f t="shared" si="245"/>
        <v>0</v>
      </c>
      <c r="AX457" s="1792">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3"/>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4"/>
      <c r="AV458" s="1792">
        <f t="shared" si="244"/>
        <v>0</v>
      </c>
      <c r="AW458" s="1792">
        <f t="shared" si="245"/>
        <v>0</v>
      </c>
      <c r="AX458" s="1792">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3"/>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4"/>
      <c r="AV459" s="1792">
        <f t="shared" si="244"/>
        <v>0</v>
      </c>
      <c r="AW459" s="1792">
        <f t="shared" si="245"/>
        <v>0</v>
      </c>
      <c r="AX459" s="1792">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3"/>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4"/>
      <c r="AV460" s="1792">
        <f t="shared" si="244"/>
        <v>0</v>
      </c>
      <c r="AW460" s="1792">
        <f t="shared" si="245"/>
        <v>0</v>
      </c>
      <c r="AX460" s="1792">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3"/>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4"/>
      <c r="AV461" s="1792">
        <f t="shared" si="244"/>
        <v>0</v>
      </c>
      <c r="AW461" s="1792">
        <f t="shared" si="245"/>
        <v>0</v>
      </c>
      <c r="AX461" s="1792">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3"/>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4"/>
      <c r="AV462" s="1792">
        <f t="shared" si="244"/>
        <v>0</v>
      </c>
      <c r="AW462" s="1792">
        <f t="shared" si="245"/>
        <v>0</v>
      </c>
      <c r="AX462" s="1792">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3"/>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4"/>
      <c r="AV463" s="1792">
        <f t="shared" si="244"/>
        <v>0</v>
      </c>
      <c r="AW463" s="1792">
        <f t="shared" si="245"/>
        <v>0</v>
      </c>
      <c r="AX463" s="1792">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3"/>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4"/>
      <c r="AV464" s="1792">
        <f t="shared" si="244"/>
        <v>0</v>
      </c>
      <c r="AW464" s="1792">
        <f t="shared" si="245"/>
        <v>0</v>
      </c>
      <c r="AX464" s="1792">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3"/>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4"/>
      <c r="AV465" s="1792">
        <f t="shared" si="244"/>
        <v>0</v>
      </c>
      <c r="AW465" s="1792">
        <f t="shared" si="245"/>
        <v>0</v>
      </c>
      <c r="AX465" s="1792">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3"/>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4"/>
      <c r="AV466" s="1792">
        <f t="shared" si="244"/>
        <v>0</v>
      </c>
      <c r="AW466" s="1792">
        <f t="shared" si="245"/>
        <v>0</v>
      </c>
      <c r="AX466" s="1792">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3"/>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4"/>
      <c r="AV467" s="1792">
        <f t="shared" si="244"/>
        <v>0</v>
      </c>
      <c r="AW467" s="1792">
        <f t="shared" si="245"/>
        <v>0</v>
      </c>
      <c r="AX467" s="1792">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3"/>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4"/>
      <c r="AV468" s="1792">
        <f t="shared" si="244"/>
        <v>0</v>
      </c>
      <c r="AW468" s="1792">
        <f t="shared" si="245"/>
        <v>0</v>
      </c>
      <c r="AX468" s="1792">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3"/>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4"/>
      <c r="AV469" s="1792">
        <f t="shared" si="244"/>
        <v>0</v>
      </c>
      <c r="AW469" s="1792">
        <f t="shared" si="245"/>
        <v>0</v>
      </c>
      <c r="AX469" s="1792">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3"/>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4"/>
      <c r="AV470" s="1792">
        <f t="shared" si="244"/>
        <v>0</v>
      </c>
      <c r="AW470" s="1792">
        <f t="shared" si="245"/>
        <v>0</v>
      </c>
      <c r="AX470" s="1792">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3"/>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4"/>
      <c r="AV471" s="1792">
        <f t="shared" si="244"/>
        <v>0</v>
      </c>
      <c r="AW471" s="1792">
        <f t="shared" si="245"/>
        <v>0</v>
      </c>
      <c r="AX471" s="1792">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3"/>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4"/>
      <c r="AV472" s="1792">
        <f t="shared" si="244"/>
        <v>0</v>
      </c>
      <c r="AW472" s="1792">
        <f t="shared" si="245"/>
        <v>0</v>
      </c>
      <c r="AX472" s="1792">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3"/>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4"/>
      <c r="AV473" s="1792">
        <f t="shared" si="244"/>
        <v>0</v>
      </c>
      <c r="AW473" s="1792">
        <f t="shared" si="245"/>
        <v>0</v>
      </c>
      <c r="AX473" s="1792">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3"/>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4"/>
      <c r="AV474" s="1792">
        <f t="shared" si="244"/>
        <v>0</v>
      </c>
      <c r="AW474" s="1792">
        <f t="shared" si="245"/>
        <v>0</v>
      </c>
      <c r="AX474" s="1792">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3"/>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4"/>
      <c r="AV475" s="1792">
        <f t="shared" si="244"/>
        <v>0</v>
      </c>
      <c r="AW475" s="1792">
        <f t="shared" si="245"/>
        <v>0</v>
      </c>
      <c r="AX475" s="1792">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3"/>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4"/>
      <c r="AV476" s="1792">
        <f t="shared" si="244"/>
        <v>0</v>
      </c>
      <c r="AW476" s="1792">
        <f t="shared" si="245"/>
        <v>0</v>
      </c>
      <c r="AX476" s="1792">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3"/>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4"/>
      <c r="AV477" s="1792">
        <f t="shared" si="244"/>
        <v>0</v>
      </c>
      <c r="AW477" s="1792">
        <f t="shared" si="245"/>
        <v>0</v>
      </c>
      <c r="AX477" s="1792">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3"/>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4"/>
      <c r="AV478" s="1792">
        <f t="shared" si="244"/>
        <v>0</v>
      </c>
      <c r="AW478" s="1792">
        <f t="shared" si="245"/>
        <v>0</v>
      </c>
      <c r="AX478" s="1792">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3"/>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4"/>
      <c r="AV479" s="1792">
        <f t="shared" si="244"/>
        <v>0</v>
      </c>
      <c r="AW479" s="1792">
        <f t="shared" si="245"/>
        <v>0</v>
      </c>
      <c r="AX479" s="1792">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3"/>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4"/>
      <c r="AV480" s="1792">
        <f t="shared" si="244"/>
        <v>0</v>
      </c>
      <c r="AW480" s="1792">
        <f t="shared" si="245"/>
        <v>0</v>
      </c>
      <c r="AX480" s="1792">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3"/>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4"/>
      <c r="AV481" s="1792">
        <f t="shared" si="244"/>
        <v>0</v>
      </c>
      <c r="AW481" s="1792">
        <f t="shared" si="245"/>
        <v>0</v>
      </c>
      <c r="AX481" s="1792">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3"/>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4"/>
      <c r="AV482" s="1792">
        <f t="shared" si="244"/>
        <v>0</v>
      </c>
      <c r="AW482" s="1792">
        <f t="shared" si="245"/>
        <v>0</v>
      </c>
      <c r="AX482" s="1792">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3"/>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4"/>
      <c r="AV483" s="1792">
        <f t="shared" si="244"/>
        <v>0</v>
      </c>
      <c r="AW483" s="1792">
        <f t="shared" si="245"/>
        <v>0</v>
      </c>
      <c r="AX483" s="1792">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3"/>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4"/>
      <c r="AV484" s="1792">
        <f t="shared" si="244"/>
        <v>0</v>
      </c>
      <c r="AW484" s="1792">
        <f t="shared" si="245"/>
        <v>0</v>
      </c>
      <c r="AX484" s="1792">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3"/>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4"/>
      <c r="AV485" s="1792">
        <f t="shared" si="244"/>
        <v>0</v>
      </c>
      <c r="AW485" s="1792">
        <f t="shared" si="245"/>
        <v>0</v>
      </c>
      <c r="AX485" s="1792">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3"/>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4"/>
      <c r="AV486" s="1792">
        <f t="shared" si="244"/>
        <v>0</v>
      </c>
      <c r="AW486" s="1792">
        <f t="shared" si="245"/>
        <v>0</v>
      </c>
      <c r="AX486" s="1792">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3"/>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4"/>
      <c r="AV487" s="1792">
        <f t="shared" si="244"/>
        <v>0</v>
      </c>
      <c r="AW487" s="1792">
        <f t="shared" si="245"/>
        <v>0</v>
      </c>
      <c r="AX487" s="1792">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3"/>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4"/>
      <c r="AV488" s="1792">
        <f t="shared" si="244"/>
        <v>0</v>
      </c>
      <c r="AW488" s="1792">
        <f t="shared" si="245"/>
        <v>0</v>
      </c>
      <c r="AX488" s="1792">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3"/>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4"/>
      <c r="AV489" s="1792">
        <f t="shared" si="244"/>
        <v>0</v>
      </c>
      <c r="AW489" s="1792">
        <f t="shared" si="245"/>
        <v>0</v>
      </c>
      <c r="AX489" s="1792">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3"/>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4"/>
        <v>0</v>
      </c>
      <c r="AW490" s="1792">
        <f t="shared" si="245"/>
        <v>0</v>
      </c>
      <c r="AX490" s="1792">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3"/>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49"/>
      <c r="AV491" s="1792">
        <f t="shared" si="244"/>
        <v>0</v>
      </c>
      <c r="AW491" s="1792">
        <f t="shared" si="245"/>
        <v>0</v>
      </c>
      <c r="AX491" s="1792">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3"/>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49"/>
      <c r="AV492" s="1792">
        <f t="shared" si="244"/>
        <v>0</v>
      </c>
      <c r="AW492" s="1792">
        <f t="shared" si="245"/>
        <v>0</v>
      </c>
      <c r="AX492" s="1792">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3"/>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5">A493</f>
        <v>0</v>
      </c>
      <c r="AW493" s="1792">
        <f t="shared" ref="AW493:AW520" si="296">B493</f>
        <v>0</v>
      </c>
      <c r="AX493" s="1792">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3"/>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4"/>
      <c r="AV494" s="1792">
        <f t="shared" si="295"/>
        <v>0</v>
      </c>
      <c r="AW494" s="1792">
        <f t="shared" si="296"/>
        <v>0</v>
      </c>
      <c r="AX494" s="1792">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3"/>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4"/>
      <c r="AV495" s="1792">
        <f t="shared" si="295"/>
        <v>0</v>
      </c>
      <c r="AW495" s="1792">
        <f t="shared" si="296"/>
        <v>0</v>
      </c>
      <c r="AX495" s="1792">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3"/>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4"/>
      <c r="AV496" s="1792">
        <f t="shared" si="295"/>
        <v>0</v>
      </c>
      <c r="AW496" s="1792">
        <f t="shared" si="296"/>
        <v>0</v>
      </c>
      <c r="AX496" s="1792">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3"/>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4"/>
      <c r="AV497" s="1792">
        <f t="shared" si="295"/>
        <v>0</v>
      </c>
      <c r="AW497" s="1792">
        <f t="shared" si="296"/>
        <v>0</v>
      </c>
      <c r="AX497" s="1792">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3"/>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4"/>
      <c r="AV498" s="1792">
        <f t="shared" si="295"/>
        <v>0</v>
      </c>
      <c r="AW498" s="1792">
        <f t="shared" si="296"/>
        <v>0</v>
      </c>
      <c r="AX498" s="1792">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3"/>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4"/>
      <c r="AV499" s="1792">
        <f t="shared" si="295"/>
        <v>0</v>
      </c>
      <c r="AW499" s="1792">
        <f t="shared" si="296"/>
        <v>0</v>
      </c>
      <c r="AX499" s="1792">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3"/>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4"/>
      <c r="AV500" s="1792">
        <f t="shared" si="295"/>
        <v>0</v>
      </c>
      <c r="AW500" s="1792">
        <f t="shared" si="296"/>
        <v>0</v>
      </c>
      <c r="AX500" s="1792">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3"/>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4"/>
      <c r="AV501" s="1792">
        <f t="shared" si="295"/>
        <v>0</v>
      </c>
      <c r="AW501" s="1792">
        <f t="shared" si="296"/>
        <v>0</v>
      </c>
      <c r="AX501" s="1792">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3"/>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4"/>
      <c r="AV502" s="1792">
        <f t="shared" si="295"/>
        <v>0</v>
      </c>
      <c r="AW502" s="1792">
        <f t="shared" si="296"/>
        <v>0</v>
      </c>
      <c r="AX502" s="1792">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3"/>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4"/>
      <c r="AV503" s="1792">
        <f t="shared" si="295"/>
        <v>0</v>
      </c>
      <c r="AW503" s="1792">
        <f t="shared" si="296"/>
        <v>0</v>
      </c>
      <c r="AX503" s="1792">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3"/>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4"/>
      <c r="AV504" s="1792">
        <f t="shared" si="295"/>
        <v>0</v>
      </c>
      <c r="AW504" s="1792">
        <f t="shared" si="296"/>
        <v>0</v>
      </c>
      <c r="AX504" s="1792">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3"/>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4"/>
      <c r="AV505" s="1792">
        <f t="shared" si="295"/>
        <v>0</v>
      </c>
      <c r="AW505" s="1792">
        <f t="shared" si="296"/>
        <v>0</v>
      </c>
      <c r="AX505" s="1792">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3"/>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4"/>
      <c r="AV506" s="1792">
        <f t="shared" si="295"/>
        <v>0</v>
      </c>
      <c r="AW506" s="1792">
        <f t="shared" si="296"/>
        <v>0</v>
      </c>
      <c r="AX506" s="1792">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3"/>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4"/>
      <c r="AV507" s="1792">
        <f t="shared" si="295"/>
        <v>0</v>
      </c>
      <c r="AW507" s="1792">
        <f t="shared" si="296"/>
        <v>0</v>
      </c>
      <c r="AX507" s="1792">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3"/>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4"/>
      <c r="AV508" s="1792">
        <f t="shared" si="295"/>
        <v>0</v>
      </c>
      <c r="AW508" s="1792">
        <f t="shared" si="296"/>
        <v>0</v>
      </c>
      <c r="AX508" s="1792">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3"/>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4"/>
      <c r="AV509" s="1792">
        <f t="shared" si="295"/>
        <v>0</v>
      </c>
      <c r="AW509" s="1792">
        <f t="shared" si="296"/>
        <v>0</v>
      </c>
      <c r="AX509" s="1792">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3"/>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4"/>
      <c r="AV510" s="1792">
        <f t="shared" si="295"/>
        <v>0</v>
      </c>
      <c r="AW510" s="1792">
        <f t="shared" si="296"/>
        <v>0</v>
      </c>
      <c r="AX510" s="1792">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3"/>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4"/>
      <c r="AV511" s="1792">
        <f t="shared" si="295"/>
        <v>0</v>
      </c>
      <c r="AW511" s="1792">
        <f t="shared" si="296"/>
        <v>0</v>
      </c>
      <c r="AX511" s="1792">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3"/>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4"/>
      <c r="AV512" s="1792">
        <f t="shared" si="295"/>
        <v>0</v>
      </c>
      <c r="AW512" s="1792">
        <f t="shared" si="296"/>
        <v>0</v>
      </c>
      <c r="AX512" s="1792">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3"/>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4"/>
      <c r="AV513" s="1792">
        <f t="shared" si="295"/>
        <v>0</v>
      </c>
      <c r="AW513" s="1792">
        <f t="shared" si="296"/>
        <v>0</v>
      </c>
      <c r="AX513" s="1792">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3"/>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4"/>
      <c r="AV514" s="1792">
        <f t="shared" si="295"/>
        <v>0</v>
      </c>
      <c r="AW514" s="1792">
        <f t="shared" si="296"/>
        <v>0</v>
      </c>
      <c r="AX514" s="1792">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3"/>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4"/>
      <c r="AV515" s="1792">
        <f t="shared" si="295"/>
        <v>0</v>
      </c>
      <c r="AW515" s="1792">
        <f t="shared" si="296"/>
        <v>0</v>
      </c>
      <c r="AX515" s="1792">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3"/>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4"/>
      <c r="AV516" s="1792">
        <f t="shared" si="295"/>
        <v>0</v>
      </c>
      <c r="AW516" s="1792">
        <f t="shared" si="296"/>
        <v>0</v>
      </c>
      <c r="AX516" s="1792">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3"/>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4"/>
      <c r="AV517" s="1792">
        <f t="shared" si="295"/>
        <v>0</v>
      </c>
      <c r="AW517" s="1792">
        <f t="shared" si="296"/>
        <v>0</v>
      </c>
      <c r="AX517" s="1792">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3"/>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4"/>
      <c r="AV518" s="1792">
        <f t="shared" si="295"/>
        <v>0</v>
      </c>
      <c r="AW518" s="1792">
        <f t="shared" si="296"/>
        <v>0</v>
      </c>
      <c r="AX518" s="1792">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3"/>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4"/>
      <c r="AV519" s="1792">
        <f t="shared" si="295"/>
        <v>0</v>
      </c>
      <c r="AW519" s="1792">
        <f t="shared" si="296"/>
        <v>0</v>
      </c>
      <c r="AX519" s="1792">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3"/>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4"/>
      <c r="AV520" s="1792">
        <f t="shared" si="295"/>
        <v>0</v>
      </c>
      <c r="AW520" s="1792">
        <f t="shared" si="296"/>
        <v>0</v>
      </c>
      <c r="AX520" s="1792">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3"/>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9">A521</f>
        <v>0</v>
      </c>
      <c r="AW521" s="1792">
        <f t="shared" ref="AW521:AW552" si="300">B521</f>
        <v>0</v>
      </c>
      <c r="AX521" s="1792">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3"/>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9"/>
        <v>0</v>
      </c>
      <c r="AW522" s="1792">
        <f t="shared" si="300"/>
        <v>0</v>
      </c>
      <c r="AX522" s="1792">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3"/>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4"/>
      <c r="AV523" s="1792">
        <f t="shared" si="299"/>
        <v>0</v>
      </c>
      <c r="AW523" s="1792">
        <f t="shared" si="300"/>
        <v>0</v>
      </c>
      <c r="AX523" s="1792">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3"/>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4"/>
      <c r="AV524" s="1792">
        <f t="shared" si="299"/>
        <v>0</v>
      </c>
      <c r="AW524" s="1792">
        <f t="shared" si="300"/>
        <v>0</v>
      </c>
      <c r="AX524" s="1792">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3"/>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4"/>
      <c r="AV525" s="1792">
        <f t="shared" si="299"/>
        <v>0</v>
      </c>
      <c r="AW525" s="1792">
        <f t="shared" si="300"/>
        <v>0</v>
      </c>
      <c r="AX525" s="1792">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3"/>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4"/>
      <c r="AV526" s="1792">
        <f t="shared" si="299"/>
        <v>0</v>
      </c>
      <c r="AW526" s="1792">
        <f t="shared" si="300"/>
        <v>0</v>
      </c>
      <c r="AX526" s="1792">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3"/>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4"/>
      <c r="AV527" s="1792">
        <f t="shared" si="299"/>
        <v>0</v>
      </c>
      <c r="AW527" s="1792">
        <f t="shared" si="300"/>
        <v>0</v>
      </c>
      <c r="AX527" s="1792">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3"/>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4"/>
      <c r="AV528" s="1792">
        <f t="shared" si="299"/>
        <v>0</v>
      </c>
      <c r="AW528" s="1792">
        <f t="shared" si="300"/>
        <v>0</v>
      </c>
      <c r="AX528" s="1792">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3"/>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4"/>
      <c r="AV529" s="1792">
        <f t="shared" si="299"/>
        <v>0</v>
      </c>
      <c r="AW529" s="1792">
        <f t="shared" si="300"/>
        <v>0</v>
      </c>
      <c r="AX529" s="1792">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3"/>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4"/>
      <c r="AV530" s="1792">
        <f t="shared" si="299"/>
        <v>0</v>
      </c>
      <c r="AW530" s="1792">
        <f t="shared" si="300"/>
        <v>0</v>
      </c>
      <c r="AX530" s="1792">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3"/>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4"/>
      <c r="AV531" s="1792">
        <f t="shared" si="299"/>
        <v>0</v>
      </c>
      <c r="AW531" s="1792">
        <f t="shared" si="300"/>
        <v>0</v>
      </c>
      <c r="AX531" s="1792">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3"/>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4"/>
      <c r="AV532" s="1792">
        <f t="shared" si="299"/>
        <v>0</v>
      </c>
      <c r="AW532" s="1792">
        <f t="shared" si="300"/>
        <v>0</v>
      </c>
      <c r="AX532" s="1792">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3"/>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4"/>
      <c r="AV533" s="1792">
        <f t="shared" si="299"/>
        <v>0</v>
      </c>
      <c r="AW533" s="1792">
        <f t="shared" si="300"/>
        <v>0</v>
      </c>
      <c r="AX533" s="1792">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3"/>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4"/>
      <c r="AV534" s="1792">
        <f t="shared" si="299"/>
        <v>0</v>
      </c>
      <c r="AW534" s="1792">
        <f t="shared" si="300"/>
        <v>0</v>
      </c>
      <c r="AX534" s="1792">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3"/>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4"/>
      <c r="AV535" s="1792">
        <f t="shared" si="299"/>
        <v>0</v>
      </c>
      <c r="AW535" s="1792">
        <f t="shared" si="300"/>
        <v>0</v>
      </c>
      <c r="AX535" s="1792">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3"/>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4"/>
      <c r="AV536" s="1792">
        <f t="shared" si="299"/>
        <v>0</v>
      </c>
      <c r="AW536" s="1792">
        <f t="shared" si="300"/>
        <v>0</v>
      </c>
      <c r="AX536" s="1792">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3"/>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4"/>
      <c r="AV537" s="1792">
        <f t="shared" si="299"/>
        <v>0</v>
      </c>
      <c r="AW537" s="1792">
        <f t="shared" si="300"/>
        <v>0</v>
      </c>
      <c r="AX537" s="1792">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3"/>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4"/>
      <c r="AV538" s="1792">
        <f t="shared" si="299"/>
        <v>0</v>
      </c>
      <c r="AW538" s="1792">
        <f t="shared" si="300"/>
        <v>0</v>
      </c>
      <c r="AX538" s="1792">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3"/>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4"/>
      <c r="AV539" s="1792">
        <f t="shared" si="299"/>
        <v>0</v>
      </c>
      <c r="AW539" s="1792">
        <f t="shared" si="300"/>
        <v>0</v>
      </c>
      <c r="AX539" s="1792">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3"/>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4"/>
      <c r="AV540" s="1792">
        <f t="shared" si="299"/>
        <v>0</v>
      </c>
      <c r="AW540" s="1792">
        <f t="shared" si="300"/>
        <v>0</v>
      </c>
      <c r="AX540" s="1792">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3"/>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4"/>
      <c r="AV541" s="1792">
        <f t="shared" si="299"/>
        <v>0</v>
      </c>
      <c r="AW541" s="1792">
        <f t="shared" si="300"/>
        <v>0</v>
      </c>
      <c r="AX541" s="1792">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3"/>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4"/>
      <c r="AV542" s="1792">
        <f t="shared" si="299"/>
        <v>0</v>
      </c>
      <c r="AW542" s="1792">
        <f t="shared" si="300"/>
        <v>0</v>
      </c>
      <c r="AX542" s="1792">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3"/>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4"/>
      <c r="AV543" s="1792">
        <f t="shared" si="299"/>
        <v>0</v>
      </c>
      <c r="AW543" s="1792">
        <f t="shared" si="300"/>
        <v>0</v>
      </c>
      <c r="AX543" s="1792">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3"/>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4"/>
      <c r="AV544" s="1792">
        <f t="shared" si="299"/>
        <v>0</v>
      </c>
      <c r="AW544" s="1792">
        <f t="shared" si="300"/>
        <v>0</v>
      </c>
      <c r="AX544" s="1792">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3"/>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4"/>
      <c r="AV545" s="1792">
        <f t="shared" si="299"/>
        <v>0</v>
      </c>
      <c r="AW545" s="1792">
        <f t="shared" si="300"/>
        <v>0</v>
      </c>
      <c r="AX545" s="1792">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3"/>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4"/>
      <c r="AV546" s="1792">
        <f t="shared" si="299"/>
        <v>0</v>
      </c>
      <c r="AW546" s="1792">
        <f t="shared" si="300"/>
        <v>0</v>
      </c>
      <c r="AX546" s="1792">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3"/>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4"/>
      <c r="AV547" s="1792">
        <f t="shared" si="299"/>
        <v>0</v>
      </c>
      <c r="AW547" s="1792">
        <f t="shared" si="300"/>
        <v>0</v>
      </c>
      <c r="AX547" s="1792">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3"/>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4"/>
      <c r="AV548" s="1792">
        <f t="shared" si="299"/>
        <v>0</v>
      </c>
      <c r="AW548" s="1792">
        <f t="shared" si="300"/>
        <v>0</v>
      </c>
      <c r="AX548" s="1792">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3"/>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4"/>
      <c r="AV549" s="1792">
        <f t="shared" si="299"/>
        <v>0</v>
      </c>
      <c r="AW549" s="1792">
        <f t="shared" si="300"/>
        <v>0</v>
      </c>
      <c r="AX549" s="1792">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3"/>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4"/>
      <c r="AV550" s="1792">
        <f t="shared" si="299"/>
        <v>0</v>
      </c>
      <c r="AW550" s="1792">
        <f t="shared" si="300"/>
        <v>0</v>
      </c>
      <c r="AX550" s="1792">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3"/>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4"/>
      <c r="AV551" s="1792">
        <f t="shared" si="299"/>
        <v>0</v>
      </c>
      <c r="AW551" s="1792">
        <f t="shared" si="300"/>
        <v>0</v>
      </c>
      <c r="AX551" s="1792">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3"/>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4"/>
      <c r="AV552" s="1792">
        <f t="shared" si="299"/>
        <v>0</v>
      </c>
      <c r="AW552" s="1792">
        <f t="shared" si="300"/>
        <v>0</v>
      </c>
      <c r="AX552" s="1792">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3"/>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1">A553</f>
        <v>0</v>
      </c>
      <c r="AW553" s="1792">
        <f t="shared" ref="AW553:AW587" si="332">B553</f>
        <v>0</v>
      </c>
      <c r="AX553" s="1792">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3"/>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4"/>
      <c r="AV554" s="1792">
        <f t="shared" si="331"/>
        <v>0</v>
      </c>
      <c r="AW554" s="1792">
        <f t="shared" si="332"/>
        <v>0</v>
      </c>
      <c r="AX554" s="1792">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3"/>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4"/>
      <c r="AV555" s="1792">
        <f t="shared" si="331"/>
        <v>0</v>
      </c>
      <c r="AW555" s="1792">
        <f t="shared" si="332"/>
        <v>0</v>
      </c>
      <c r="AX555" s="1792">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3"/>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4"/>
      <c r="AV556" s="1792">
        <f t="shared" si="331"/>
        <v>0</v>
      </c>
      <c r="AW556" s="1792">
        <f t="shared" si="332"/>
        <v>0</v>
      </c>
      <c r="AX556" s="1792">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3"/>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4"/>
      <c r="AV557" s="1792">
        <f t="shared" si="331"/>
        <v>0</v>
      </c>
      <c r="AW557" s="1792">
        <f t="shared" si="332"/>
        <v>0</v>
      </c>
      <c r="AX557" s="1792">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3"/>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4"/>
      <c r="AV558" s="1792">
        <f t="shared" si="331"/>
        <v>0</v>
      </c>
      <c r="AW558" s="1792">
        <f t="shared" si="332"/>
        <v>0</v>
      </c>
      <c r="AX558" s="1792">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3"/>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4"/>
      <c r="AV559" s="1792">
        <f t="shared" si="331"/>
        <v>0</v>
      </c>
      <c r="AW559" s="1792">
        <f t="shared" si="332"/>
        <v>0</v>
      </c>
      <c r="AX559" s="1792">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3"/>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4"/>
      <c r="AV560" s="1792">
        <f t="shared" si="331"/>
        <v>0</v>
      </c>
      <c r="AW560" s="1792">
        <f t="shared" si="332"/>
        <v>0</v>
      </c>
      <c r="AX560" s="1792">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3"/>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4"/>
      <c r="AV561" s="1792">
        <f t="shared" si="331"/>
        <v>0</v>
      </c>
      <c r="AW561" s="1792">
        <f t="shared" si="332"/>
        <v>0</v>
      </c>
      <c r="AX561" s="1792">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3"/>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4"/>
      <c r="AV562" s="1792">
        <f t="shared" si="331"/>
        <v>0</v>
      </c>
      <c r="AW562" s="1792">
        <f t="shared" si="332"/>
        <v>0</v>
      </c>
      <c r="AX562" s="1792">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3"/>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4"/>
      <c r="AV563" s="1792">
        <f t="shared" si="331"/>
        <v>0</v>
      </c>
      <c r="AW563" s="1792">
        <f t="shared" si="332"/>
        <v>0</v>
      </c>
      <c r="AX563" s="1792">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3"/>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4"/>
      <c r="AV564" s="1792">
        <f t="shared" si="331"/>
        <v>0</v>
      </c>
      <c r="AW564" s="1792">
        <f t="shared" si="332"/>
        <v>0</v>
      </c>
      <c r="AX564" s="1792">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3"/>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4"/>
      <c r="AV565" s="1792">
        <f t="shared" si="331"/>
        <v>0</v>
      </c>
      <c r="AW565" s="1792">
        <f t="shared" si="332"/>
        <v>0</v>
      </c>
      <c r="AX565" s="1792">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3"/>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4"/>
      <c r="AV566" s="1792">
        <f t="shared" si="331"/>
        <v>0</v>
      </c>
      <c r="AW566" s="1792">
        <f t="shared" si="332"/>
        <v>0</v>
      </c>
      <c r="AX566" s="1792">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3"/>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4"/>
      <c r="AV567" s="1792">
        <f t="shared" si="331"/>
        <v>0</v>
      </c>
      <c r="AW567" s="1792">
        <f t="shared" si="332"/>
        <v>0</v>
      </c>
      <c r="AX567" s="1792">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3"/>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4"/>
      <c r="AV568" s="1792">
        <f t="shared" si="331"/>
        <v>0</v>
      </c>
      <c r="AW568" s="1792">
        <f t="shared" si="332"/>
        <v>0</v>
      </c>
      <c r="AX568" s="1792">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3"/>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4"/>
      <c r="AV569" s="1792">
        <f t="shared" si="331"/>
        <v>0</v>
      </c>
      <c r="AW569" s="1792">
        <f t="shared" si="332"/>
        <v>0</v>
      </c>
      <c r="AX569" s="1792">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3"/>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4"/>
      <c r="AV570" s="1792">
        <f t="shared" si="331"/>
        <v>0</v>
      </c>
      <c r="AW570" s="1792">
        <f t="shared" si="332"/>
        <v>0</v>
      </c>
      <c r="AX570" s="1792">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3"/>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4"/>
      <c r="AV571" s="1792">
        <f t="shared" si="331"/>
        <v>0</v>
      </c>
      <c r="AW571" s="1792">
        <f t="shared" si="332"/>
        <v>0</v>
      </c>
      <c r="AX571" s="1792">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3"/>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4"/>
      <c r="AV572" s="1792">
        <f t="shared" si="331"/>
        <v>0</v>
      </c>
      <c r="AW572" s="1792">
        <f t="shared" si="332"/>
        <v>0</v>
      </c>
      <c r="AX572" s="1792">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3"/>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4"/>
      <c r="AV573" s="1792">
        <f t="shared" si="331"/>
        <v>0</v>
      </c>
      <c r="AW573" s="1792">
        <f t="shared" si="332"/>
        <v>0</v>
      </c>
      <c r="AX573" s="1792">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3"/>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4"/>
      <c r="AV574" s="1792">
        <f t="shared" si="331"/>
        <v>0</v>
      </c>
      <c r="AW574" s="1792">
        <f t="shared" si="332"/>
        <v>0</v>
      </c>
      <c r="AX574" s="1792">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3"/>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4"/>
      <c r="AV575" s="1792">
        <f t="shared" si="331"/>
        <v>0</v>
      </c>
      <c r="AW575" s="1792">
        <f t="shared" si="332"/>
        <v>0</v>
      </c>
      <c r="AX575" s="1792">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3"/>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4"/>
      <c r="AV576" s="1792">
        <f t="shared" si="331"/>
        <v>0</v>
      </c>
      <c r="AW576" s="1792">
        <f t="shared" si="332"/>
        <v>0</v>
      </c>
      <c r="AX576" s="1792">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3"/>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4"/>
      <c r="AV577" s="1792">
        <f t="shared" si="331"/>
        <v>0</v>
      </c>
      <c r="AW577" s="1792">
        <f t="shared" si="332"/>
        <v>0</v>
      </c>
      <c r="AX577" s="1792">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3"/>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4"/>
      <c r="AV578" s="1792">
        <f t="shared" si="331"/>
        <v>0</v>
      </c>
      <c r="AW578" s="1792">
        <f t="shared" si="332"/>
        <v>0</v>
      </c>
      <c r="AX578" s="1792">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3"/>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4"/>
      <c r="AV579" s="1792">
        <f t="shared" si="331"/>
        <v>0</v>
      </c>
      <c r="AW579" s="1792">
        <f t="shared" si="332"/>
        <v>0</v>
      </c>
      <c r="AX579" s="1792">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3"/>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4"/>
      <c r="AV580" s="1792">
        <f t="shared" si="331"/>
        <v>0</v>
      </c>
      <c r="AW580" s="1792">
        <f t="shared" si="332"/>
        <v>0</v>
      </c>
      <c r="AX580" s="1792">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3"/>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4"/>
      <c r="AV581" s="1792">
        <f t="shared" si="331"/>
        <v>0</v>
      </c>
      <c r="AW581" s="1792">
        <f t="shared" si="332"/>
        <v>0</v>
      </c>
      <c r="AX581" s="1792">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3"/>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4"/>
      <c r="AV582" s="1792">
        <f t="shared" si="331"/>
        <v>0</v>
      </c>
      <c r="AW582" s="1792">
        <f t="shared" si="332"/>
        <v>0</v>
      </c>
      <c r="AX582" s="1792">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3"/>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4"/>
      <c r="AV583" s="1792">
        <f t="shared" si="331"/>
        <v>0</v>
      </c>
      <c r="AW583" s="1792">
        <f t="shared" si="332"/>
        <v>0</v>
      </c>
      <c r="AX583" s="1792">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3"/>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4"/>
      <c r="AV584" s="1792">
        <f t="shared" si="331"/>
        <v>0</v>
      </c>
      <c r="AW584" s="1792">
        <f t="shared" si="332"/>
        <v>0</v>
      </c>
      <c r="AX584" s="1792">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3"/>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1"/>
        <v>0</v>
      </c>
      <c r="AW585" s="1792">
        <f t="shared" si="332"/>
        <v>0</v>
      </c>
      <c r="AX585" s="1792">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1"/>
        <v>0</v>
      </c>
      <c r="AW586" s="1792">
        <f t="shared" si="332"/>
        <v>0</v>
      </c>
      <c r="AX586" s="1792">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1"/>
        <v>0</v>
      </c>
      <c r="AW587" s="1792">
        <f t="shared" si="332"/>
        <v>0</v>
      </c>
      <c r="AX587" s="1792">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89"/>
      <c r="C1" s="1389"/>
      <c r="D1" s="1389"/>
      <c r="E1" s="1389"/>
      <c r="F1" s="1389"/>
      <c r="G1" s="1389"/>
      <c r="H1" s="1389"/>
      <c r="I1" s="1389"/>
      <c r="J1" s="1389"/>
      <c r="K1" s="1389"/>
      <c r="L1" s="1389"/>
      <c r="M1" s="1389"/>
      <c r="N1" s="1389"/>
      <c r="O1" s="1389"/>
      <c r="P1" s="1389"/>
    </row>
    <row r="2" spans="1:16" ht="15">
      <c r="A2" s="3046" t="s">
        <v>1937</v>
      </c>
      <c r="B2" s="3046"/>
      <c r="C2" s="3046"/>
      <c r="D2" s="964" t="s">
        <v>1913</v>
      </c>
      <c r="E2" s="2222" t="s">
        <v>1914</v>
      </c>
      <c r="F2" s="1389"/>
      <c r="G2" s="2223"/>
      <c r="H2" s="2224"/>
      <c r="I2" s="2225" t="s">
        <v>1938</v>
      </c>
      <c r="J2" s="1389"/>
      <c r="K2" s="1389"/>
      <c r="L2" s="1389"/>
      <c r="M2" s="1389"/>
      <c r="N2" s="1424"/>
      <c r="O2" s="1389"/>
      <c r="P2" s="1389"/>
    </row>
    <row r="3" spans="1:16" ht="15.75" thickBot="1">
      <c r="A3" s="3047" t="s">
        <v>1911</v>
      </c>
      <c r="B3" s="3047"/>
      <c r="C3" s="3047"/>
      <c r="D3" s="46">
        <f>'数据-基础表'!AY6</f>
        <v>2957.47</v>
      </c>
      <c r="E3" s="46">
        <f>'数据-基础表'!AZ5</f>
        <v>4704.8599999999997</v>
      </c>
      <c r="F3" s="1389"/>
      <c r="G3" s="1396"/>
      <c r="H3" s="1244" t="s">
        <v>1912</v>
      </c>
      <c r="I3" s="55">
        <f>ROUND('数据-基础表'!B3/'数据-基础表'!A3,2)</f>
        <v>1.59</v>
      </c>
      <c r="J3" s="1389"/>
      <c r="K3" s="1389"/>
      <c r="L3" s="1389"/>
      <c r="M3" s="1389"/>
      <c r="N3" s="1424"/>
      <c r="O3" s="1389"/>
      <c r="P3" s="1389"/>
    </row>
    <row r="4" spans="1:16" ht="15">
      <c r="A4" s="3048"/>
      <c r="B4" s="3049"/>
      <c r="C4" s="3050"/>
      <c r="D4" s="2226" t="s">
        <v>1913</v>
      </c>
      <c r="E4" s="2227" t="s">
        <v>1914</v>
      </c>
      <c r="F4" s="1389"/>
      <c r="G4" s="2228" t="s">
        <v>1939</v>
      </c>
      <c r="H4" s="1244" t="s">
        <v>1919</v>
      </c>
      <c r="I4" s="55">
        <f>ROUND(SUMIF('数据-基础表'!I9:AS9,"地上",'数据-基础表'!I5:AS5)/'数据-基础表'!A3,2)</f>
        <v>1.59</v>
      </c>
      <c r="J4" s="1389"/>
      <c r="K4" s="1389"/>
      <c r="L4" s="1389"/>
      <c r="M4" s="1389"/>
      <c r="N4" s="1424"/>
      <c r="O4" s="1389"/>
      <c r="P4" s="1389"/>
    </row>
    <row r="5" spans="1:16">
      <c r="A5" s="47" t="s">
        <v>1915</v>
      </c>
      <c r="B5" s="3051" t="s">
        <v>1916</v>
      </c>
      <c r="C5" s="3051"/>
      <c r="D5" s="48">
        <f>ROUND($D$3*E5/$E$3,2)</f>
        <v>0</v>
      </c>
      <c r="E5" s="49">
        <f>SUMIF('数据-基础表'!$11:$11,"住宅",'数据-基础表'!$5:$5)</f>
        <v>0</v>
      </c>
      <c r="F5" s="1389"/>
      <c r="G5" s="1396"/>
      <c r="H5" s="1244" t="s">
        <v>1912</v>
      </c>
      <c r="I5" s="55">
        <f>ROUND(E31/D31,2)</f>
        <v>1.59</v>
      </c>
      <c r="J5" s="1389"/>
      <c r="K5" s="1389"/>
      <c r="L5" s="1389"/>
      <c r="M5" s="1389"/>
      <c r="N5" s="1389"/>
      <c r="O5" s="1389"/>
      <c r="P5" s="1389"/>
    </row>
    <row r="6" spans="1:16" ht="15" thickBot="1">
      <c r="A6" s="2229"/>
      <c r="B6" s="3051" t="s">
        <v>1917</v>
      </c>
      <c r="C6" s="3051"/>
      <c r="D6" s="48">
        <f>ROUND($D$3*E6/$E$3,2)</f>
        <v>2957.47</v>
      </c>
      <c r="E6" s="49">
        <f>E3-E5</f>
        <v>4704.8599999999997</v>
      </c>
      <c r="F6" s="1389"/>
      <c r="G6" s="2230" t="s">
        <v>1918</v>
      </c>
      <c r="H6" s="1396" t="s">
        <v>1919</v>
      </c>
      <c r="I6" s="936">
        <f>ROUND(F31/D31,2)</f>
        <v>1.59</v>
      </c>
      <c r="J6" s="1389"/>
      <c r="K6" s="1389"/>
      <c r="L6" s="1389"/>
      <c r="M6" s="1389"/>
      <c r="N6" s="1389"/>
      <c r="O6" s="1389"/>
      <c r="P6" s="1389"/>
    </row>
    <row r="7" spans="1:16" ht="15">
      <c r="A7" s="3043"/>
      <c r="B7" s="3044"/>
      <c r="C7" s="3045"/>
      <c r="D7" s="2226" t="s">
        <v>1913</v>
      </c>
      <c r="E7" s="2231" t="s">
        <v>1920</v>
      </c>
      <c r="F7" s="1389"/>
      <c r="G7" s="2223" t="s">
        <v>1921</v>
      </c>
      <c r="H7" s="64"/>
      <c r="I7" s="420"/>
      <c r="J7" s="1389"/>
      <c r="K7" s="1389"/>
      <c r="L7" s="1389"/>
      <c r="M7" s="1389"/>
      <c r="N7" s="1389"/>
      <c r="O7" s="1389"/>
      <c r="P7" s="1389"/>
    </row>
    <row r="8" spans="1:16">
      <c r="A8" s="47" t="s">
        <v>1922</v>
      </c>
      <c r="B8" s="50" t="s">
        <v>1923</v>
      </c>
      <c r="C8" s="48" t="s">
        <v>1924</v>
      </c>
      <c r="D8" s="48">
        <f t="shared" ref="D8:D15" si="0">ROUND($D$3*E8/$E$3,2)</f>
        <v>2957.47</v>
      </c>
      <c r="E8" s="51">
        <f>SUMIF('数据-基础表'!BB10:BK10,"地上",'数据-基础表'!BB5:BK5)</f>
        <v>4704.8599999999997</v>
      </c>
      <c r="F8" s="1389"/>
      <c r="G8" s="2232"/>
      <c r="H8" s="2232"/>
      <c r="I8" s="1389"/>
      <c r="J8" s="1389"/>
      <c r="K8" s="1389"/>
      <c r="L8" s="1389"/>
      <c r="M8" s="1389"/>
      <c r="N8" s="1389"/>
      <c r="O8" s="1389"/>
      <c r="P8" s="1389"/>
    </row>
    <row r="9" spans="1:16">
      <c r="A9" s="2233"/>
      <c r="B9" s="2234"/>
      <c r="C9" s="48" t="s">
        <v>1925</v>
      </c>
      <c r="D9" s="48">
        <f t="shared" si="0"/>
        <v>0</v>
      </c>
      <c r="E9" s="52">
        <v>0</v>
      </c>
      <c r="F9" s="1389"/>
      <c r="G9" s="2232"/>
      <c r="H9" s="2232"/>
      <c r="I9" s="1389"/>
      <c r="J9" s="1389"/>
      <c r="K9" s="1389"/>
      <c r="L9" s="1389"/>
      <c r="M9" s="1389"/>
      <c r="N9" s="1389"/>
      <c r="O9" s="1389"/>
      <c r="P9" s="1389"/>
    </row>
    <row r="10" spans="1:16">
      <c r="A10" s="2233"/>
      <c r="B10" s="2234"/>
      <c r="C10" s="48" t="s">
        <v>1934</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1926</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1927</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1928</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1940</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1935</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1929</v>
      </c>
      <c r="D16" s="50">
        <f>SUM(D8:D15)</f>
        <v>2957.47</v>
      </c>
      <c r="E16" s="53">
        <f>SUM(E8:E15)</f>
        <v>4704.8599999999997</v>
      </c>
      <c r="F16" s="1389"/>
      <c r="G16" s="2232"/>
      <c r="H16" s="2235" t="s">
        <v>1941</v>
      </c>
      <c r="I16" s="2236"/>
      <c r="J16" s="1389"/>
      <c r="K16" s="3040" t="s">
        <v>1941</v>
      </c>
      <c r="L16" s="3041"/>
      <c r="M16" s="3041"/>
      <c r="N16" s="3041"/>
      <c r="O16" s="3041"/>
      <c r="P16" s="3042"/>
    </row>
    <row r="17" spans="1:19" ht="15">
      <c r="A17" s="2237" t="s">
        <v>1942</v>
      </c>
      <c r="B17" s="2238" t="s">
        <v>1943</v>
      </c>
      <c r="C17" s="2239" t="s">
        <v>1944</v>
      </c>
      <c r="D17" s="2240" t="s">
        <v>1932</v>
      </c>
      <c r="E17" s="2241" t="s">
        <v>1933</v>
      </c>
      <c r="F17" s="2242"/>
      <c r="G17" s="2243"/>
      <c r="H17" s="2244" t="s">
        <v>1945</v>
      </c>
      <c r="I17" s="2245" t="s">
        <v>1930</v>
      </c>
      <c r="J17" s="1389"/>
      <c r="K17" s="3037" t="s">
        <v>1946</v>
      </c>
      <c r="L17" s="3038"/>
      <c r="M17" s="3039"/>
      <c r="N17" s="3037" t="s">
        <v>1947</v>
      </c>
      <c r="O17" s="3038"/>
      <c r="P17" s="3039"/>
      <c r="R17" s="2223" t="s">
        <v>1948</v>
      </c>
      <c r="S17" s="64"/>
    </row>
    <row r="18" spans="1:19" ht="15">
      <c r="A18" s="2233"/>
      <c r="B18" s="2246"/>
      <c r="C18" s="2247"/>
      <c r="D18" s="2248"/>
      <c r="E18" s="2249" t="s">
        <v>1949</v>
      </c>
      <c r="F18" s="2250" t="s">
        <v>1950</v>
      </c>
      <c r="G18" s="2251" t="s">
        <v>1951</v>
      </c>
      <c r="H18" s="1259" t="s">
        <v>1952</v>
      </c>
      <c r="I18" s="2252" t="s">
        <v>1953</v>
      </c>
      <c r="J18" s="1389"/>
      <c r="K18" s="1259" t="s">
        <v>1954</v>
      </c>
      <c r="L18" s="2253" t="s">
        <v>1955</v>
      </c>
      <c r="M18" s="1043" t="s">
        <v>1956</v>
      </c>
      <c r="N18" s="1259" t="s">
        <v>1954</v>
      </c>
      <c r="O18" s="2253" t="s">
        <v>1955</v>
      </c>
      <c r="P18" s="1043" t="s">
        <v>1956</v>
      </c>
      <c r="R18" s="1244" t="s">
        <v>1957</v>
      </c>
      <c r="S18" s="1244" t="s">
        <v>1958</v>
      </c>
    </row>
    <row r="19" spans="1:19">
      <c r="A19" s="2254"/>
      <c r="B19" s="50" t="s">
        <v>1931</v>
      </c>
      <c r="C19" s="2958" t="s">
        <v>3112</v>
      </c>
      <c r="D19" s="48">
        <f>ROUND($D$3*E19/$E$3,2)</f>
        <v>2957.47</v>
      </c>
      <c r="E19" s="56">
        <f t="shared" ref="E19:E26" si="1">SUM(F19:G19)</f>
        <v>4704.8599999999997</v>
      </c>
      <c r="F19" s="57">
        <f>'数据-基础表'!B3</f>
        <v>4704.8599999999997</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2957.47</v>
      </c>
      <c r="S19" s="1245">
        <f t="shared" si="5"/>
        <v>4704.8599999999997</v>
      </c>
    </row>
    <row r="20" spans="1:19">
      <c r="A20" s="2257"/>
      <c r="B20" s="50" t="s">
        <v>1959</v>
      </c>
      <c r="C20" s="2958"/>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1959</v>
      </c>
      <c r="C21" s="2958"/>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1959</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1959</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1959</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1959</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1960</v>
      </c>
      <c r="D27" s="1390">
        <f>SUM(D19:D26)</f>
        <v>2957.47</v>
      </c>
      <c r="E27" s="1391">
        <f>IF(SUM(E19:E26)='数据-基础表'!BA5,SUM(E19:E26),IF(F27="地上面积有误","面积有误","地下面积有误"))</f>
        <v>4704.8599999999997</v>
      </c>
      <c r="F27" s="1390">
        <f>IF(SUM(F19:F26)=E8,SUM(F19:F26),"地上面积有误")</f>
        <v>4704.8599999999997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2957.47</v>
      </c>
      <c r="S27" s="1244">
        <f>IF(SUM(S19:S26)=$E$3,SUM(S19:S26),SUM(S19:S26)&amp;"误差"&amp;ROUND(SUM(S19:S26)-E3,2))</f>
        <v>4704.8599999999997</v>
      </c>
    </row>
    <row r="28" spans="1:19">
      <c r="A28" s="2257"/>
      <c r="B28" s="50" t="s">
        <v>1961</v>
      </c>
      <c r="C28" s="1256" t="s">
        <v>1962</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1961</v>
      </c>
      <c r="C29" s="2261" t="s">
        <v>1963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1960</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4" t="s">
        <v>1964</v>
      </c>
      <c r="D31" s="729">
        <f>D27+D30</f>
        <v>2957.47</v>
      </c>
      <c r="E31" s="729">
        <f>E27+E30</f>
        <v>4704.8599999999997</v>
      </c>
      <c r="F31" s="730">
        <f>F27+F30</f>
        <v>4704.8599999999997</v>
      </c>
      <c r="G31" s="731">
        <f>G27+G30</f>
        <v>0</v>
      </c>
      <c r="H31" s="1389"/>
      <c r="I31" s="1389"/>
      <c r="J31" s="1389"/>
      <c r="K31" s="1389"/>
      <c r="L31" s="1389"/>
      <c r="M31" s="1389"/>
      <c r="N31" s="1389"/>
      <c r="O31" s="1389"/>
      <c r="P31" s="1389"/>
    </row>
    <row r="32" spans="1:19">
      <c r="A32" s="2228"/>
      <c r="B32" s="2228" t="s">
        <v>1965</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0" sqref="L1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1967</v>
      </c>
      <c r="B2" s="1263">
        <f>项目基本情况!D3</f>
        <v>43238</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1974</v>
      </c>
      <c r="B5" s="2284" t="s">
        <v>1975</v>
      </c>
      <c r="C5" s="2285" t="s">
        <v>1976</v>
      </c>
      <c r="D5" s="2286" t="s">
        <v>1977</v>
      </c>
      <c r="E5" s="1265" t="s">
        <v>1978</v>
      </c>
      <c r="F5" s="2287" t="s">
        <v>1979</v>
      </c>
      <c r="G5" s="1265" t="s">
        <v>1980</v>
      </c>
      <c r="H5" s="1265" t="s">
        <v>1981</v>
      </c>
      <c r="I5" s="1265" t="s">
        <v>1982</v>
      </c>
      <c r="J5" s="2288" t="s">
        <v>1983</v>
      </c>
      <c r="K5" s="2289" t="s">
        <v>1984</v>
      </c>
      <c r="L5" s="2290" t="s">
        <v>1985</v>
      </c>
      <c r="M5" s="2291" t="s">
        <v>1986</v>
      </c>
      <c r="N5" s="2292" t="s">
        <v>3080</v>
      </c>
      <c r="O5" s="2290" t="s">
        <v>1987</v>
      </c>
      <c r="P5" s="2293" t="s">
        <v>1988</v>
      </c>
      <c r="Q5" s="69" t="s">
        <v>1989</v>
      </c>
      <c r="R5" s="2294" t="s">
        <v>1990</v>
      </c>
      <c r="S5" s="2295" t="s">
        <v>1991</v>
      </c>
      <c r="T5" s="2296" t="s">
        <v>1992</v>
      </c>
      <c r="U5" s="1264" t="s">
        <v>1993</v>
      </c>
      <c r="V5" s="1265" t="s">
        <v>1994</v>
      </c>
      <c r="W5" s="1265" t="s">
        <v>1995</v>
      </c>
      <c r="X5" s="71"/>
      <c r="Y5" s="70" t="s">
        <v>1996</v>
      </c>
      <c r="Z5" s="2297" t="s">
        <v>1993</v>
      </c>
      <c r="AA5" s="1265" t="s">
        <v>1994</v>
      </c>
      <c r="AB5" s="1265" t="s">
        <v>1995</v>
      </c>
      <c r="AC5" s="71"/>
      <c r="AD5" s="71" t="s">
        <v>1996</v>
      </c>
      <c r="AE5" s="1264" t="s">
        <v>1997</v>
      </c>
      <c r="AF5" s="1265" t="s">
        <v>1998</v>
      </c>
      <c r="AG5" s="70" t="s">
        <v>1999</v>
      </c>
      <c r="AH5" s="1264" t="s">
        <v>2000</v>
      </c>
      <c r="AI5" s="2297" t="s">
        <v>2001</v>
      </c>
      <c r="AJ5" s="2297" t="s">
        <v>2002</v>
      </c>
      <c r="AK5" s="1265" t="s">
        <v>2003</v>
      </c>
      <c r="AL5" s="1265" t="s">
        <v>2004</v>
      </c>
      <c r="AM5" s="70" t="s">
        <v>2005</v>
      </c>
      <c r="AN5" s="2298" t="s">
        <v>2006</v>
      </c>
      <c r="AO5" s="2069" t="s">
        <v>2007</v>
      </c>
      <c r="AP5" s="1246" t="s">
        <v>2008</v>
      </c>
      <c r="AQ5" s="2299" t="s">
        <v>2009</v>
      </c>
      <c r="AR5" s="2299" t="s">
        <v>2010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办公用房</v>
      </c>
      <c r="B6" s="2301" t="str">
        <f>IF(A6=0,"","经营性")</f>
        <v>经营性</v>
      </c>
      <c r="C6" s="2302" t="s">
        <v>1377</v>
      </c>
      <c r="D6" s="1048">
        <f>SUMIF(项目基本情况!D$12:I$12,C6,项目基本情况!D$14:I$14)</f>
        <v>40</v>
      </c>
      <c r="E6" s="1045">
        <f>IF(B6="","",SUMIF(项目基本情况!D$12:I$12,C6,项目基本情况!D$13:I$13))</f>
        <v>57848</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4704.8599999999997</v>
      </c>
      <c r="L6" s="803">
        <v>2700</v>
      </c>
      <c r="M6" s="75">
        <f t="shared" ref="M6:M14" si="0">ROUND(K6*L6/10000,0)</f>
        <v>1270</v>
      </c>
      <c r="N6" s="801">
        <f>(ROUND(1-(1-2%)*(2018-1996)/50,2)+95%)/2</f>
        <v>0.76</v>
      </c>
      <c r="O6" s="75" t="str">
        <f>IF($N$5="成新度","——",ROUND(M6*N6,0))</f>
        <v>——</v>
      </c>
      <c r="P6" s="76" t="str">
        <f>IF($N$5="成新度","——",M6-O6)</f>
        <v>——</v>
      </c>
      <c r="Q6" s="804">
        <v>0.15</v>
      </c>
      <c r="R6" s="77">
        <f ca="1">SUMIF('数据-汇总表'!C$19:C$33,A6,'数据-汇总表'!R$19:R$27)</f>
        <v>2957.47</v>
      </c>
      <c r="S6" s="54">
        <f>IF('数据-汇总表'!$I$17="按面积比例",SUMIF('数据-汇总表'!C$19:C$33,A6,'数据-汇总表'!K$19:K$33),SUMIF('数据-汇总表'!C$19:C$33,A6,'数据-汇总表'!N$19:N$33))</f>
        <v>0</v>
      </c>
      <c r="T6" s="1440">
        <f>ROUND($L$14*S6/10000,0)</f>
        <v>0</v>
      </c>
      <c r="U6" s="78">
        <f>'数据-基础表'!B27</f>
        <v>3.6</v>
      </c>
      <c r="V6" s="79">
        <v>3.5000000000000003E-2</v>
      </c>
      <c r="W6" s="79">
        <v>0.05</v>
      </c>
      <c r="X6" s="1258"/>
      <c r="Y6" s="80">
        <f>N6</f>
        <v>0.76</v>
      </c>
      <c r="Z6" s="81"/>
      <c r="AA6" s="74"/>
      <c r="AB6" s="74"/>
      <c r="AC6" s="1258"/>
      <c r="AD6" s="82"/>
      <c r="AE6" s="1259">
        <f ca="1">IF(AN6="",0,SUMIF(INDIRECT("'"&amp;AN6&amp;"'"&amp;"!E:E"),$AE$5,INDIRECT("'"&amp;AN6&amp;"'"&amp;"!F:F")))</f>
        <v>40</v>
      </c>
      <c r="AF6" s="1801"/>
      <c r="AG6" s="147">
        <f>IF(AF6="",0,AE6-AF6)</f>
        <v>0</v>
      </c>
      <c r="AH6" s="83"/>
      <c r="AI6" s="85">
        <v>365</v>
      </c>
      <c r="AJ6" s="86"/>
      <c r="AK6" s="87">
        <v>1.4999999999999999E-2</v>
      </c>
      <c r="AL6" s="88">
        <v>1.5E-3</v>
      </c>
      <c r="AM6" s="89">
        <v>0.01</v>
      </c>
      <c r="AN6" s="2303" t="s">
        <v>3113</v>
      </c>
      <c r="AO6" s="55">
        <f ca="1">SUMIF(INDIRECT("'"&amp;AN6&amp;"'"&amp;"!A:A"),"总价",INDIRECT("'"&amp;AN6&amp;"'"&amp;"!B:B"))</f>
        <v>13128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f>'数据-汇总表'!C20</f>
        <v>0</v>
      </c>
      <c r="B7" s="2301" t="str">
        <f t="shared" ref="B7:B13" si="1">IF(A7=0,"","经营性")</f>
        <v/>
      </c>
      <c r="C7" s="2302"/>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
      <c r="Z8" s="81"/>
      <c r="AA8" s="74"/>
      <c r="AB8" s="74"/>
      <c r="AC8" s="1258"/>
      <c r="AD8" s="82"/>
      <c r="AE8" s="1259">
        <f t="shared" ca="1" si="6"/>
        <v>0</v>
      </c>
      <c r="AF8" s="1801"/>
      <c r="AG8" s="147">
        <f t="shared" si="7"/>
        <v>0</v>
      </c>
      <c r="AH8" s="805"/>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802"/>
      <c r="I9" s="802"/>
      <c r="J9" s="74"/>
      <c r="K9" s="1248">
        <f>SUMIF('数据-汇总表'!C$19:C$33,A9,'数据-汇总表'!E$19:E$33)</f>
        <v>0</v>
      </c>
      <c r="L9" s="803"/>
      <c r="M9" s="75">
        <f t="shared" si="0"/>
        <v>0</v>
      </c>
      <c r="N9" s="801"/>
      <c r="O9" s="75" t="str">
        <f t="shared" si="3"/>
        <v>——</v>
      </c>
      <c r="P9" s="76" t="str">
        <f t="shared" si="4"/>
        <v>——</v>
      </c>
      <c r="Q9" s="804"/>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2011</v>
      </c>
      <c r="B14" s="2301" t="s">
        <v>2012</v>
      </c>
      <c r="C14" s="2306" t="s">
        <v>2011</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2013</v>
      </c>
      <c r="B15" s="2301" t="s">
        <v>2012</v>
      </c>
      <c r="C15" s="2306" t="s">
        <v>2014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2015</v>
      </c>
      <c r="B16" s="97"/>
      <c r="C16" s="1002"/>
      <c r="D16" s="2308"/>
      <c r="E16" s="97"/>
      <c r="F16" s="97"/>
      <c r="G16" s="98">
        <f>ROUND(SUMPRODUCT(G6:G13,K6:K13)/SUMPRODUCT((G6:G13&gt;0)*(K6:K13)),3)</f>
        <v>1</v>
      </c>
      <c r="H16" s="99">
        <f>ROUND(SUMPRODUCT(H6:H13,K6:K13)/SUMPRODUCT((H6:H13&gt;0)*(K6:K13)),3)</f>
        <v>4.4999999999999998E-2</v>
      </c>
      <c r="I16" s="100"/>
      <c r="J16" s="100"/>
      <c r="K16" s="101">
        <f>SUM(K6:K15)</f>
        <v>4704.8599999999997</v>
      </c>
      <c r="L16" s="102">
        <f>ROUND(M16*10000/SUM(K6:K14),0)</f>
        <v>2699</v>
      </c>
      <c r="M16" s="102">
        <f>SUM(M6:M14)</f>
        <v>1270</v>
      </c>
      <c r="N16" s="103">
        <f>ROUND(SUMPRODUCT(M6:M14,N6:N14)/M16,3)</f>
        <v>0.76</v>
      </c>
      <c r="O16" s="102">
        <f>SUM(O6:O14)</f>
        <v>0</v>
      </c>
      <c r="P16" s="102">
        <f>SUM(P6:P14)</f>
        <v>0</v>
      </c>
      <c r="Q16" s="104">
        <f>ROUND(SUMPRODUCT(Q6:Q13,K6:K13)/SUMPRODUCT((Q6:Q13&gt;0)*(K6:K13)),2)</f>
        <v>0.15</v>
      </c>
      <c r="R16" s="1252">
        <f ca="1">SUM(R6:R13)</f>
        <v>2957.47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2016</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2017</v>
      </c>
      <c r="B19" s="112">
        <v>0</v>
      </c>
      <c r="C19" s="2271" t="s">
        <v>2018</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2019</v>
      </c>
      <c r="B20" s="113">
        <v>1</v>
      </c>
      <c r="C20" s="2271" t="s">
        <v>2020</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2021</v>
      </c>
      <c r="B21" s="113">
        <v>1</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2022</v>
      </c>
      <c r="B22" s="114">
        <f>B19+B20</f>
        <v>1</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2023</v>
      </c>
      <c r="B23" s="114">
        <f>B19+B21</f>
        <v>1</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2024</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2025</v>
      </c>
      <c r="B26" s="2314" t="s">
        <v>2026</v>
      </c>
      <c r="C26" s="2315" t="s">
        <v>2027</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2028</v>
      </c>
      <c r="B27" s="116">
        <v>160</v>
      </c>
      <c r="C27" s="1761" t="s">
        <v>2029</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2030</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2031</v>
      </c>
      <c r="B29" s="121">
        <v>94</v>
      </c>
      <c r="C29" s="1761" t="s">
        <v>2032</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2033</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2034</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2035</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2036</v>
      </c>
      <c r="B33" s="726">
        <v>0.03</v>
      </c>
      <c r="C33" s="1760" t="s">
        <v>2037</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2038</v>
      </c>
      <c r="B34" s="122"/>
      <c r="C34" s="1760" t="s">
        <v>2039</v>
      </c>
      <c r="D34" s="2272" t="s">
        <v>2040</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2041</v>
      </c>
      <c r="B35" s="119">
        <v>200</v>
      </c>
      <c r="C35" s="1760" t="s">
        <v>2042</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2043</v>
      </c>
      <c r="B36" s="123">
        <v>1.4999999999999999E-2</v>
      </c>
      <c r="C36" s="1760" t="s">
        <v>2044</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2045</v>
      </c>
      <c r="B37" s="124">
        <v>0.02</v>
      </c>
      <c r="C37" s="1760" t="s">
        <v>2046</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2047</v>
      </c>
      <c r="B38" s="2959">
        <v>0.02</v>
      </c>
      <c r="C38" s="1760" t="s">
        <v>2046</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2048</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2049</v>
      </c>
      <c r="B40" s="1297">
        <f ca="1">存贷款利率!G1</f>
        <v>4.3499999999999997E-2</v>
      </c>
      <c r="C40" s="1760" t="s">
        <v>2050</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2051</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2052</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2053</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2054</v>
      </c>
      <c r="B44" s="128">
        <v>7.0000000000000007E-2</v>
      </c>
      <c r="C44" s="1760" t="s">
        <v>2055</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2056</v>
      </c>
      <c r="B45" s="126">
        <v>0.03</v>
      </c>
      <c r="C45" s="1761" t="s">
        <v>2057</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2058</v>
      </c>
      <c r="B46" s="126">
        <v>0.02</v>
      </c>
      <c r="C46" s="1761" t="s">
        <v>2059</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2060</v>
      </c>
      <c r="B47" s="129">
        <v>0</v>
      </c>
      <c r="C47" s="1761" t="s">
        <v>2061</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2062</v>
      </c>
      <c r="B48" s="130">
        <v>0.03</v>
      </c>
      <c r="C48" s="1768" t="s">
        <v>2063</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2064</v>
      </c>
      <c r="B49" s="126">
        <v>5.0000000000000001E-4</v>
      </c>
      <c r="C49" s="1768" t="s">
        <v>2065</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2066</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2067</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2068</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2069</v>
      </c>
      <c r="B53" s="2330" t="s">
        <v>523</v>
      </c>
      <c r="C53" s="1424" t="s">
        <v>2070</v>
      </c>
      <c r="D53" s="2331" t="s">
        <v>2071</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2072</v>
      </c>
      <c r="B54" s="84">
        <v>30</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2073</v>
      </c>
      <c r="B55" s="84">
        <v>24</v>
      </c>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2074</v>
      </c>
      <c r="B56" s="84">
        <v>18</v>
      </c>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2075</v>
      </c>
      <c r="B57" s="84">
        <v>12</v>
      </c>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2076</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2077</v>
      </c>
      <c r="B59" s="84">
        <v>1.5</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2078</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2079</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2080</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2081</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2" t="s">
        <v>2082</v>
      </c>
      <c r="B1" s="3053"/>
      <c r="C1" s="3053"/>
      <c r="D1" s="3053"/>
      <c r="E1" s="3053"/>
      <c r="F1" s="3053"/>
      <c r="G1" s="305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2083</v>
      </c>
      <c r="D2" s="2360"/>
      <c r="E2" s="2361"/>
      <c r="F2" s="2280"/>
      <c r="G2" s="2359" t="s">
        <v>2084</v>
      </c>
      <c r="H2" s="2362"/>
      <c r="I2" s="2362"/>
      <c r="J2" s="2362"/>
      <c r="K2" s="2362"/>
      <c r="L2" s="2362"/>
      <c r="M2" s="2362"/>
      <c r="N2" s="2362"/>
      <c r="O2" s="2362"/>
      <c r="P2" s="2362"/>
      <c r="Q2" s="2362"/>
      <c r="R2" s="2362"/>
    </row>
    <row r="3" spans="1:29" ht="54">
      <c r="A3" s="415" t="s">
        <v>2085</v>
      </c>
      <c r="B3" s="1265" t="s">
        <v>2086</v>
      </c>
      <c r="C3" s="2364" t="s">
        <v>2087</v>
      </c>
      <c r="D3" s="2365"/>
      <c r="E3" s="431" t="s">
        <v>2085</v>
      </c>
      <c r="F3" s="2366" t="s">
        <v>2088</v>
      </c>
      <c r="G3" s="2367" t="s">
        <v>2089</v>
      </c>
      <c r="H3" s="2362"/>
      <c r="I3" s="2362"/>
      <c r="J3" s="2362"/>
      <c r="K3" s="2362"/>
      <c r="L3" s="2362"/>
      <c r="M3" s="2362"/>
      <c r="N3" s="2362"/>
      <c r="O3" s="2362"/>
      <c r="P3" s="2362"/>
      <c r="Q3" s="2362"/>
      <c r="R3" s="2362"/>
    </row>
    <row r="4" spans="1:29" ht="41.25">
      <c r="A4" s="431"/>
      <c r="B4" s="1792" t="s">
        <v>2090</v>
      </c>
      <c r="C4" s="2368" t="s">
        <v>2091</v>
      </c>
      <c r="D4" s="2365"/>
      <c r="E4" s="2369"/>
      <c r="F4" s="42" t="s">
        <v>2092</v>
      </c>
      <c r="G4" s="2370" t="s">
        <v>2093</v>
      </c>
      <c r="H4" s="2362"/>
      <c r="I4" s="2362"/>
      <c r="J4" s="2362"/>
      <c r="K4" s="2362"/>
      <c r="L4" s="2362"/>
      <c r="M4" s="2362"/>
      <c r="N4" s="2362"/>
      <c r="O4" s="2362"/>
      <c r="P4" s="2362"/>
      <c r="Q4" s="2362"/>
      <c r="R4" s="2362"/>
    </row>
    <row r="5" spans="1:29" ht="41.25">
      <c r="A5" s="431"/>
      <c r="B5" s="1792" t="s">
        <v>2094</v>
      </c>
      <c r="C5" s="2368" t="s">
        <v>2095</v>
      </c>
      <c r="D5" s="2365"/>
      <c r="E5" s="2369"/>
      <c r="F5" s="1792" t="s">
        <v>2096</v>
      </c>
      <c r="G5" s="2370" t="s">
        <v>2097</v>
      </c>
      <c r="H5" s="2362"/>
      <c r="I5" s="2362"/>
      <c r="J5" s="2362"/>
      <c r="K5" s="2362"/>
      <c r="L5" s="2362"/>
      <c r="M5" s="2362"/>
      <c r="N5" s="2362"/>
      <c r="O5" s="2362"/>
      <c r="P5" s="2362"/>
      <c r="Q5" s="2362"/>
      <c r="R5" s="2362"/>
    </row>
    <row r="6" spans="1:29" ht="54">
      <c r="A6" s="431"/>
      <c r="B6" s="1792" t="s">
        <v>2098</v>
      </c>
      <c r="C6" s="2370" t="s">
        <v>2093</v>
      </c>
      <c r="D6" s="2365"/>
      <c r="E6" s="2369"/>
      <c r="F6" s="1792" t="s">
        <v>2099</v>
      </c>
      <c r="G6" s="2370" t="s">
        <v>2100</v>
      </c>
      <c r="H6" s="2362"/>
      <c r="I6" s="2362"/>
      <c r="J6" s="2362"/>
      <c r="K6" s="2362"/>
      <c r="L6" s="2362"/>
      <c r="M6" s="2362"/>
      <c r="N6" s="2362"/>
      <c r="O6" s="2362"/>
      <c r="P6" s="2362"/>
      <c r="Q6" s="2362"/>
      <c r="R6" s="2362"/>
    </row>
    <row r="7" spans="1:29" ht="41.25" thickBot="1">
      <c r="A7" s="431"/>
      <c r="B7" s="1792" t="s">
        <v>2096</v>
      </c>
      <c r="C7" s="2370" t="s">
        <v>2097</v>
      </c>
      <c r="D7" s="2371"/>
      <c r="E7" s="2372"/>
      <c r="F7" s="2373" t="s">
        <v>2101</v>
      </c>
      <c r="G7" s="2374" t="s">
        <v>2102</v>
      </c>
      <c r="H7" s="2362"/>
      <c r="I7" s="2362"/>
      <c r="J7" s="2362"/>
      <c r="K7" s="2362"/>
      <c r="L7" s="2362"/>
      <c r="M7" s="2362"/>
      <c r="N7" s="2362"/>
      <c r="O7" s="2362"/>
      <c r="P7" s="2362"/>
      <c r="Q7" s="2362"/>
      <c r="R7" s="2362"/>
    </row>
    <row r="8" spans="1:29" ht="27">
      <c r="A8" s="431"/>
      <c r="B8" s="1792" t="s">
        <v>2099</v>
      </c>
      <c r="C8" s="2370" t="s">
        <v>2100</v>
      </c>
      <c r="D8" s="2371"/>
      <c r="E8" s="2371"/>
      <c r="F8" s="1130"/>
      <c r="G8" s="1130"/>
      <c r="H8" s="2362"/>
      <c r="I8" s="2362"/>
      <c r="J8" s="2362"/>
      <c r="K8" s="2362"/>
      <c r="L8" s="2362"/>
      <c r="M8" s="2362"/>
      <c r="N8" s="2362"/>
      <c r="O8" s="2362"/>
      <c r="P8" s="2362"/>
      <c r="Q8" s="2362"/>
      <c r="R8" s="2362"/>
    </row>
    <row r="9" spans="1:29" ht="27">
      <c r="A9" s="431"/>
      <c r="B9" s="1792" t="s">
        <v>2103</v>
      </c>
      <c r="C9" s="2368" t="s">
        <v>2104</v>
      </c>
      <c r="D9" s="2365"/>
      <c r="E9" s="2371"/>
      <c r="F9" s="1130"/>
      <c r="G9" s="1130"/>
      <c r="H9" s="2362"/>
      <c r="I9" s="2362"/>
      <c r="J9" s="2362"/>
      <c r="K9" s="2362"/>
      <c r="L9" s="2362"/>
      <c r="M9" s="2362"/>
      <c r="N9" s="2362"/>
      <c r="O9" s="2362"/>
      <c r="P9" s="2362"/>
      <c r="Q9" s="2362"/>
      <c r="R9" s="2362"/>
    </row>
    <row r="10" spans="1:29" s="117" customFormat="1" ht="15.75" thickBot="1">
      <c r="A10" s="2375"/>
      <c r="B10" s="2376" t="s">
        <v>2105</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2106</v>
      </c>
      <c r="B13" s="2382"/>
      <c r="C13" s="2382"/>
      <c r="D13" s="2389"/>
      <c r="E13" s="2382"/>
      <c r="F13" s="2382"/>
      <c r="G13" s="2382"/>
    </row>
    <row r="14" spans="1:29" ht="15.75" thickBot="1">
      <c r="A14" s="2393"/>
      <c r="B14" s="2394"/>
      <c r="C14" s="2395" t="s">
        <v>2107</v>
      </c>
      <c r="D14" s="2365"/>
      <c r="E14" s="2396"/>
      <c r="F14" s="2396"/>
      <c r="G14" s="2359" t="s">
        <v>2108</v>
      </c>
    </row>
    <row r="15" spans="1:29" ht="57">
      <c r="A15" s="68" t="s">
        <v>2109</v>
      </c>
      <c r="B15" s="1264" t="s">
        <v>2086</v>
      </c>
      <c r="C15" s="2397" t="str">
        <f>C3</f>
        <v>估价对象周边居住用地比例、居住小区规模和社区发展完善程度，综合评价居住社区成熟度一般</v>
      </c>
      <c r="D15" s="2365"/>
      <c r="E15" s="2398" t="s">
        <v>2110</v>
      </c>
      <c r="F15" s="1264" t="s">
        <v>2111</v>
      </c>
      <c r="G15" s="135" t="str">
        <f>G3</f>
        <v>估价对象位于XX开发区，园区建设成熟度XX，产业集聚程度XX</v>
      </c>
    </row>
    <row r="16" spans="1:29" ht="42.75">
      <c r="A16" s="645"/>
      <c r="B16" s="2399" t="s">
        <v>2090</v>
      </c>
      <c r="C16" s="2400" t="str">
        <f>C4</f>
        <v>估价对象位于XX商圈，周边商业氛围成熟，人流量大，商业繁华度好</v>
      </c>
      <c r="D16" s="2365"/>
      <c r="E16" s="2401"/>
      <c r="F16" s="2402" t="s">
        <v>2092</v>
      </c>
      <c r="G16" s="136" t="str">
        <f>G4</f>
        <v>估价对象周边道路状况、公共交通通达情况、停车便捷程度，综合评价交通便捷度较好</v>
      </c>
    </row>
    <row r="17" spans="1:18" ht="42.75">
      <c r="A17" s="645"/>
      <c r="B17" s="2399" t="s">
        <v>2094</v>
      </c>
      <c r="C17" s="2400" t="str">
        <f>C5</f>
        <v>估价对象位于XX商圈，周边办公楼项目较多，入驻率高，办公集聚程度较好</v>
      </c>
      <c r="D17" s="2371"/>
      <c r="E17" s="2401"/>
      <c r="F17" s="2402" t="s">
        <v>2112</v>
      </c>
      <c r="G17" s="1566"/>
    </row>
    <row r="18" spans="1:18" ht="57">
      <c r="A18" s="645"/>
      <c r="B18" s="2402" t="s">
        <v>2098</v>
      </c>
      <c r="C18" s="136" t="str">
        <f>C6</f>
        <v>估价对象周边道路状况、公共交通通达情况、停车便捷程度，综合评价交通便捷度较好</v>
      </c>
      <c r="D18" s="2371"/>
      <c r="E18" s="2401"/>
      <c r="F18" s="2402" t="s">
        <v>2101</v>
      </c>
      <c r="G18" s="136" t="str">
        <f>G7</f>
        <v>该园区内是否有污染型企业，绿化情况，卫生条件，整体环境状况判断</v>
      </c>
    </row>
    <row r="19" spans="1:18" ht="28.5">
      <c r="A19" s="645"/>
      <c r="B19" s="2402" t="s">
        <v>2113</v>
      </c>
      <c r="C19" s="1566"/>
      <c r="D19" s="2365"/>
      <c r="E19" s="2401"/>
      <c r="F19" s="1792" t="s">
        <v>2096</v>
      </c>
      <c r="G19" s="136" t="str">
        <f>G5</f>
        <v>估价对象所在区域公共配套设施齐备情况</v>
      </c>
    </row>
    <row r="20" spans="1:18" ht="28.5">
      <c r="A20" s="645"/>
      <c r="B20" s="2402" t="s">
        <v>2114</v>
      </c>
      <c r="C20" s="2400" t="str">
        <f>C9</f>
        <v>区域自然环境：；人文环境；综合评价环境状况一般</v>
      </c>
      <c r="D20" s="2371"/>
      <c r="E20" s="2401"/>
      <c r="F20" s="1792" t="s">
        <v>2115</v>
      </c>
      <c r="G20" s="136" t="str">
        <f>G6</f>
        <v>估价对象所在区域基础设施水平</v>
      </c>
    </row>
    <row r="21" spans="1:18" ht="28.5">
      <c r="A21" s="645"/>
      <c r="B21" s="1792" t="s">
        <v>2096</v>
      </c>
      <c r="C21" s="136" t="str">
        <f>C7</f>
        <v>估价对象所在区域公共配套设施齐备情况</v>
      </c>
      <c r="D21" s="2365"/>
      <c r="E21" s="2401"/>
      <c r="F21" s="2402" t="s">
        <v>2116</v>
      </c>
      <c r="G21" s="2403"/>
    </row>
    <row r="22" spans="1:18" ht="13.5" customHeight="1">
      <c r="A22" s="645"/>
      <c r="B22" s="1792" t="s">
        <v>2099</v>
      </c>
      <c r="C22" s="136" t="str">
        <f>C8</f>
        <v>估价对象所在区域基础设施水平</v>
      </c>
      <c r="D22" s="2365"/>
      <c r="E22" s="2401"/>
      <c r="F22" s="2402" t="s">
        <v>2105</v>
      </c>
      <c r="G22" s="1566"/>
    </row>
    <row r="23" spans="1:18" s="2362" customFormat="1" ht="15.75" thickBot="1">
      <c r="A23" s="645"/>
      <c r="B23" s="2402" t="s">
        <v>2116</v>
      </c>
      <c r="C23" s="2403"/>
      <c r="D23" s="2390"/>
      <c r="E23" s="2404"/>
      <c r="F23" s="2405" t="s">
        <v>2117</v>
      </c>
      <c r="G23" s="2406"/>
      <c r="H23" s="2390"/>
      <c r="I23" s="2391"/>
      <c r="J23" s="2390"/>
      <c r="K23" s="2390"/>
      <c r="L23" s="2391"/>
      <c r="M23" s="2390"/>
      <c r="N23" s="2390"/>
      <c r="O23" s="2391"/>
      <c r="P23" s="2390"/>
      <c r="Q23" s="2390"/>
      <c r="R23" s="2392"/>
    </row>
    <row r="24" spans="1:18" s="2362" customFormat="1" ht="15.75" thickBot="1">
      <c r="A24" s="2407"/>
      <c r="B24" s="2405" t="s">
        <v>2118</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4704.8599999999997</v>
      </c>
      <c r="C1" s="1739"/>
      <c r="D1" s="1739"/>
      <c r="E1" s="1739"/>
      <c r="F1" s="1739"/>
      <c r="G1" s="1737"/>
    </row>
    <row r="2" spans="1:10" ht="16.5">
      <c r="A2" s="1740" t="s">
        <v>1353</v>
      </c>
      <c r="B2" s="1740">
        <f>SUM(C14:C23)</f>
        <v>2957.47</v>
      </c>
      <c r="C2" s="1739"/>
      <c r="D2" s="1739"/>
      <c r="E2" s="1739"/>
      <c r="F2" s="1739"/>
      <c r="G2" s="1737"/>
    </row>
    <row r="3" spans="1:10" ht="16.5">
      <c r="A3" s="1740" t="s">
        <v>1362</v>
      </c>
      <c r="B3" s="1741">
        <f>项目基本情况!D3</f>
        <v>43238</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10049</v>
      </c>
      <c r="C5" s="1740">
        <f ca="1">ROUND(B5*10000/$B$1,0)</f>
        <v>21359</v>
      </c>
      <c r="D5" s="1740">
        <f ca="1">ROUND(B5*10000/$B$2,0)</f>
        <v>33978</v>
      </c>
      <c r="E5" s="1739"/>
      <c r="F5" s="1737"/>
      <c r="G5" s="1737"/>
    </row>
    <row r="6" spans="1:10" ht="16.5">
      <c r="A6" s="1740" t="s">
        <v>1356</v>
      </c>
      <c r="B6" s="1740">
        <f ca="1">SUM(G14:G23)</f>
        <v>10049</v>
      </c>
      <c r="C6" s="1740">
        <f ca="1">ROUND(B6*10000/$B$1,0)</f>
        <v>21359</v>
      </c>
      <c r="D6" s="1740">
        <f ca="1">ROUND(B6*10000/$B$2,0)</f>
        <v>33978</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4704.8599999999997</v>
      </c>
      <c r="C14" s="1738">
        <f>结果表!C118</f>
        <v>2957.47</v>
      </c>
      <c r="D14" s="1738">
        <f ca="1">结果表!H118</f>
        <v>10049</v>
      </c>
      <c r="E14" s="1738">
        <f ca="1">ROUND(D14*10000/B14,0)</f>
        <v>21359</v>
      </c>
      <c r="F14" s="1738">
        <f ca="1">ROUND(D14*10000/C14,0)</f>
        <v>33978</v>
      </c>
      <c r="G14" s="1738">
        <f ca="1">结果表!D122</f>
        <v>10049</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5" zoomScaleNormal="100" zoomScaleSheetLayoutView="100" zoomScalePageLayoutView="80" workbookViewId="0">
      <selection activeCell="H119" sqref="H119:I1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2119</v>
      </c>
      <c r="B1" s="2413"/>
      <c r="C1" s="2414"/>
      <c r="D1" s="2413"/>
      <c r="E1" s="2413"/>
      <c r="F1" s="2415" t="s">
        <v>2120</v>
      </c>
      <c r="G1" s="2065" t="s">
        <v>3068</v>
      </c>
      <c r="H1" s="2416" t="str">
        <f>IF(G1="现房","——","估价对象范围")</f>
        <v>——</v>
      </c>
      <c r="I1" s="2417"/>
    </row>
    <row r="2" spans="1:12" ht="21.75" customHeight="1" thickBot="1">
      <c r="A2" s="3126" t="str">
        <f>项目基本情况!S2</f>
        <v>北京市朝阳区建国路管庄6号房地产</v>
      </c>
      <c r="B2" s="3127"/>
      <c r="C2" s="3127"/>
      <c r="D2" s="3127"/>
      <c r="E2" s="3127"/>
      <c r="F2" s="3127"/>
      <c r="G2" s="3127"/>
      <c r="H2" s="3127"/>
      <c r="I2" s="3128"/>
    </row>
    <row r="3" spans="1:12" ht="12.75">
      <c r="A3" s="3129" t="s">
        <v>2121</v>
      </c>
      <c r="B3" s="3130"/>
      <c r="C3" s="3130"/>
      <c r="D3" s="3130"/>
      <c r="E3" s="3130"/>
      <c r="F3" s="3130"/>
      <c r="G3" s="3130"/>
      <c r="H3" s="3130"/>
      <c r="I3" s="3130"/>
    </row>
    <row r="4" spans="1:12" ht="14.25">
      <c r="A4" s="2420" t="s">
        <v>2122</v>
      </c>
      <c r="B4" s="2421" t="s">
        <v>2123</v>
      </c>
      <c r="C4" s="2422" t="s">
        <v>3081</v>
      </c>
      <c r="D4" s="2422" t="s">
        <v>3082</v>
      </c>
      <c r="E4" s="3110" t="s">
        <v>2124</v>
      </c>
      <c r="F4" s="3123"/>
      <c r="G4" s="3123"/>
      <c r="H4" s="3123"/>
      <c r="I4" s="3111"/>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2125</v>
      </c>
      <c r="B5" s="3027">
        <v>25</v>
      </c>
      <c r="C5" s="3131"/>
      <c r="D5" s="3119"/>
      <c r="E5" s="140" t="s">
        <v>2126</v>
      </c>
      <c r="F5" s="2424"/>
      <c r="G5" s="2424"/>
      <c r="H5" s="2424"/>
      <c r="I5" s="1828"/>
    </row>
    <row r="6" spans="1:12" ht="12.75">
      <c r="A6" s="3101"/>
      <c r="B6" s="3027"/>
      <c r="C6" s="3133"/>
      <c r="D6" s="3119"/>
      <c r="E6" s="140" t="s">
        <v>2127</v>
      </c>
      <c r="F6" s="2424"/>
      <c r="G6" s="2424"/>
      <c r="H6" s="2424"/>
      <c r="I6" s="1828"/>
    </row>
    <row r="7" spans="1:12" ht="12.75">
      <c r="A7" s="3101"/>
      <c r="B7" s="3027"/>
      <c r="C7" s="3132"/>
      <c r="D7" s="3119"/>
      <c r="E7" s="140" t="s">
        <v>2128</v>
      </c>
      <c r="F7" s="2424"/>
      <c r="G7" s="2424"/>
      <c r="H7" s="2424"/>
      <c r="I7" s="1828"/>
    </row>
    <row r="8" spans="1:12" ht="12.75">
      <c r="A8" s="3101" t="s">
        <v>2129</v>
      </c>
      <c r="B8" s="3027">
        <v>15</v>
      </c>
      <c r="C8" s="3131"/>
      <c r="D8" s="3119"/>
      <c r="E8" s="140" t="s">
        <v>2130</v>
      </c>
      <c r="F8" s="2424"/>
      <c r="G8" s="2424"/>
      <c r="H8" s="2424"/>
      <c r="I8" s="1828"/>
    </row>
    <row r="9" spans="1:12" ht="12.75">
      <c r="A9" s="3101"/>
      <c r="B9" s="3027"/>
      <c r="C9" s="3132"/>
      <c r="D9" s="3119"/>
      <c r="E9" s="140" t="s">
        <v>2131</v>
      </c>
      <c r="F9" s="2424"/>
      <c r="G9" s="2424"/>
      <c r="H9" s="2424"/>
      <c r="I9" s="1828"/>
    </row>
    <row r="10" spans="1:12" ht="12.75">
      <c r="A10" s="3101" t="s">
        <v>2132</v>
      </c>
      <c r="B10" s="3027">
        <v>15</v>
      </c>
      <c r="C10" s="3131"/>
      <c r="D10" s="3119"/>
      <c r="E10" s="140" t="s">
        <v>2133</v>
      </c>
      <c r="F10" s="2424"/>
      <c r="G10" s="2424"/>
      <c r="H10" s="2424"/>
      <c r="I10" s="1828"/>
    </row>
    <row r="11" spans="1:12" ht="12.75">
      <c r="A11" s="3101"/>
      <c r="B11" s="3027"/>
      <c r="C11" s="3132"/>
      <c r="D11" s="3119"/>
      <c r="E11" s="140" t="s">
        <v>2134</v>
      </c>
      <c r="F11" s="2424"/>
      <c r="G11" s="2424"/>
      <c r="H11" s="2424"/>
      <c r="I11" s="1828"/>
    </row>
    <row r="12" spans="1:12" ht="12.75">
      <c r="A12" s="3101" t="s">
        <v>2135</v>
      </c>
      <c r="B12" s="3027">
        <v>15</v>
      </c>
      <c r="C12" s="3131"/>
      <c r="D12" s="3119"/>
      <c r="E12" s="140" t="s">
        <v>2136</v>
      </c>
      <c r="F12" s="2424"/>
      <c r="G12" s="2424"/>
      <c r="H12" s="2424"/>
      <c r="I12" s="1828"/>
    </row>
    <row r="13" spans="1:12" ht="12.75">
      <c r="A13" s="3101"/>
      <c r="B13" s="3027"/>
      <c r="C13" s="3132"/>
      <c r="D13" s="3119"/>
      <c r="E13" s="140" t="s">
        <v>2137</v>
      </c>
      <c r="F13" s="2424"/>
      <c r="G13" s="2424"/>
      <c r="H13" s="2424"/>
      <c r="I13" s="1828"/>
    </row>
    <row r="14" spans="1:12" ht="12.75">
      <c r="A14" s="3101" t="s">
        <v>2138</v>
      </c>
      <c r="B14" s="3027">
        <v>30</v>
      </c>
      <c r="C14" s="3131">
        <v>5</v>
      </c>
      <c r="D14" s="3119">
        <v>5</v>
      </c>
      <c r="E14" s="140" t="s">
        <v>2139</v>
      </c>
      <c r="F14" s="2424"/>
      <c r="G14" s="2424"/>
      <c r="H14" s="2424"/>
      <c r="I14" s="1828"/>
    </row>
    <row r="15" spans="1:12" ht="12.75">
      <c r="A15" s="3101"/>
      <c r="B15" s="3027"/>
      <c r="C15" s="3133"/>
      <c r="D15" s="3119"/>
      <c r="E15" s="140" t="s">
        <v>2140</v>
      </c>
      <c r="F15" s="2424"/>
      <c r="G15" s="2424"/>
      <c r="H15" s="2424"/>
      <c r="I15" s="1828"/>
    </row>
    <row r="16" spans="1:12" ht="12.75">
      <c r="A16" s="3101"/>
      <c r="B16" s="3027"/>
      <c r="C16" s="3132"/>
      <c r="D16" s="3119"/>
      <c r="E16" s="140" t="s">
        <v>2141</v>
      </c>
      <c r="F16" s="2424"/>
      <c r="G16" s="2424"/>
      <c r="H16" s="2424"/>
      <c r="I16" s="1828"/>
    </row>
    <row r="17" spans="1:35" ht="15">
      <c r="A17" s="2425" t="s">
        <v>2142</v>
      </c>
      <c r="B17" s="64"/>
      <c r="C17" s="141">
        <f>SUM(C5:C16)</f>
        <v>5</v>
      </c>
      <c r="D17" s="141">
        <f>SUM(D5:D16)</f>
        <v>5</v>
      </c>
      <c r="E17" s="138"/>
      <c r="F17" s="138"/>
      <c r="G17" s="138"/>
      <c r="H17" s="138"/>
      <c r="I17" s="138"/>
      <c r="K17" s="2423"/>
      <c r="L17" s="2426" t="s">
        <v>2143</v>
      </c>
      <c r="M17" s="2426" t="s">
        <v>2144</v>
      </c>
    </row>
    <row r="18" spans="1:35" ht="15.75" thickBot="1">
      <c r="A18" s="2427" t="s">
        <v>2145</v>
      </c>
      <c r="B18" s="2428"/>
      <c r="C18" s="142">
        <f>ROUND(C17/SUM(C17:D17),2)</f>
        <v>0.5</v>
      </c>
      <c r="D18" s="142">
        <f>1-C18</f>
        <v>0.5</v>
      </c>
      <c r="E18" s="138"/>
      <c r="F18" s="138"/>
      <c r="G18" s="138"/>
      <c r="H18" s="138"/>
      <c r="I18" s="138"/>
      <c r="K18" s="2423" t="s">
        <v>2146</v>
      </c>
      <c r="L18" s="2423">
        <f>IF(C1="",'数据-汇总表'!E3,SUMIF(项目类型,C1,'数据-汇总表'!E17:E26)+SUMIF(项目类型,C1,'数据-汇总表'!I17:I26))</f>
        <v>4704.8599999999997</v>
      </c>
      <c r="M18" s="2423">
        <f>IF(C1="",'数据-汇总表'!E3,SUMIF(项目类型,C1,'数据-汇总表'!E17:E26))</f>
        <v>4704.8599999999997</v>
      </c>
    </row>
    <row r="19" spans="1:35" ht="15">
      <c r="A19" s="2429" t="s">
        <v>2147</v>
      </c>
      <c r="B19" s="2430" t="s">
        <v>2148</v>
      </c>
      <c r="C19" s="143">
        <f ca="1">SUMIF(INDIRECT("'"&amp;C4&amp;"'"&amp;"!A:A"),结果表!B19,INDIRECT("'"&amp;C4&amp;"'"&amp;"!B:B"))</f>
        <v>10299</v>
      </c>
      <c r="D19" s="144">
        <f ca="1">SUMIF(INDIRECT("'"&amp;D4&amp;"'"&amp;"!A:A"),结果表!B19,INDIRECT("'"&amp;D4&amp;"'"&amp;"!B:B"))</f>
        <v>13128</v>
      </c>
      <c r="E19" s="2429" t="s">
        <v>2149</v>
      </c>
      <c r="F19" s="2430" t="s">
        <v>2148</v>
      </c>
      <c r="G19" s="145">
        <f ca="1">ROUND(C19*$C$18+D19*$D$18,0)</f>
        <v>11714</v>
      </c>
      <c r="H19" s="2431" t="s">
        <v>2150</v>
      </c>
      <c r="I19" s="138"/>
      <c r="J19" s="795">
        <f ca="1">G19-D30</f>
        <v>10049</v>
      </c>
      <c r="K19" s="2423" t="s">
        <v>2151</v>
      </c>
      <c r="L19" s="2423">
        <f>IF(C1="",'数据-汇总表'!D3,SUMIF(项目类型,C1,'数据-汇总表'!D17:D26)+SUMIF(项目类型,C1,'数据-汇总表'!H17:H27))</f>
        <v>2957.47</v>
      </c>
      <c r="M19" s="2423">
        <f>IF(C1="",'数据-汇总表'!D3,SUMIF(项目类型,C1,'数据-汇总表'!D17:D26))</f>
        <v>2957.47</v>
      </c>
    </row>
    <row r="20" spans="1:35" ht="15">
      <c r="A20" s="2432"/>
      <c r="B20" s="1244" t="s">
        <v>2152</v>
      </c>
      <c r="C20" s="146">
        <f ca="1">SUMIF(INDIRECT("'"&amp;C4&amp;"'"&amp;"!A:A"),结果表!B20,INDIRECT("'"&amp;C4&amp;"'"&amp;"!B:B"))</f>
        <v>21890</v>
      </c>
      <c r="D20" s="147">
        <f ca="1">SUMIF(INDIRECT("'"&amp;D4&amp;"'"&amp;"!A:A"),结果表!B20,INDIRECT("'"&amp;D4&amp;"'"&amp;"!B:B"))</f>
        <v>27903</v>
      </c>
      <c r="E20" s="2432"/>
      <c r="F20" s="1244" t="s">
        <v>2152</v>
      </c>
      <c r="G20" s="148">
        <f ca="1">ROUND(C20*$C$18+D20*$D$18,0)</f>
        <v>24897</v>
      </c>
      <c r="H20" s="977" t="s">
        <v>2153</v>
      </c>
      <c r="I20" s="138"/>
    </row>
    <row r="21" spans="1:35" ht="15" customHeight="1" thickBot="1">
      <c r="A21" s="997"/>
      <c r="B21" s="2433" t="s">
        <v>2154</v>
      </c>
      <c r="C21" s="789">
        <f ca="1">ROUND(C19*10000/L19,0)</f>
        <v>34824</v>
      </c>
      <c r="D21" s="790">
        <f ca="1">ROUND(D19*10000/L19,0)</f>
        <v>44389</v>
      </c>
      <c r="E21" s="997"/>
      <c r="F21" s="2433" t="s">
        <v>2154</v>
      </c>
      <c r="G21" s="149">
        <f ca="1">ROUND(G19*10000/L19,0)</f>
        <v>39608</v>
      </c>
      <c r="H21" s="2434" t="s">
        <v>2153</v>
      </c>
      <c r="I21" s="138"/>
    </row>
    <row r="22" spans="1:35" ht="15" thickBot="1">
      <c r="A22" s="2275" t="s">
        <v>2155</v>
      </c>
      <c r="B22" s="2435"/>
      <c r="C22" s="2436"/>
      <c r="D22" s="791">
        <f ca="1">IF(C19&lt;D19,D19/C19-1,C19/D19-1)</f>
        <v>0.27468686280221388</v>
      </c>
      <c r="E22" s="138"/>
      <c r="F22" s="138"/>
      <c r="G22" s="138"/>
      <c r="H22" s="138"/>
      <c r="I22" s="138"/>
    </row>
    <row r="23" spans="1:35" ht="13.5" thickBot="1">
      <c r="A23" s="2413"/>
      <c r="B23" s="2413"/>
      <c r="C23" s="2413"/>
      <c r="D23" s="2413"/>
      <c r="E23" s="138"/>
      <c r="F23" s="138"/>
      <c r="G23" s="138"/>
      <c r="H23" s="138"/>
      <c r="I23" s="138"/>
    </row>
    <row r="24" spans="1:35" ht="14.25">
      <c r="A24" s="3140" t="s">
        <v>2156</v>
      </c>
      <c r="B24" s="2430" t="s">
        <v>2148</v>
      </c>
      <c r="C24" s="145">
        <f ca="1">IF(B30=0,0,D30)</f>
        <v>1665</v>
      </c>
      <c r="D24" s="2437"/>
      <c r="E24" s="138"/>
      <c r="F24" s="138"/>
      <c r="G24" s="138"/>
      <c r="H24" s="138"/>
      <c r="I24" s="138"/>
    </row>
    <row r="25" spans="1:35" ht="14.25">
      <c r="A25" s="3141"/>
      <c r="B25" s="1244" t="s">
        <v>2152</v>
      </c>
      <c r="C25" s="150">
        <f>IF(B30=0,0,C30)</f>
        <v>0</v>
      </c>
      <c r="D25" s="2438"/>
      <c r="E25" s="138"/>
      <c r="F25" s="138"/>
      <c r="G25" s="138"/>
      <c r="H25" s="138"/>
      <c r="I25" s="138"/>
    </row>
    <row r="26" spans="1:35" ht="13.5" customHeight="1">
      <c r="A26" s="2439" t="s">
        <v>2157</v>
      </c>
      <c r="B26" s="151" t="s">
        <v>2158</v>
      </c>
      <c r="C26" s="151" t="s">
        <v>2159</v>
      </c>
      <c r="D26" s="152" t="s">
        <v>2160</v>
      </c>
      <c r="E26" s="138"/>
      <c r="F26" s="138"/>
      <c r="G26" s="138"/>
      <c r="H26" s="138"/>
      <c r="I26" s="138"/>
    </row>
    <row r="27" spans="1:35" ht="14.25">
      <c r="A27" s="2439"/>
      <c r="B27" s="151">
        <f>'数据-汇总表'!E3</f>
        <v>4704.8599999999997</v>
      </c>
      <c r="C27" s="151">
        <v>0</v>
      </c>
      <c r="D27" s="152">
        <f ca="1">ROUND(SUM(基准地价修正!V2:V5)*0.25*1.0305,0)</f>
        <v>1665</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2161</v>
      </c>
      <c r="B30" s="151">
        <f>B27</f>
        <v>4704.8599999999997</v>
      </c>
      <c r="C30" s="151"/>
      <c r="D30" s="151">
        <f ca="1">D27</f>
        <v>1665</v>
      </c>
      <c r="E30" s="2922" t="s">
        <v>3039</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2162</v>
      </c>
      <c r="B32" s="2443"/>
      <c r="C32" s="153">
        <f ca="1">IF(D32="总价",G19-C24,G20-C25)</f>
        <v>10049</v>
      </c>
      <c r="D32" s="2444" t="s">
        <v>2163</v>
      </c>
      <c r="E32" s="138"/>
      <c r="F32" s="138"/>
      <c r="G32" s="138"/>
      <c r="H32" s="138"/>
      <c r="I32" s="138"/>
    </row>
    <row r="33" spans="1:15" ht="15">
      <c r="A33" s="954" t="s">
        <v>2164</v>
      </c>
      <c r="B33" s="2445"/>
      <c r="C33" s="2446" t="s">
        <v>3099</v>
      </c>
      <c r="D33" s="2447" t="s">
        <v>3081</v>
      </c>
      <c r="E33" s="2448" t="s">
        <v>2165</v>
      </c>
      <c r="F33" s="2449" t="str">
        <f>IF(D32="楼面单价","取值（单价）","取值（总价）")</f>
        <v>取值（总价）</v>
      </c>
      <c r="G33" s="138"/>
      <c r="H33" s="138"/>
      <c r="I33" s="138"/>
    </row>
    <row r="34" spans="1:15" ht="15">
      <c r="A34" s="2450"/>
      <c r="B34" s="2451" t="s">
        <v>2166</v>
      </c>
      <c r="C34" s="157">
        <f ca="1">IF(C33="自定义",F34,C32-C35)</f>
        <v>8682</v>
      </c>
      <c r="D34" s="1052">
        <f ca="1">IF(C33="自定义",ROUND(C34/C32,3),IF(C33="收益比率",SUMIF(INDIRECT("'"&amp;D33&amp;"'"&amp;"!b:b"),"土地收益比率",INDIRECT("'"&amp;D33&amp;"'"&amp;"!c:c")),SUMIF(INDIRECT("'"&amp;D33&amp;"'"&amp;"!b:b"),"土地成本比率",INDIRECT("'"&amp;D33&amp;"'"&amp;"!c:c"))))</f>
        <v>0.86399999999999999</v>
      </c>
      <c r="E34" s="2452" t="s">
        <v>2167</v>
      </c>
      <c r="F34" s="1733"/>
      <c r="G34" s="138"/>
      <c r="H34" s="138"/>
      <c r="I34" s="138"/>
    </row>
    <row r="35" spans="1:15" ht="15.75" thickBot="1">
      <c r="A35" s="2453"/>
      <c r="B35" s="2454" t="s">
        <v>2168</v>
      </c>
      <c r="C35" s="1438">
        <f ca="1">IF(C33="自定义",F35,ROUND(C32*D35,0))</f>
        <v>1367</v>
      </c>
      <c r="D35" s="1439">
        <f ca="1">IF(C33="自定义",ROUND(C35/C32,3),IF(C33="收益比率",SUMIF(INDIRECT("'"&amp;D33&amp;"'"&amp;"!b:b"),"建筑物收益比率",INDIRECT("'"&amp;D33&amp;"'"&amp;"!c:c")),SUMIF(INDIRECT("'"&amp;D33&amp;"'"&amp;"!b:b"),"建筑物成本比率",INDIRECT("'"&amp;D33&amp;"'"&amp;"!c:c"))))</f>
        <v>0.13600000000000001</v>
      </c>
      <c r="E35" s="2455" t="s">
        <v>2169</v>
      </c>
      <c r="F35" s="163"/>
      <c r="G35" s="138"/>
      <c r="H35" s="138"/>
      <c r="I35" s="138"/>
    </row>
    <row r="36" spans="1:15" ht="15.75" thickBot="1">
      <c r="A36" s="3120" t="s">
        <v>2170</v>
      </c>
      <c r="B36" s="2456" t="s">
        <v>2171</v>
      </c>
      <c r="C36" s="154"/>
      <c r="D36" s="2457"/>
      <c r="E36" s="2458"/>
      <c r="F36" s="2459"/>
      <c r="G36" s="138"/>
      <c r="H36" s="138"/>
      <c r="I36" s="138"/>
    </row>
    <row r="37" spans="1:15" ht="15.75" thickBot="1">
      <c r="A37" s="3121"/>
      <c r="B37" s="2261" t="s">
        <v>2172</v>
      </c>
      <c r="C37" s="156"/>
      <c r="D37" s="1389"/>
      <c r="E37" s="1389"/>
      <c r="F37" s="2459"/>
      <c r="G37" s="138"/>
      <c r="H37" s="138"/>
      <c r="I37" s="138"/>
    </row>
    <row r="38" spans="1:15" ht="15.75" thickBot="1">
      <c r="A38" s="3122"/>
      <c r="B38" s="2460" t="s">
        <v>2173</v>
      </c>
      <c r="C38" s="727"/>
      <c r="D38" s="2461" t="s">
        <v>2174</v>
      </c>
      <c r="E38" s="1389"/>
      <c r="F38" s="2459"/>
      <c r="G38" s="138"/>
      <c r="H38" s="138"/>
      <c r="I38" s="138"/>
    </row>
    <row r="39" spans="1:15" ht="15">
      <c r="A39" s="2432" t="s">
        <v>2175</v>
      </c>
      <c r="B39" s="2462" t="s">
        <v>2176</v>
      </c>
      <c r="C39" s="2463" t="s">
        <v>2177</v>
      </c>
      <c r="D39" s="2463" t="s">
        <v>2178</v>
      </c>
      <c r="E39" s="2464" t="s">
        <v>2179</v>
      </c>
      <c r="F39" s="2459"/>
      <c r="G39" s="138"/>
      <c r="H39" s="138"/>
      <c r="I39" s="138"/>
    </row>
    <row r="40" spans="1:15" ht="14.25">
      <c r="A40" s="2465" t="s">
        <v>2180</v>
      </c>
      <c r="B40" s="158"/>
      <c r="C40" s="159"/>
      <c r="D40" s="159"/>
      <c r="E40" s="160"/>
      <c r="F40" s="2459"/>
      <c r="G40" s="138"/>
      <c r="H40" s="138"/>
      <c r="I40" s="138"/>
    </row>
    <row r="41" spans="1:15" ht="14.25">
      <c r="A41" s="2465" t="s">
        <v>2181</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hidden="1">
      <c r="A44" s="2469" t="s">
        <v>2182</v>
      </c>
      <c r="B44" s="2470"/>
      <c r="C44" s="2470"/>
      <c r="D44" s="2471"/>
      <c r="E44" s="2471"/>
      <c r="F44" s="2472"/>
      <c r="G44" s="2472"/>
      <c r="H44" s="2472"/>
      <c r="I44" s="2472"/>
      <c r="J44" s="2473" t="s">
        <v>2183</v>
      </c>
      <c r="K44" s="2474"/>
      <c r="L44" s="2474"/>
      <c r="M44" s="2474"/>
      <c r="N44" s="2474"/>
      <c r="O44" s="2474"/>
    </row>
    <row r="45" spans="1:15" ht="14.25" hidden="1" customHeight="1" thickBot="1">
      <c r="A45" s="3137" t="s">
        <v>2184</v>
      </c>
      <c r="B45" s="3138"/>
      <c r="C45" s="3139"/>
      <c r="D45" s="164">
        <f ca="1">ROUND(H101*F45,0)</f>
        <v>10049</v>
      </c>
      <c r="E45" s="165" t="s">
        <v>2185</v>
      </c>
      <c r="F45" s="166">
        <v>1</v>
      </c>
      <c r="G45" s="167" t="s">
        <v>2186</v>
      </c>
      <c r="H45" s="138"/>
      <c r="I45" s="138"/>
      <c r="J45" s="3056" t="s">
        <v>2187</v>
      </c>
      <c r="K45" s="3056"/>
      <c r="L45" s="3056"/>
      <c r="M45" s="3056"/>
      <c r="N45" s="3056"/>
      <c r="O45" s="3056"/>
    </row>
    <row r="46" spans="1:15" ht="14.25" hidden="1" customHeight="1">
      <c r="A46" s="3134" t="s">
        <v>2188</v>
      </c>
      <c r="B46" s="3135"/>
      <c r="C46" s="3135"/>
      <c r="D46" s="3135"/>
      <c r="E46" s="3135"/>
      <c r="F46" s="3135"/>
      <c r="G46" s="3136"/>
      <c r="H46" s="2475"/>
      <c r="I46" s="168"/>
      <c r="J46" s="1806">
        <v>1</v>
      </c>
      <c r="K46" s="3056" t="s">
        <v>2189</v>
      </c>
      <c r="L46" s="3056"/>
      <c r="M46" s="3057"/>
      <c r="N46" s="3057"/>
      <c r="O46" s="3057"/>
    </row>
    <row r="47" spans="1:15" ht="12" hidden="1" customHeight="1">
      <c r="A47" s="169" t="s">
        <v>2190</v>
      </c>
      <c r="B47" s="170"/>
      <c r="C47" s="171"/>
      <c r="D47" s="172" t="s">
        <v>2191</v>
      </c>
      <c r="E47" s="24" t="s">
        <v>2192</v>
      </c>
      <c r="F47" s="173" t="s">
        <v>2193</v>
      </c>
      <c r="G47" s="174" t="s">
        <v>2194</v>
      </c>
      <c r="H47" s="2475"/>
      <c r="I47" s="168"/>
      <c r="J47" s="1806">
        <v>2</v>
      </c>
      <c r="K47" s="3056" t="s">
        <v>2195</v>
      </c>
      <c r="L47" s="3056"/>
      <c r="M47" s="3058">
        <f>'数据-取费表'!B2</f>
        <v>43238</v>
      </c>
      <c r="N47" s="3058"/>
      <c r="O47" s="3058"/>
    </row>
    <row r="48" spans="1:15" ht="25.5" hidden="1">
      <c r="A48" s="3124" t="s">
        <v>2196</v>
      </c>
      <c r="B48" s="3125"/>
      <c r="C48" s="3125"/>
      <c r="D48" s="140">
        <f>IF(H48="情况1",0,IF(H48="情况2",D52,IF(H48="情况3",D53,IF(H48="情况4",D54))))</f>
        <v>0</v>
      </c>
      <c r="E48" s="1795" t="str">
        <f>IF(H48="情况4","(销售额-原购置价)×税（费）率","销售额×税（费）率")</f>
        <v>销售额×税（费）率</v>
      </c>
      <c r="F48" s="175" t="str">
        <f>IF(H48="情况1","免征",'数据-取费表'!B41)</f>
        <v>免征</v>
      </c>
      <c r="G48" s="2476" t="s">
        <v>2197</v>
      </c>
      <c r="H48" s="2477" t="s">
        <v>2198</v>
      </c>
      <c r="I48" s="2475"/>
      <c r="J48" s="1806">
        <v>3</v>
      </c>
      <c r="K48" s="3056" t="s">
        <v>2199</v>
      </c>
      <c r="L48" s="3056"/>
      <c r="M48" s="3059">
        <f ca="1">H101</f>
        <v>10049</v>
      </c>
      <c r="N48" s="3059"/>
      <c r="O48" s="3059"/>
    </row>
    <row r="49" spans="1:35" ht="25.5" hidden="1" customHeight="1">
      <c r="A49" s="176" t="s">
        <v>2200</v>
      </c>
      <c r="B49" s="3104" t="s">
        <v>2201</v>
      </c>
      <c r="C49" s="3104"/>
      <c r="D49" s="177">
        <v>0</v>
      </c>
      <c r="E49" s="23" t="s">
        <v>2202</v>
      </c>
      <c r="F49" s="28" t="s">
        <v>34</v>
      </c>
      <c r="G49" s="3085"/>
      <c r="H49" s="138"/>
      <c r="I49" s="2478"/>
      <c r="J49" s="1806">
        <v>4</v>
      </c>
      <c r="K49" s="3056" t="str">
        <f>IF(项目基本情况!E8="房地产抵押价值","房地产抵押价值","抵押担保权已注销时的房地产抵押价值")</f>
        <v>房地产抵押价值</v>
      </c>
      <c r="L49" s="3056"/>
      <c r="M49" s="3059">
        <f ca="1">IF(项目基本情况!E8="房地产抵押价值",H107,H109)</f>
        <v>10049</v>
      </c>
      <c r="N49" s="3059"/>
      <c r="O49" s="3059"/>
    </row>
    <row r="50" spans="1:35" ht="25.5" hidden="1" customHeight="1">
      <c r="A50" s="178"/>
      <c r="B50" s="3104" t="s">
        <v>2203</v>
      </c>
      <c r="C50" s="3104"/>
      <c r="D50" s="179"/>
      <c r="E50" s="31"/>
      <c r="F50" s="180"/>
      <c r="G50" s="3086"/>
      <c r="H50" s="138"/>
      <c r="I50" s="2478"/>
      <c r="J50" s="3056" t="s">
        <v>2204</v>
      </c>
      <c r="K50" s="3056"/>
      <c r="L50" s="3056"/>
      <c r="M50" s="3056"/>
      <c r="N50" s="3056"/>
      <c r="O50" s="3056"/>
    </row>
    <row r="51" spans="1:35" ht="12" hidden="1" customHeight="1">
      <c r="A51" s="181"/>
      <c r="B51" s="3104" t="s">
        <v>2205</v>
      </c>
      <c r="C51" s="3104"/>
      <c r="D51" s="182"/>
      <c r="E51" s="30"/>
      <c r="F51" s="180"/>
      <c r="G51" s="3087"/>
      <c r="H51" s="138"/>
      <c r="I51" s="2478"/>
      <c r="J51" s="2479" t="s">
        <v>2206</v>
      </c>
      <c r="K51" s="3056" t="s">
        <v>2207</v>
      </c>
      <c r="L51" s="3056"/>
      <c r="M51" s="2479" t="s">
        <v>2208</v>
      </c>
      <c r="N51" s="2479" t="s">
        <v>2209</v>
      </c>
      <c r="O51" s="2479" t="s">
        <v>2210</v>
      </c>
    </row>
    <row r="52" spans="1:35" ht="24" hidden="1" customHeight="1">
      <c r="A52" s="183" t="s">
        <v>2211</v>
      </c>
      <c r="B52" s="3104" t="s">
        <v>2212</v>
      </c>
      <c r="C52" s="3104"/>
      <c r="D52" s="182">
        <f ca="1">ROUND(D45*'数据-取费表'!B41/(1+'数据-取费表'!C42),0)</f>
        <v>536</v>
      </c>
      <c r="E52" s="11" t="s">
        <v>2213</v>
      </c>
      <c r="F52" s="184">
        <f>'数据-取费表'!B41</f>
        <v>5.6000000000000001E-2</v>
      </c>
      <c r="G52" s="2480"/>
      <c r="H52" s="138"/>
      <c r="I52" s="2478"/>
      <c r="J52" s="1806">
        <v>1</v>
      </c>
      <c r="K52" s="3079" t="s">
        <v>2214</v>
      </c>
      <c r="L52" s="3079"/>
      <c r="M52" s="1748">
        <f>D48</f>
        <v>0</v>
      </c>
      <c r="N52" s="1806" t="str">
        <f>E48</f>
        <v>销售额×税（费）率</v>
      </c>
      <c r="O52" s="1749" t="str">
        <f>F48</f>
        <v>免征</v>
      </c>
    </row>
    <row r="53" spans="1:35" ht="12" hidden="1" customHeight="1">
      <c r="A53" s="183" t="s">
        <v>2215</v>
      </c>
      <c r="B53" s="3105" t="s">
        <v>2216</v>
      </c>
      <c r="C53" s="3106"/>
      <c r="D53" s="182">
        <f ca="1">ROUND(D45*'数据-取费表'!B41/(1+'数据-取费表'!C42),0)</f>
        <v>536</v>
      </c>
      <c r="E53" s="11" t="s">
        <v>2213</v>
      </c>
      <c r="F53" s="184">
        <f>'数据-取费表'!B41</f>
        <v>5.6000000000000001E-2</v>
      </c>
      <c r="G53" s="2480"/>
      <c r="H53" s="138"/>
      <c r="I53" s="2478"/>
      <c r="J53" s="1806">
        <v>2</v>
      </c>
      <c r="K53" s="3079" t="s">
        <v>2217</v>
      </c>
      <c r="L53" s="3079"/>
      <c r="M53" s="1748">
        <f t="shared" ref="M53:O54" ca="1" si="0">D55</f>
        <v>5</v>
      </c>
      <c r="N53" s="1806" t="str">
        <f t="shared" si="0"/>
        <v>销售额×税（费）率</v>
      </c>
      <c r="O53" s="1749">
        <f t="shared" si="0"/>
        <v>5.0000000000000001E-4</v>
      </c>
    </row>
    <row r="54" spans="1:35" ht="12" hidden="1" customHeight="1">
      <c r="A54" s="183" t="s">
        <v>2218</v>
      </c>
      <c r="B54" s="3105" t="s">
        <v>2219</v>
      </c>
      <c r="C54" s="3106"/>
      <c r="D54" s="182">
        <f ca="1">C68</f>
        <v>536</v>
      </c>
      <c r="E54" s="30" t="s">
        <v>2220</v>
      </c>
      <c r="F54" s="184">
        <f>'数据-取费表'!B41</f>
        <v>5.6000000000000001E-2</v>
      </c>
      <c r="G54" s="2480"/>
      <c r="H54" s="2481"/>
      <c r="I54" s="2478"/>
      <c r="J54" s="1806">
        <v>3</v>
      </c>
      <c r="K54" s="3079" t="s">
        <v>2221</v>
      </c>
      <c r="L54" s="3079"/>
      <c r="M54" s="1748">
        <f t="shared" ca="1" si="0"/>
        <v>5688</v>
      </c>
      <c r="N54" s="1806" t="str">
        <f t="shared" si="0"/>
        <v>增值额×税（费）率</v>
      </c>
      <c r="O54" s="1750" t="str">
        <f t="shared" si="0"/>
        <v>——</v>
      </c>
    </row>
    <row r="55" spans="1:35" ht="24" hidden="1" customHeight="1">
      <c r="A55" s="3143" t="s">
        <v>2222</v>
      </c>
      <c r="B55" s="3125"/>
      <c r="C55" s="3125"/>
      <c r="D55" s="185">
        <f ca="1">IF(H55="个人住宅",0,ROUND(D45*I55,0))</f>
        <v>5</v>
      </c>
      <c r="E55" s="11" t="s">
        <v>2223</v>
      </c>
      <c r="F55" s="184">
        <f>IF(H55="正常",I55,"免征")</f>
        <v>5.0000000000000001E-4</v>
      </c>
      <c r="G55" s="2480"/>
      <c r="H55" s="2477" t="s">
        <v>2224</v>
      </c>
      <c r="I55" s="186">
        <f>'数据-取费表'!B49</f>
        <v>5.0000000000000001E-4</v>
      </c>
      <c r="J55" s="1806" t="str">
        <f>IF(H59="非个人房产","",4)</f>
        <v/>
      </c>
      <c r="K55" s="3079" t="str">
        <f>IF(H59="非个人房产","——","个人所得税")</f>
        <v>——</v>
      </c>
      <c r="L55" s="3079"/>
      <c r="M55" s="1751" t="str">
        <f>D59</f>
        <v>——</v>
      </c>
      <c r="N55" s="1804" t="str">
        <f>E59</f>
        <v>——</v>
      </c>
      <c r="O55" s="1752" t="str">
        <f>F59</f>
        <v>——</v>
      </c>
    </row>
    <row r="56" spans="1:35" ht="24.75" hidden="1">
      <c r="A56" s="3143" t="s">
        <v>2225</v>
      </c>
      <c r="B56" s="3125"/>
      <c r="C56" s="3125"/>
      <c r="D56" s="185">
        <f ca="1">IF(H56="个人住宅",D57,D58)</f>
        <v>5688</v>
      </c>
      <c r="E56" s="11" t="s">
        <v>2226</v>
      </c>
      <c r="F56" s="184" t="str">
        <f>IF(H56="正常",F58,"免征")</f>
        <v>——</v>
      </c>
      <c r="G56" s="2482" t="s">
        <v>2227</v>
      </c>
      <c r="H56" s="2483" t="s">
        <v>2224</v>
      </c>
      <c r="I56" s="2484"/>
      <c r="J56" s="1806" t="str">
        <f>IF(项目基本情况!K6="上海银行",IF(J55="",4,J55+1),"")</f>
        <v/>
      </c>
      <c r="K56" s="3062" t="str">
        <f>IF(项目基本情况!K6="上海银行","其他处置费用","")</f>
        <v/>
      </c>
      <c r="L56" s="3063"/>
      <c r="M56" s="1748" t="str">
        <f>IF(项目基本情况!K6="上海银行",M69,"")</f>
        <v/>
      </c>
      <c r="N56" s="3065" t="str">
        <f>IF(项目基本情况!K6="上海银行","包含处置中涉及的律师、诉讼、拍卖、评估等费用","")</f>
        <v/>
      </c>
      <c r="O56" s="3066"/>
    </row>
    <row r="57" spans="1:35" ht="12.75" hidden="1">
      <c r="A57" s="183" t="s">
        <v>2200</v>
      </c>
      <c r="B57" s="3110" t="s">
        <v>2228</v>
      </c>
      <c r="C57" s="3111"/>
      <c r="D57" s="187">
        <v>0</v>
      </c>
      <c r="E57" s="23" t="s">
        <v>2202</v>
      </c>
      <c r="F57" s="155"/>
      <c r="G57" s="2480"/>
      <c r="H57" s="2484"/>
      <c r="I57" s="2484"/>
      <c r="J57" s="3079">
        <f>IF(AND(J55="",J56=""),4,IF(项目基本情况!K6="上海银行",结果表!J56+1,结果表!J55+1))</f>
        <v>4</v>
      </c>
      <c r="K57" s="3079" t="s">
        <v>2229</v>
      </c>
      <c r="L57" s="2485" t="s">
        <v>2230</v>
      </c>
      <c r="M57" s="1753"/>
      <c r="N57" s="1754">
        <f ca="1">SUMIF(M52:M56,"&lt;9e307")</f>
        <v>5693</v>
      </c>
      <c r="O57" s="2486"/>
      <c r="P57" s="1747">
        <f ca="1">N57/M49</f>
        <v>0.56652403224201409</v>
      </c>
    </row>
    <row r="58" spans="1:35" ht="24.75" hidden="1">
      <c r="A58" s="183" t="s">
        <v>2211</v>
      </c>
      <c r="B58" s="3110" t="s">
        <v>2231</v>
      </c>
      <c r="C58" s="3123"/>
      <c r="D58" s="185">
        <f ca="1">IF(H58="转让取得",C81,C97)</f>
        <v>5688</v>
      </c>
      <c r="E58" s="11" t="s">
        <v>2226</v>
      </c>
      <c r="F58" s="24" t="s">
        <v>34</v>
      </c>
      <c r="G58" s="2480"/>
      <c r="H58" s="2483" t="s">
        <v>2232</v>
      </c>
      <c r="I58" s="2484"/>
      <c r="J58" s="3079"/>
      <c r="K58" s="3079"/>
      <c r="L58" s="2485" t="s">
        <v>2233</v>
      </c>
      <c r="M58" s="1755"/>
      <c r="N58" s="2487" t="str">
        <f ca="1">NUMBERSTRING(INT(N57*10000),2)&amp;"元整"</f>
        <v>伍仟陆佰玖拾叁万元整</v>
      </c>
      <c r="O58" s="2488"/>
    </row>
    <row r="59" spans="1:35" ht="24.75" hidden="1" thickBot="1">
      <c r="A59" s="3083" t="s">
        <v>2234</v>
      </c>
      <c r="B59" s="3084"/>
      <c r="C59" s="3084"/>
      <c r="D59" s="188" t="str">
        <f>IF(H59="非个人房产","——",IF(H59="个人住宅",0,ROUND(D45*I59,0)))</f>
        <v>——</v>
      </c>
      <c r="E59" s="189" t="str">
        <f>IF(H59="非个人房产","——","销售额×税（费）率")</f>
        <v>——</v>
      </c>
      <c r="F59" s="190" t="str">
        <f>IF(H59="非个人房产","——",IF(H59="个人住宅","免征",I59))</f>
        <v>——</v>
      </c>
      <c r="G59" s="2489" t="s">
        <v>2227</v>
      </c>
      <c r="H59" s="2483" t="s">
        <v>2235</v>
      </c>
      <c r="I59" s="191">
        <v>0.01</v>
      </c>
      <c r="J59" s="3081">
        <f>J57+1</f>
        <v>5</v>
      </c>
      <c r="K59" s="3079" t="s">
        <v>2236</v>
      </c>
      <c r="L59" s="1806" t="s">
        <v>2230</v>
      </c>
      <c r="M59" s="1756"/>
      <c r="N59" s="1757">
        <f ca="1">M49-N57</f>
        <v>4356</v>
      </c>
      <c r="O59" s="2490"/>
    </row>
    <row r="60" spans="1:35" ht="12" hidden="1" customHeight="1">
      <c r="A60" s="2491"/>
      <c r="B60" s="2413"/>
      <c r="C60" s="2413"/>
      <c r="D60" s="2413"/>
      <c r="E60" s="2161"/>
      <c r="F60" s="2484"/>
      <c r="G60" s="2484"/>
      <c r="H60" s="2492"/>
      <c r="I60" s="138"/>
      <c r="J60" s="3082"/>
      <c r="K60" s="3079"/>
      <c r="L60" s="2485" t="s">
        <v>2233</v>
      </c>
      <c r="M60" s="1755"/>
      <c r="N60" s="2487" t="str">
        <f ca="1">NUMBERSTRING(INT(N59*10000),2)&amp;"元整"</f>
        <v>肆仟叁佰伍拾陆万元整</v>
      </c>
      <c r="O60" s="2488"/>
    </row>
    <row r="61" spans="1:35" ht="13.5" hidden="1" thickBot="1">
      <c r="A61" s="3142" t="s">
        <v>2237</v>
      </c>
      <c r="B61" s="3142"/>
      <c r="C61" s="3142"/>
      <c r="D61" s="3142"/>
      <c r="E61" s="3142"/>
      <c r="F61" s="2484"/>
      <c r="G61" s="2484"/>
      <c r="H61" s="2492"/>
      <c r="I61" s="138"/>
      <c r="J61" s="1806">
        <f>J59+1</f>
        <v>6</v>
      </c>
      <c r="K61" s="3079" t="s">
        <v>2238</v>
      </c>
      <c r="L61" s="3079"/>
      <c r="M61" s="1758"/>
      <c r="N61" s="1759">
        <f ca="1">ROUND(N59*10000/'数据-汇总表'!E3,0)</f>
        <v>9259</v>
      </c>
      <c r="O61" s="2493"/>
    </row>
    <row r="62" spans="1:35" ht="12.75" hidden="1">
      <c r="A62" s="3099" t="s">
        <v>2239</v>
      </c>
      <c r="B62" s="3100"/>
      <c r="C62" s="1798"/>
      <c r="D62" s="1798" t="s">
        <v>2240</v>
      </c>
      <c r="E62" s="192" t="s">
        <v>2241</v>
      </c>
      <c r="F62" s="2484"/>
      <c r="G62" s="2484"/>
      <c r="H62" s="2492"/>
      <c r="I62" s="138"/>
    </row>
    <row r="63" spans="1:35" ht="12.75" hidden="1">
      <c r="A63" s="203" t="s">
        <v>775</v>
      </c>
      <c r="B63" s="193" t="s">
        <v>2242</v>
      </c>
      <c r="C63" s="194">
        <f ca="1">ROUND((C64+C65)/(1+'数据-取费表'!C42),0)</f>
        <v>9570</v>
      </c>
      <c r="D63" s="195"/>
      <c r="E63" s="196"/>
      <c r="F63" s="2484"/>
      <c r="G63" s="2484"/>
      <c r="H63" s="2492"/>
      <c r="I63" s="138"/>
      <c r="J63" s="3064" t="s">
        <v>2243</v>
      </c>
      <c r="K63" s="2494" t="s">
        <v>2244</v>
      </c>
      <c r="L63" s="1746">
        <f ca="1">IF(M49&gt;10000,M49*0.5%,IF(AND(M49&gt;1000,M49&lt;=10000),M49*1%,IF(AND(M49&gt;100,M49&lt;=1000),M49*3%,IF(AND(M49&gt;10,M49&lt;=100),M49*5%,M49*8%))))</f>
        <v>50.245000000000005</v>
      </c>
      <c r="M63" s="24">
        <f ca="1">ROUND(L63,1)</f>
        <v>50.2</v>
      </c>
      <c r="Z63" s="2418"/>
      <c r="AI63" s="2419"/>
    </row>
    <row r="64" spans="1:35" ht="14.25" hidden="1" customHeight="1">
      <c r="A64" s="197" t="s">
        <v>770</v>
      </c>
      <c r="B64" s="198" t="s">
        <v>2245</v>
      </c>
      <c r="C64" s="199">
        <f ca="1">D45</f>
        <v>10049</v>
      </c>
      <c r="D64" s="200" t="s">
        <v>32</v>
      </c>
      <c r="E64" s="201"/>
      <c r="F64" s="2484"/>
      <c r="G64" s="2484"/>
      <c r="H64" s="2492"/>
      <c r="I64" s="138"/>
      <c r="J64" s="3064"/>
      <c r="K64" s="2494" t="s">
        <v>2246</v>
      </c>
      <c r="L64" s="1746">
        <f ca="1">IF(M49&gt;2000,M49*0.5%,IF(AND(M49&gt;1000,M49&lt;=2000),M49*0.6%,IF(AND(M49&gt;500,M49&lt;=1000),M49*0.7%,IF(AND(M49&gt;200,M49&lt;=500),M49*0.8%,IF(AND(M49&gt;100,M49&lt;=200),M49*0.9%,IF(AND(M49&gt;50,M49&lt;=100),M49*1%,IF(AND(M49&gt;20,M49&lt;=50),M49*1.5%,IF(AND(M49&gt;10,M49&lt;=20),M49*2%,IF(AND(M49&gt;1,M49&lt;=10),M49*2.5%)))))))))</f>
        <v>50.245000000000005</v>
      </c>
      <c r="M64" s="24">
        <f t="shared" ref="M64:M65" ca="1" si="1">ROUND(L64,1)</f>
        <v>50.2</v>
      </c>
      <c r="N64" s="138" t="s">
        <v>2247</v>
      </c>
      <c r="Z64" s="2418"/>
      <c r="AI64" s="2419"/>
    </row>
    <row r="65" spans="1:35" ht="14.25" hidden="1" customHeight="1">
      <c r="A65" s="197" t="s">
        <v>771</v>
      </c>
      <c r="B65" s="198" t="s">
        <v>2248</v>
      </c>
      <c r="C65" s="202"/>
      <c r="D65" s="200"/>
      <c r="E65" s="201"/>
      <c r="F65" s="2484"/>
      <c r="G65" s="2484"/>
      <c r="H65" s="2492"/>
      <c r="I65" s="138"/>
      <c r="J65" s="3064"/>
      <c r="K65" s="2494" t="s">
        <v>2249</v>
      </c>
      <c r="L65" s="1746">
        <f ca="1">IF(M49&gt;1000,M49*0.1%,IF(AND(M49&gt;500,M49&lt;=1000),M49*0.5%,IF(AND(M49&gt;50,M49&lt;=500),M49*1%,IF(AND(M49&gt;1,M49&lt;=50),M49*1.5%))))</f>
        <v>10.048999999999999</v>
      </c>
      <c r="M65" s="24">
        <f t="shared" ca="1" si="1"/>
        <v>10</v>
      </c>
      <c r="N65" s="138" t="s">
        <v>2247</v>
      </c>
      <c r="Z65" s="2418"/>
      <c r="AI65" s="2419"/>
    </row>
    <row r="66" spans="1:35" ht="14.25" hidden="1" customHeight="1">
      <c r="A66" s="203" t="s">
        <v>772</v>
      </c>
      <c r="B66" s="204" t="s">
        <v>2250</v>
      </c>
      <c r="C66" s="205"/>
      <c r="D66" s="206" t="s">
        <v>32</v>
      </c>
      <c r="E66" s="1770" t="s">
        <v>1371</v>
      </c>
      <c r="F66" s="2484"/>
      <c r="G66" s="2484"/>
      <c r="H66" s="2492"/>
      <c r="I66" s="138"/>
      <c r="J66" s="3064"/>
      <c r="K66" s="2494" t="s">
        <v>2251</v>
      </c>
      <c r="L66" s="1746">
        <f ca="1">M49*0.5%</f>
        <v>50.245000000000005</v>
      </c>
      <c r="M66" s="24">
        <f ca="1">IF(L66&gt;0.5,0.5,ROUND(L66,0))</f>
        <v>0.5</v>
      </c>
      <c r="N66" s="138" t="s">
        <v>2252</v>
      </c>
      <c r="Z66" s="2418"/>
      <c r="AI66" s="2419"/>
    </row>
    <row r="67" spans="1:35" ht="14.25" hidden="1" customHeight="1">
      <c r="A67" s="203" t="s">
        <v>773</v>
      </c>
      <c r="B67" s="204" t="s">
        <v>2253</v>
      </c>
      <c r="C67" s="207">
        <f ca="1">C63-C66</f>
        <v>9570</v>
      </c>
      <c r="D67" s="200" t="s">
        <v>32</v>
      </c>
      <c r="E67" s="201"/>
      <c r="F67" s="2484"/>
      <c r="G67" s="2484"/>
      <c r="H67" s="2492"/>
      <c r="I67" s="138"/>
      <c r="J67" s="3064"/>
      <c r="K67" s="2494" t="s">
        <v>2254</v>
      </c>
      <c r="L67" s="1746">
        <f ca="1">IF(M49&gt;=10000,(8.25+(M49-10000)*0.01%),IF(AND(M49&gt;=8000,M49&lt;10000),(7.85+(M49-8000)*0.02%),IF(AND(M49&gt;=5000,M49&lt;8000),(6.65+(M49-5000)*0.04%),IF(AND(M49&gt;=2000,M49&lt;5000),(4.25+(PM49-2000)*0.08%),IF(AND(M49&gt;=1000,M49&lt;2000),(2.75+(M49-1000)*0.15%),IF(AND(M49&gt;=100,M49&lt;1000),(0.5+(M49-100)*0.25%),IF(AND(M49&gt;0,M49&lt;100),M49*0.5%)))))))</f>
        <v>8.2548999999999992</v>
      </c>
      <c r="M67" s="24">
        <f ca="1">ROUND(L67*0.9,1)</f>
        <v>7.4</v>
      </c>
      <c r="Z67" s="2418"/>
      <c r="AI67" s="2419"/>
    </row>
    <row r="68" spans="1:35" ht="14.25" hidden="1" customHeight="1" thickBot="1">
      <c r="A68" s="208" t="s">
        <v>774</v>
      </c>
      <c r="B68" s="209" t="s">
        <v>2255</v>
      </c>
      <c r="C68" s="210">
        <f ca="1">IF(C67&lt;=0,0,ROUND(C67*D68,0))</f>
        <v>536</v>
      </c>
      <c r="D68" s="211">
        <f>'数据-取费表'!B41</f>
        <v>5.6000000000000001E-2</v>
      </c>
      <c r="E68" s="212"/>
      <c r="F68" s="2484"/>
      <c r="G68" s="2484"/>
      <c r="H68" s="2492"/>
      <c r="I68" s="138"/>
      <c r="J68" s="3064"/>
      <c r="K68" s="2494" t="s">
        <v>2256</v>
      </c>
      <c r="L68" s="1746">
        <f ca="1">IF(M49&gt;10000,M49*0.5%,IF(AND(M49&gt;5000,M49&lt;=10000),M49*1%,IF(AND(M49&gt;1000,M49&lt;=5000),M49*2%,IF(AND(M49&gt;200,M49&lt;=1000),M49*3%,M49*5%))))</f>
        <v>50.245000000000005</v>
      </c>
      <c r="M68" s="24">
        <f ca="1">ROUND(L68,1)</f>
        <v>50.2</v>
      </c>
      <c r="Z68" s="2418"/>
      <c r="AI68" s="2419"/>
    </row>
    <row r="69" spans="1:35" s="2441" customFormat="1" ht="16.5" hidden="1" customHeight="1">
      <c r="A69" s="2495"/>
      <c r="B69" s="2496"/>
      <c r="C69" s="2497"/>
      <c r="D69" s="2498"/>
      <c r="E69" s="2499"/>
      <c r="F69" s="2161"/>
      <c r="G69" s="2161"/>
      <c r="H69" s="2160"/>
      <c r="I69" s="2413"/>
      <c r="J69" s="3064"/>
      <c r="K69" s="2494" t="s">
        <v>2257</v>
      </c>
      <c r="L69" s="2500"/>
      <c r="M69" s="24">
        <f ca="1">ROUND(SUM(M63:M68),0)</f>
        <v>169</v>
      </c>
      <c r="N69" s="1747">
        <f ca="1">M69/M49</f>
        <v>1.6817593790426907E-2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08" t="s">
        <v>2258</v>
      </c>
      <c r="B70" s="3109"/>
      <c r="C70" s="3109"/>
      <c r="D70" s="3109"/>
      <c r="E70" s="3109"/>
      <c r="F70" s="3109"/>
      <c r="G70" s="3109"/>
      <c r="H70" s="310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099" t="s">
        <v>2239</v>
      </c>
      <c r="B71" s="3100"/>
      <c r="C71" s="1798"/>
      <c r="D71" s="1798" t="s">
        <v>2240</v>
      </c>
      <c r="E71" s="213" t="s">
        <v>2241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2259</v>
      </c>
      <c r="C72" s="207">
        <f ca="1">ROUND(D45/(1+'数据-取费表'!C42),0)</f>
        <v>9570</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2260</v>
      </c>
      <c r="C73" s="207">
        <f ca="1">C74+C78</f>
        <v>57</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2261</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2262</v>
      </c>
      <c r="C75" s="218"/>
      <c r="D75" s="200" t="s">
        <v>32</v>
      </c>
      <c r="E75" s="219" t="s">
        <v>2263</v>
      </c>
      <c r="F75" s="2506" t="s">
        <v>2264</v>
      </c>
      <c r="G75" s="219" t="s">
        <v>2265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2266</v>
      </c>
      <c r="C76" s="200">
        <f>IF(F75="购房发票",ROUND(C75*H75*D76,0),0)</f>
        <v>0</v>
      </c>
      <c r="D76" s="222">
        <v>0.05</v>
      </c>
      <c r="E76" s="3105" t="s">
        <v>2267</v>
      </c>
      <c r="F76" s="3104"/>
      <c r="G76" s="3104"/>
      <c r="H76" s="310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8" t="s">
        <v>2270</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2271</v>
      </c>
      <c r="C78" s="225">
        <f ca="1">ROUND(D45*D78/(1+'数据-取费表'!C42),0)</f>
        <v>57</v>
      </c>
      <c r="D78" s="226">
        <f>'数据-取费表'!B43</f>
        <v>6.000000000000001E-3</v>
      </c>
      <c r="E78" s="3096" t="s">
        <v>2272</v>
      </c>
      <c r="F78" s="3097"/>
      <c r="G78" s="3097"/>
      <c r="H78" s="309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2273</v>
      </c>
      <c r="C79" s="207">
        <f ca="1">C72-C73</f>
        <v>9513</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2274</v>
      </c>
      <c r="C80" s="227">
        <f ca="1">IF(C79&lt;=0,0,C79/C73)</f>
        <v>166.89473684210526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2275</v>
      </c>
      <c r="C81" s="228">
        <f ca="1">ROUND(IF(C79&lt;=0,0,IF(C80&gt;=200%,C79*60%-C73*35%,IF(C80&gt;=100%,C79*50%-C73*15%,IF(C80&gt;=50%,C79*40%-C73*5%,IF(C80&lt;50%,C79*30%,0))))),0)</f>
        <v>5688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08" t="s">
        <v>2276</v>
      </c>
      <c r="B83" s="3109"/>
      <c r="C83" s="3109"/>
      <c r="D83" s="3109"/>
      <c r="E83" s="3109"/>
      <c r="F83" s="3109"/>
      <c r="G83" s="3109"/>
      <c r="H83" s="310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099" t="s">
        <v>2239</v>
      </c>
      <c r="B84" s="3100"/>
      <c r="C84" s="1798"/>
      <c r="D84" s="1798" t="s">
        <v>2240</v>
      </c>
      <c r="E84" s="213" t="s">
        <v>2241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2259</v>
      </c>
      <c r="C85" s="207">
        <f ca="1">ROUND(D45/(1+'数据-取费表'!C42),0)</f>
        <v>9570</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2260</v>
      </c>
      <c r="C86" s="207">
        <f ca="1">IF(H88="仅含出让金",C87+C90+C91+C92+C93+C94,C87+C91+C92+C93+C94)</f>
        <v>57</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2277</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2278</v>
      </c>
      <c r="C88" s="236"/>
      <c r="D88" s="226"/>
      <c r="E88" s="237" t="s">
        <v>2279</v>
      </c>
      <c r="F88" s="1794"/>
      <c r="G88" s="238" t="s">
        <v>2280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2268</v>
      </c>
      <c r="C89" s="225">
        <f>ROUND(C88*D89,0)</f>
        <v>0</v>
      </c>
      <c r="D89" s="226">
        <f>'数据-取费表'!B48+'数据-取费表'!B49</f>
        <v>3.0499999999999999E-2</v>
      </c>
      <c r="E89" s="237" t="s">
        <v>2281</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2282</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2283</v>
      </c>
      <c r="B91" s="198" t="s">
        <v>2284</v>
      </c>
      <c r="C91" s="225">
        <f>IF(H91="——",成本法!C33,I91)</f>
        <v>0</v>
      </c>
      <c r="D91" s="226"/>
      <c r="E91" s="3096" t="s">
        <v>2285</v>
      </c>
      <c r="F91" s="3097"/>
      <c r="G91" s="3097"/>
      <c r="H91" s="2513" t="s">
        <v>2286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2287</v>
      </c>
      <c r="B92" s="198" t="s">
        <v>2288</v>
      </c>
      <c r="C92" s="225">
        <f>ROUND((C87+C90+C91)*D92,0)</f>
        <v>0</v>
      </c>
      <c r="D92" s="226">
        <v>0.1</v>
      </c>
      <c r="E92" s="3096" t="s">
        <v>2289</v>
      </c>
      <c r="F92" s="3097"/>
      <c r="G92" s="3097"/>
      <c r="H92" s="309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2290</v>
      </c>
      <c r="B93" s="198" t="s">
        <v>2271</v>
      </c>
      <c r="C93" s="225">
        <f ca="1">ROUND(D45*D93/(1+'数据-取费表'!C42),0)</f>
        <v>57</v>
      </c>
      <c r="D93" s="226">
        <f>'数据-取费表'!B43</f>
        <v>6.000000000000001E-3</v>
      </c>
      <c r="E93" s="3096" t="s">
        <v>2272</v>
      </c>
      <c r="F93" s="3097"/>
      <c r="G93" s="3097"/>
      <c r="H93" s="309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2291</v>
      </c>
      <c r="B94" s="198" t="s">
        <v>2292</v>
      </c>
      <c r="C94" s="236">
        <f>ROUND((C87+C90+C91)*D94,0)</f>
        <v>0</v>
      </c>
      <c r="D94" s="226">
        <v>0.2</v>
      </c>
      <c r="E94" s="3144" t="s">
        <v>2293</v>
      </c>
      <c r="F94" s="3145"/>
      <c r="G94" s="3145"/>
      <c r="H94" s="314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2273</v>
      </c>
      <c r="C95" s="207">
        <f ca="1">ROUND(C85-C86,0)</f>
        <v>9513</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2274</v>
      </c>
      <c r="C96" s="227">
        <f ca="1">IF(C95&lt;=0,0,C95/C86)</f>
        <v>166.89473684210526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2275</v>
      </c>
      <c r="C97" s="228">
        <f ca="1">ROUND(IF(C95&lt;=0,0,IF(C96&gt;=200%,C95*60%-C86*35%,IF(C96&gt;=100%,C95*50%-C86*15%,IF(C96&gt;=50%,C95*40%-C86*5%,IF(C96&lt;50%,C95*30%,0))))),0)</f>
        <v>5688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1"/>
      <c r="F98" s="2161"/>
      <c r="G98" s="2161"/>
      <c r="H98" s="2160"/>
      <c r="I98" s="138"/>
    </row>
    <row r="99" spans="1:35" ht="21.75" customHeight="1" thickBot="1">
      <c r="A99" s="2469" t="s">
        <v>2294</v>
      </c>
      <c r="B99" s="2413"/>
      <c r="C99" s="2413"/>
      <c r="D99" s="2413"/>
      <c r="E99" s="2161"/>
      <c r="F99" s="2161"/>
      <c r="G99" s="2161"/>
      <c r="H99" s="2160"/>
      <c r="I99" s="138"/>
    </row>
    <row r="100" spans="1:35" ht="18.75" customHeight="1">
      <c r="A100" s="3048" t="s">
        <v>2295</v>
      </c>
      <c r="B100" s="3049"/>
      <c r="C100" s="3049"/>
      <c r="D100" s="3080"/>
      <c r="E100" s="3049" t="s">
        <v>2296</v>
      </c>
      <c r="F100" s="3049"/>
      <c r="G100" s="3049"/>
      <c r="H100" s="3080"/>
      <c r="I100" s="138"/>
    </row>
    <row r="101" spans="1:35" ht="18.75" customHeight="1">
      <c r="A101" s="3088" t="s">
        <v>2297</v>
      </c>
      <c r="B101" s="3089"/>
      <c r="C101" s="736" t="str">
        <f>C4</f>
        <v>成本法</v>
      </c>
      <c r="D101" s="737" t="str">
        <f>D4</f>
        <v>收益法（汇总）</v>
      </c>
      <c r="E101" s="3060" t="s">
        <v>2298</v>
      </c>
      <c r="F101" s="3061"/>
      <c r="G101" s="2515" t="s">
        <v>2299</v>
      </c>
      <c r="H101" s="1042">
        <f ca="1">H118</f>
        <v>10049</v>
      </c>
      <c r="I101" s="138"/>
    </row>
    <row r="102" spans="1:35" ht="18.75" customHeight="1">
      <c r="A102" s="3090" t="s">
        <v>2300</v>
      </c>
      <c r="B102" s="2515" t="s">
        <v>2299</v>
      </c>
      <c r="C102" s="736">
        <f ca="1">C19</f>
        <v>10299</v>
      </c>
      <c r="D102" s="737">
        <f ca="1">D19</f>
        <v>13128</v>
      </c>
      <c r="E102" s="3060"/>
      <c r="F102" s="3061"/>
      <c r="G102" s="2515" t="s">
        <v>2301</v>
      </c>
      <c r="H102" s="371">
        <f ca="1">I118</f>
        <v>21359</v>
      </c>
      <c r="I102" s="138"/>
    </row>
    <row r="103" spans="1:35" ht="42.75" customHeight="1">
      <c r="A103" s="3090"/>
      <c r="B103" s="2515" t="s">
        <v>2301</v>
      </c>
      <c r="C103" s="738">
        <f ca="1">C20</f>
        <v>21890</v>
      </c>
      <c r="D103" s="739">
        <f ca="1">D20</f>
        <v>27903</v>
      </c>
      <c r="E103" s="3054" t="s">
        <v>2302</v>
      </c>
      <c r="F103" s="3055"/>
      <c r="G103" s="2516" t="s">
        <v>2303</v>
      </c>
      <c r="H103" s="1042">
        <f>IF(D36="正常操作",H104+H105+H106,H105+H106)</f>
        <v>0</v>
      </c>
      <c r="I103" s="138"/>
    </row>
    <row r="104" spans="1:35" ht="18.75" customHeight="1">
      <c r="A104" s="3090" t="s">
        <v>2304</v>
      </c>
      <c r="B104" s="2517" t="s">
        <v>2299</v>
      </c>
      <c r="C104" s="740">
        <f ca="1">H118</f>
        <v>10049</v>
      </c>
      <c r="D104" s="741"/>
      <c r="E104" s="2261" t="s">
        <v>2305</v>
      </c>
      <c r="F104" s="2253"/>
      <c r="G104" s="2516" t="s">
        <v>2303</v>
      </c>
      <c r="H104" s="1043">
        <f>IF(D36="同一抵押权人同一抵押物续贷",C36&amp;"（未扣减，详见特别提示）",C36)</f>
        <v>0</v>
      </c>
      <c r="I104" s="138"/>
    </row>
    <row r="105" spans="1:35" ht="18.75" customHeight="1" thickBot="1">
      <c r="A105" s="3102"/>
      <c r="B105" s="2518" t="s">
        <v>2301</v>
      </c>
      <c r="C105" s="742">
        <f ca="1">I118</f>
        <v>21359</v>
      </c>
      <c r="D105" s="743"/>
      <c r="E105" s="2261" t="s">
        <v>2306</v>
      </c>
      <c r="F105" s="2253"/>
      <c r="G105" s="2516" t="s">
        <v>2303</v>
      </c>
      <c r="H105" s="1043">
        <f>C37</f>
        <v>0</v>
      </c>
      <c r="I105" s="138"/>
    </row>
    <row r="106" spans="1:35" ht="18.75" customHeight="1">
      <c r="A106" s="2413" t="s">
        <v>2307</v>
      </c>
      <c r="B106" s="2413"/>
      <c r="C106" s="2413"/>
      <c r="D106" s="2413"/>
      <c r="E106" s="2519" t="s">
        <v>2308</v>
      </c>
      <c r="F106" s="2253"/>
      <c r="G106" s="2516" t="s">
        <v>2303</v>
      </c>
      <c r="H106" s="1043">
        <f>C38</f>
        <v>0</v>
      </c>
      <c r="I106" s="138"/>
    </row>
    <row r="107" spans="1:35" ht="18.75" customHeight="1">
      <c r="A107" s="138"/>
      <c r="B107" s="138"/>
      <c r="C107" s="138"/>
      <c r="D107" s="138"/>
      <c r="E107" s="3091" t="str">
        <f>IF(项目基本情况!E8="已注销","——","3.房地产抵押价值")</f>
        <v>3.房地产抵押价值</v>
      </c>
      <c r="F107" s="3061"/>
      <c r="G107" s="2515" t="s">
        <v>2299</v>
      </c>
      <c r="H107" s="1042">
        <f ca="1">IF(E107="——","——",H101-H103)</f>
        <v>10049</v>
      </c>
      <c r="I107" s="138"/>
    </row>
    <row r="108" spans="1:35" ht="18.75" customHeight="1">
      <c r="A108" s="138"/>
      <c r="B108" s="138"/>
      <c r="C108" s="138"/>
      <c r="D108" s="138"/>
      <c r="E108" s="3091"/>
      <c r="F108" s="3061"/>
      <c r="G108" s="2515" t="s">
        <v>2301</v>
      </c>
      <c r="H108" s="371">
        <f ca="1">ROUND(H107*10000/'数据-汇总表'!E3,0)</f>
        <v>21359</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5" t="s">
        <v>2299</v>
      </c>
      <c r="H109" s="348" t="str">
        <f>IF(E109="——","——",H101-H105-H106)</f>
        <v>——</v>
      </c>
      <c r="I109" s="138"/>
    </row>
    <row r="110" spans="1:35" ht="18.75" customHeight="1">
      <c r="A110" s="138"/>
      <c r="B110" s="138"/>
      <c r="C110" s="138"/>
      <c r="D110" s="138"/>
      <c r="E110" s="3091"/>
      <c r="F110" s="3061"/>
      <c r="G110" s="2515" t="s">
        <v>2301</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5" t="s">
        <v>2299</v>
      </c>
      <c r="H111" s="1042" t="str">
        <f>IF(E111="——","——",N59)</f>
        <v>——</v>
      </c>
      <c r="I111" s="138"/>
    </row>
    <row r="112" spans="1:35" ht="18.75" customHeight="1" thickBot="1">
      <c r="A112" s="138"/>
      <c r="B112" s="138"/>
      <c r="C112" s="138"/>
      <c r="D112" s="138"/>
      <c r="E112" s="3094"/>
      <c r="F112" s="3095"/>
      <c r="G112" s="2520" t="s">
        <v>2301</v>
      </c>
      <c r="H112" s="790" t="str">
        <f>IF(E111="——","——",N61)</f>
        <v>——</v>
      </c>
      <c r="I112" s="138"/>
    </row>
    <row r="113" spans="1:11" ht="18.75" customHeight="1">
      <c r="A113" s="138"/>
      <c r="B113" s="138"/>
      <c r="C113" s="138"/>
      <c r="D113" s="138"/>
      <c r="E113" s="3103" t="s">
        <v>2307</v>
      </c>
      <c r="F113" s="3103"/>
      <c r="G113" s="3103"/>
      <c r="H113" s="3103"/>
      <c r="I113" s="138"/>
    </row>
    <row r="114" spans="1:11" ht="3.75" customHeight="1">
      <c r="A114" s="2413"/>
      <c r="B114" s="2413"/>
      <c r="C114" s="2413"/>
      <c r="D114" s="2413"/>
      <c r="E114" s="2491"/>
      <c r="F114" s="2491"/>
      <c r="G114" s="2491"/>
      <c r="H114" s="2491"/>
      <c r="I114" s="2413"/>
    </row>
    <row r="115" spans="1:11" ht="18.75" customHeight="1">
      <c r="A115" s="3116" t="s">
        <v>2309</v>
      </c>
      <c r="B115" s="3117"/>
      <c r="C115" s="3117"/>
      <c r="D115" s="3117"/>
      <c r="E115" s="3117"/>
      <c r="F115" s="3117"/>
      <c r="G115" s="3117"/>
      <c r="H115" s="3117"/>
      <c r="I115" s="3118"/>
    </row>
    <row r="116" spans="1:11" ht="27" customHeight="1">
      <c r="A116" s="3027" t="s">
        <v>2310</v>
      </c>
      <c r="B116" s="3070" t="s">
        <v>2311</v>
      </c>
      <c r="C116" s="3070" t="s">
        <v>2312</v>
      </c>
      <c r="D116" s="3076" t="s">
        <v>2313</v>
      </c>
      <c r="E116" s="3077"/>
      <c r="F116" s="3112" t="s">
        <v>2314</v>
      </c>
      <c r="G116" s="3112"/>
      <c r="H116" s="3027" t="s">
        <v>2315</v>
      </c>
      <c r="I116" s="3027"/>
    </row>
    <row r="117" spans="1:11" ht="18.75" customHeight="1">
      <c r="A117" s="3027"/>
      <c r="B117" s="3071"/>
      <c r="C117" s="3071"/>
      <c r="D117" s="1792" t="s">
        <v>2316</v>
      </c>
      <c r="E117" s="1792" t="s">
        <v>2317</v>
      </c>
      <c r="F117" s="1792" t="s">
        <v>2316</v>
      </c>
      <c r="G117" s="1792" t="s">
        <v>2318</v>
      </c>
      <c r="H117" s="1792" t="s">
        <v>2316</v>
      </c>
      <c r="I117" s="1792" t="s">
        <v>2318</v>
      </c>
    </row>
    <row r="118" spans="1:11" ht="24.75" customHeight="1">
      <c r="A118" s="2521" t="str">
        <f>项目基本情况!S2</f>
        <v>北京市朝阳区建国路管庄6号房地产</v>
      </c>
      <c r="B118" s="1792">
        <f>M18</f>
        <v>4704.8599999999997</v>
      </c>
      <c r="C118" s="1792">
        <f>M19</f>
        <v>2957.47</v>
      </c>
      <c r="D118" s="1792">
        <f ca="1">ROUND(IF(D32="总价",C34,E118*B118/10000),0)</f>
        <v>8682</v>
      </c>
      <c r="E118" s="1792">
        <f ca="1">ROUND(IF(C33="自定义",IF(D32="楼面单价",C34,D118*10000/B118),I118-G118),0)</f>
        <v>18453</v>
      </c>
      <c r="F118" s="1792">
        <f ca="1">ROUND(IF(D32="总价",C35,G118*B118/10000),0)</f>
        <v>1367</v>
      </c>
      <c r="G118" s="1792">
        <f ca="1">ROUND(IF(D32="楼面单价",C35,F118*10000/B118),0)</f>
        <v>2906</v>
      </c>
      <c r="H118" s="1792">
        <f ca="1">ROUND(IF(D32="总价",C32,I118*B118/10000),0)</f>
        <v>10049</v>
      </c>
      <c r="I118" s="1792">
        <f ca="1">ROUND(IF(D32="楼面单价",C32,H118*10000/B118),0)</f>
        <v>21359</v>
      </c>
    </row>
    <row r="119" spans="1:11" ht="18.75" customHeight="1">
      <c r="A119" s="3027" t="s">
        <v>2319</v>
      </c>
      <c r="B119" s="3027"/>
      <c r="C119" s="3027"/>
      <c r="D119" s="3072" t="str">
        <f ca="1">NUMBERSTRING(INT(D118*10000),2)&amp;"元整"</f>
        <v>捌仟陆佰捌拾贰万元整</v>
      </c>
      <c r="E119" s="3073"/>
      <c r="F119" s="3072" t="str">
        <f ca="1">NUMBERSTRING(INT(F118*10000),2)&amp;"元整"</f>
        <v>壹仟叁佰陆拾柒万元整</v>
      </c>
      <c r="G119" s="3073"/>
      <c r="H119" s="3072" t="str">
        <f ca="1">NUMBERSTRING(INT(H118*10000),2)&amp;"元整"</f>
        <v>壹亿零肆拾玖万元整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18" t="str">
        <f>IF(D120=0,"故，本次评估不存在"&amp;A120,"故，本次评估"&amp;A120&amp;"为人民币"&amp;D120&amp;"万元整。")</f>
        <v>故，本次评估不存在估价师知悉的法定优先受偿款</v>
      </c>
    </row>
    <row r="121" spans="1:11" ht="18.75" customHeight="1">
      <c r="A121" s="3113" t="s">
        <v>2319</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10049</v>
      </c>
      <c r="E122" s="3068"/>
      <c r="F122" s="3068"/>
      <c r="G122" s="3068"/>
      <c r="H122" s="3068"/>
      <c r="I122" s="3069"/>
    </row>
    <row r="123" spans="1:11" ht="18.75" customHeight="1">
      <c r="A123" s="3027" t="s">
        <v>2319</v>
      </c>
      <c r="B123" s="3027"/>
      <c r="C123" s="3027"/>
      <c r="D123" s="3072" t="str">
        <f ca="1">NUMBERSTRING(INT(D122*10000),2)&amp;"元整"</f>
        <v>壹亿零肆拾玖万元整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2319</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2319</v>
      </c>
      <c r="B127" s="3027"/>
      <c r="C127" s="3027"/>
      <c r="D127" s="3072" t="e">
        <f>NUMBERSTRING(INT(D126*10000),2)&amp;"元整"</f>
        <v>#VALUE!</v>
      </c>
      <c r="E127" s="3074"/>
      <c r="F127" s="3074"/>
      <c r="G127" s="3074"/>
      <c r="H127" s="3074"/>
      <c r="I127" s="3073"/>
    </row>
    <row r="128" spans="1:11" ht="21.75" customHeight="1">
      <c r="A128" s="3075" t="s">
        <v>2320</v>
      </c>
      <c r="B128" s="3075"/>
      <c r="C128" s="3075"/>
      <c r="D128" s="3075"/>
      <c r="E128" s="3075"/>
      <c r="F128" s="3075"/>
      <c r="G128" s="3075"/>
      <c r="H128" s="3075"/>
      <c r="I128" s="3075"/>
    </row>
    <row r="129" spans="1:35" ht="21.75" customHeight="1">
      <c r="A129" s="2522" t="s">
        <v>2321</v>
      </c>
      <c r="B129" s="2523"/>
      <c r="C129" s="2524" t="s">
        <v>2322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2323</v>
      </c>
      <c r="G135" s="2539"/>
      <c r="H135" s="2539"/>
      <c r="I135" s="2540" t="s">
        <v>2324</v>
      </c>
    </row>
    <row r="136" spans="1:35" ht="21.75" customHeight="1">
      <c r="A136" s="795"/>
      <c r="B136" s="2541"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2326</v>
      </c>
    </row>
    <row r="139" spans="1:35" ht="21.75" customHeight="1">
      <c r="A139" s="795"/>
      <c r="B139" s="2541" t="s">
        <v>2327</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2326</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H1" zoomScale="80" zoomScaleNormal="80" zoomScaleSheetLayoutView="96" workbookViewId="0">
      <selection activeCell="W29" sqref="W2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40" t="s">
        <v>2806</v>
      </c>
      <c r="B1" s="241"/>
      <c r="C1" s="245" t="s">
        <v>2807</v>
      </c>
      <c r="D1" s="388">
        <f>SUM(D29:D30,D33:D39)</f>
        <v>1645.9899999999998</v>
      </c>
      <c r="E1" s="2714"/>
      <c r="F1" s="2714"/>
      <c r="G1" s="2714"/>
      <c r="H1" s="2714"/>
      <c r="I1" s="2714"/>
      <c r="J1" s="2714"/>
      <c r="K1" s="1367"/>
      <c r="L1" s="2715" t="s">
        <v>2808</v>
      </c>
      <c r="M1" s="1077">
        <f>SUMPRODUCT((区片价!B5:B9=I2)*(区片价!C3:F3=E2)*(区片价!C5:F9))</f>
        <v>0</v>
      </c>
      <c r="N1" s="1080">
        <f>SUMPRODUCT((因素修正幅度!B5:B9=I2)*(因素修正幅度!C3:F3=E2)*(因素修正幅度!C5:F9))</f>
        <v>0</v>
      </c>
      <c r="O1" s="2716"/>
      <c r="P1" s="2716"/>
      <c r="Q1" s="1367"/>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f ca="1">C26</f>
        <v>3025</v>
      </c>
      <c r="C2" s="2718" t="s">
        <v>2815</v>
      </c>
      <c r="D2" s="2719" t="s">
        <v>2816</v>
      </c>
      <c r="E2" s="2720" t="s">
        <v>1377</v>
      </c>
      <c r="F2" s="2719" t="s">
        <v>2817</v>
      </c>
      <c r="G2" s="2721" t="str">
        <f>IF(E2="商业",项目基本情况!B37,IF(E2="办公",项目基本情况!C37,IF(E2="住宅",项目基本情况!D37,项目基本情况!E37)))</f>
        <v>六级</v>
      </c>
      <c r="H2" s="2719" t="s">
        <v>2818</v>
      </c>
      <c r="I2" s="2721" t="str">
        <f>IF(E2="商业",项目基本情况!B38,IF(E2="办公",项目基本情况!C38,IF(E2="住宅",项目基本情况!D38,项目基本情况!E38)))</f>
        <v>Ⅵ-19</v>
      </c>
      <c r="J2" s="2722"/>
      <c r="K2" s="1367"/>
      <c r="L2" s="2723" t="s">
        <v>2819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18377</v>
      </c>
      <c r="U2" s="1600">
        <f>1065.52+15.57+286.54+278.36</f>
        <v>1645.9899999999998</v>
      </c>
      <c r="V2" s="1599">
        <f ca="1">ROUND(T2*U2/10000,0)</f>
        <v>3025</v>
      </c>
      <c r="W2" s="1603">
        <f ca="1">T2*25%</f>
        <v>4594.25</v>
      </c>
      <c r="X2" s="1603">
        <f ca="1">U2*W2/10000*1.0305</f>
        <v>779.27332890037496</v>
      </c>
      <c r="Y2" s="1603"/>
      <c r="Z2" s="1603"/>
      <c r="AA2" s="1603"/>
      <c r="AB2" s="1603"/>
      <c r="AC2" s="1604"/>
      <c r="AD2" s="1605"/>
      <c r="AE2" s="1605"/>
      <c r="AF2" s="1605"/>
      <c r="AG2" s="1605"/>
      <c r="AH2" s="1605"/>
      <c r="AI2" s="1605"/>
      <c r="AJ2" s="1606"/>
    </row>
    <row r="3" spans="1:36" ht="15.75">
      <c r="A3" s="247" t="s">
        <v>2820</v>
      </c>
      <c r="B3" s="248">
        <f ca="1">ROUND(B2*10000/D1,0)</f>
        <v>18378</v>
      </c>
      <c r="C3" s="2718" t="s">
        <v>2821</v>
      </c>
      <c r="D3" s="2719" t="s">
        <v>2822</v>
      </c>
      <c r="E3" s="2724" t="s">
        <v>3087</v>
      </c>
      <c r="F3" s="2725" t="s">
        <v>3088</v>
      </c>
      <c r="G3" s="910">
        <f>IF(F3="宗地容积率",'数据-汇总表'!I4,IF(F3="估价对象容积率",'数据-汇总表'!I6,'数据-汇总表'!I7))</f>
        <v>1.59</v>
      </c>
      <c r="H3" s="198" t="s">
        <v>2823</v>
      </c>
      <c r="I3" s="941">
        <v>1</v>
      </c>
      <c r="J3" s="2722" t="s">
        <v>2824</v>
      </c>
      <c r="K3" s="1367"/>
      <c r="L3" s="2723" t="s">
        <v>2825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13191</v>
      </c>
      <c r="U3" s="1600">
        <f>1128.37+133.75</f>
        <v>1262.1199999999999</v>
      </c>
      <c r="V3" s="1599">
        <f t="shared" ref="V3:V16" ca="1" si="1">ROUND(T3*U3/10000,0)</f>
        <v>1665</v>
      </c>
      <c r="W3" s="1603">
        <f t="shared" ref="W3:W5" ca="1" si="2">T3*25%</f>
        <v>3297.75</v>
      </c>
      <c r="X3" s="1603">
        <f t="shared" ref="X3:X5" ca="1" si="3">U3*W3/10000*1.0305</f>
        <v>428.9101995014999</v>
      </c>
      <c r="Y3" s="1603"/>
      <c r="Z3" s="1603"/>
      <c r="AA3" s="1603"/>
      <c r="AB3" s="1603"/>
      <c r="AC3" s="1604"/>
      <c r="AD3" s="1605"/>
      <c r="AE3" s="1605"/>
      <c r="AF3" s="1605"/>
      <c r="AG3" s="1605"/>
      <c r="AH3" s="1605"/>
      <c r="AI3" s="1605"/>
      <c r="AJ3" s="1606"/>
    </row>
    <row r="4" spans="1:36" ht="15.75">
      <c r="A4" s="3263"/>
      <c r="B4" s="3264"/>
      <c r="C4" s="3264"/>
      <c r="D4" s="3265"/>
      <c r="E4" s="3265"/>
      <c r="F4" s="3265"/>
      <c r="G4" s="3265"/>
      <c r="H4" s="3265"/>
      <c r="I4" s="3265"/>
      <c r="J4" s="3266"/>
      <c r="K4" s="1367"/>
      <c r="L4" s="2723" t="s">
        <v>2826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10642</v>
      </c>
      <c r="U4" s="1600">
        <v>1128.3699999999999</v>
      </c>
      <c r="V4" s="1599">
        <f t="shared" ca="1" si="1"/>
        <v>1201</v>
      </c>
      <c r="W4" s="1603">
        <f t="shared" ca="1" si="2"/>
        <v>2660.5</v>
      </c>
      <c r="X4" s="1603">
        <f t="shared" ca="1" si="3"/>
        <v>309.35902507424998</v>
      </c>
      <c r="Y4" s="1603"/>
      <c r="Z4" s="1603"/>
      <c r="AA4" s="1603"/>
      <c r="AB4" s="1603"/>
      <c r="AC4" s="1604"/>
      <c r="AD4" s="1605"/>
      <c r="AE4" s="1605"/>
      <c r="AF4" s="1605"/>
      <c r="AG4" s="1605"/>
      <c r="AH4" s="1605"/>
      <c r="AI4" s="1605"/>
      <c r="AJ4" s="1606"/>
    </row>
    <row r="5" spans="1:36" s="2735" customFormat="1" ht="15.75" thickBot="1">
      <c r="A5" s="2726" t="s">
        <v>807</v>
      </c>
      <c r="B5" s="2727" t="s">
        <v>2827</v>
      </c>
      <c r="C5" s="911">
        <f>ROUND(IF(E2="商业",IF(F16="增加",C6*C7+C16,C6*C7-C16),IF(E2="住宅",IF(F16="增加",C6*C12+C16,C6*C12-C16),IF(F16="增加",C6+C16,C6-C16))),0)</f>
        <v>9164</v>
      </c>
      <c r="D5" s="1784">
        <f>ROUND(IF(E2="商业",IF(F16="增加",C6+C16,C6-C16)),0)</f>
        <v>9164</v>
      </c>
      <c r="E5" s="2728"/>
      <c r="F5" s="2728"/>
      <c r="G5" s="2729"/>
      <c r="H5" s="2729"/>
      <c r="I5" s="2729"/>
      <c r="J5" s="2730"/>
      <c r="K5" s="2731"/>
      <c r="L5" s="2723" t="s">
        <v>2828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8539</v>
      </c>
      <c r="U5" s="1600">
        <v>668.38</v>
      </c>
      <c r="V5" s="1599">
        <f t="shared" ca="1" si="1"/>
        <v>571</v>
      </c>
      <c r="W5" s="1603">
        <f t="shared" ca="1" si="2"/>
        <v>2134.75</v>
      </c>
      <c r="X5" s="1603">
        <f t="shared" ca="1" si="3"/>
        <v>147.03423432525</v>
      </c>
      <c r="Y5" s="1603"/>
      <c r="Z5" s="1603"/>
      <c r="AA5" s="1603"/>
      <c r="AB5" s="1603"/>
      <c r="AC5" s="2732"/>
      <c r="AD5" s="2733"/>
      <c r="AE5" s="2733"/>
      <c r="AF5" s="2733"/>
      <c r="AG5" s="2733"/>
      <c r="AH5" s="2733"/>
      <c r="AI5" s="2733"/>
      <c r="AJ5" s="2734"/>
    </row>
    <row r="6" spans="1:36" ht="15.75" thickBot="1">
      <c r="A6" s="2736" t="s">
        <v>2829</v>
      </c>
      <c r="B6" s="2737" t="s">
        <v>2830</v>
      </c>
      <c r="C6" s="912">
        <f>SUMIF(L1:L12,G2,M1:M12)</f>
        <v>9200</v>
      </c>
      <c r="D6" s="2738" t="s">
        <v>2831</v>
      </c>
      <c r="E6" s="2739"/>
      <c r="F6" s="2739"/>
      <c r="G6" s="2740"/>
      <c r="H6" s="2740"/>
      <c r="I6" s="2740"/>
      <c r="J6" s="2741"/>
      <c r="K6" s="1839"/>
      <c r="L6" s="2723" t="s">
        <v>2832</v>
      </c>
      <c r="M6" s="1078">
        <f>SUMPRODUCT((区片价!B110:B157=I2)*(区片价!C3:F3=E2)*(区片价!C110:F157))</f>
        <v>9200</v>
      </c>
      <c r="N6" s="1080">
        <f>SUMPRODUCT((因素修正幅度!B110:B157=I2)*(因素修正幅度!C3:F3=E2)*(因素修正幅度!C110:F157))</f>
        <v>0.12</v>
      </c>
      <c r="O6" s="1367"/>
      <c r="P6" s="1367"/>
      <c r="Q6" s="1367"/>
      <c r="R6" s="1599">
        <v>5</v>
      </c>
      <c r="S6" s="1599">
        <f>ROUND(IF(G3&gt;1,IF(R6&lt;7,SUMPRODUCT((B93:B98=R6)*(C92:N92=G2)*(C93:N98)),SUMIF(C92:N92,G2,C100:N100)),IF(R6&lt;7,SUMPRODUCT((B102:B107=R6)*(C92:N92=G2)*(C102:N107)),SUMIF(C92:N92,G2,C109:N109))),4)</f>
        <v>0.73709999999999998</v>
      </c>
      <c r="T6" s="1599">
        <f t="shared" ca="1" si="0"/>
        <v>7271</v>
      </c>
      <c r="U6" s="1600"/>
      <c r="V6" s="1599">
        <f t="shared" ca="1" si="1"/>
        <v>0</v>
      </c>
      <c r="W6" s="1603"/>
      <c r="X6" s="1603"/>
      <c r="Y6" s="1603"/>
      <c r="Z6" s="1603"/>
      <c r="AA6" s="1603"/>
      <c r="AB6" s="1603"/>
      <c r="AC6" s="2732"/>
      <c r="AD6" s="2733"/>
      <c r="AE6" s="2733"/>
      <c r="AF6" s="2733"/>
      <c r="AG6" s="2733"/>
      <c r="AH6" s="2733"/>
      <c r="AI6" s="2733"/>
      <c r="AJ6" s="2734"/>
    </row>
    <row r="7" spans="1:36" ht="24">
      <c r="A7" s="3249" t="str">
        <f>IF(E2="商业",IF(C8="不临58条商业街","",2),"")</f>
        <v/>
      </c>
      <c r="B7" s="2742" t="s">
        <v>2833</v>
      </c>
      <c r="C7" s="913">
        <f>IF(C8="不临58条商业街",1,ROUND(1+(1.6*E8+1.2*E9+0.8*E10+0.4*E11)*C9,4))</f>
        <v>1</v>
      </c>
      <c r="D7" s="2743" t="s">
        <v>2834</v>
      </c>
      <c r="E7" s="942"/>
      <c r="F7" s="2744"/>
      <c r="G7" s="2745"/>
      <c r="H7" s="2745"/>
      <c r="I7" s="2745"/>
      <c r="J7" s="2746"/>
      <c r="K7" s="1839"/>
      <c r="L7" s="2723" t="s">
        <v>2835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6394</v>
      </c>
      <c r="U7" s="1600"/>
      <c r="V7" s="1599">
        <f t="shared" ca="1" si="1"/>
        <v>0</v>
      </c>
      <c r="W7" s="1813" t="s">
        <v>2836</v>
      </c>
      <c r="X7" s="1601" t="str">
        <f>G2</f>
        <v>六级</v>
      </c>
      <c r="Y7" s="1601" t="s">
        <v>2837</v>
      </c>
      <c r="Z7" s="1602">
        <f>G3</f>
        <v>1.59</v>
      </c>
      <c r="AA7" s="1603"/>
      <c r="AB7" s="1603"/>
      <c r="AC7" s="1604"/>
      <c r="AD7" s="1605"/>
      <c r="AE7" s="1605"/>
      <c r="AF7" s="1605"/>
      <c r="AG7" s="1605"/>
      <c r="AH7" s="1605"/>
      <c r="AI7" s="1605"/>
      <c r="AJ7" s="1606"/>
    </row>
    <row r="8" spans="1:36" ht="25.5">
      <c r="A8" s="3250"/>
      <c r="B8" s="198" t="s">
        <v>2838</v>
      </c>
      <c r="C8" s="2747" t="s">
        <v>3089</v>
      </c>
      <c r="D8" s="914" t="s">
        <v>139</v>
      </c>
      <c r="E8" s="915" t="e">
        <f>ROUND(C11/E7,4)</f>
        <v>#DIV/0!</v>
      </c>
      <c r="F8" s="2748" t="s">
        <v>2839</v>
      </c>
      <c r="G8" s="2749"/>
      <c r="H8" s="2749"/>
      <c r="I8" s="2749"/>
      <c r="J8" s="2750"/>
      <c r="K8" s="1367"/>
      <c r="L8" s="2723" t="s">
        <v>2840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60" t="s">
        <v>2841</v>
      </c>
      <c r="X8" s="3261"/>
      <c r="Y8" s="1607" t="s">
        <v>2842</v>
      </c>
      <c r="Z8" s="1607" t="s">
        <v>2843</v>
      </c>
      <c r="AA8" s="1607" t="s">
        <v>2844</v>
      </c>
      <c r="AB8" s="1607" t="s">
        <v>2845</v>
      </c>
      <c r="AC8" s="1607" t="s">
        <v>2846</v>
      </c>
      <c r="AD8" s="1607" t="s">
        <v>2847</v>
      </c>
      <c r="AE8" s="1607" t="s">
        <v>2848</v>
      </c>
      <c r="AF8" s="1607" t="s">
        <v>2849</v>
      </c>
      <c r="AG8" s="1607" t="s">
        <v>2850</v>
      </c>
      <c r="AH8" s="1607" t="s">
        <v>2851</v>
      </c>
      <c r="AI8" s="1607" t="s">
        <v>2852</v>
      </c>
      <c r="AJ8" s="1607" t="s">
        <v>2853</v>
      </c>
    </row>
    <row r="9" spans="1:36" ht="15">
      <c r="A9" s="3250"/>
      <c r="B9" s="198" t="s">
        <v>2854</v>
      </c>
      <c r="C9" s="916">
        <f>SUMIF(修正!C59:C119,C8,修正!E59:E119)</f>
        <v>0</v>
      </c>
      <c r="D9" s="200" t="s">
        <v>140</v>
      </c>
      <c r="E9" s="200" t="e">
        <f>ROUND(C11/E7,4)</f>
        <v>#DIV/0!</v>
      </c>
      <c r="F9" s="2748" t="s">
        <v>2855</v>
      </c>
      <c r="G9" s="2749"/>
      <c r="H9" s="2749"/>
      <c r="I9" s="2749"/>
      <c r="J9" s="2750"/>
      <c r="K9" s="1367"/>
      <c r="L9" s="2723" t="s">
        <v>2856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62" t="s">
        <v>2857</v>
      </c>
      <c r="X9" s="1608" t="s">
        <v>2858</v>
      </c>
      <c r="Y9" s="1769"/>
      <c r="Z9" s="1609">
        <f>$Y$9</f>
        <v>0</v>
      </c>
      <c r="AA9" s="1609">
        <f t="shared" ref="AA9:AJ9" si="4">$Y$9</f>
        <v>0</v>
      </c>
      <c r="AB9" s="1609">
        <f t="shared" si="4"/>
        <v>0</v>
      </c>
      <c r="AC9" s="1609">
        <f t="shared" si="4"/>
        <v>0</v>
      </c>
      <c r="AD9" s="1609">
        <f t="shared" si="4"/>
        <v>0</v>
      </c>
      <c r="AE9" s="1609">
        <f t="shared" si="4"/>
        <v>0</v>
      </c>
      <c r="AF9" s="1609">
        <f t="shared" si="4"/>
        <v>0</v>
      </c>
      <c r="AG9" s="1609">
        <f t="shared" si="4"/>
        <v>0</v>
      </c>
      <c r="AH9" s="1609">
        <f t="shared" si="4"/>
        <v>0</v>
      </c>
      <c r="AI9" s="1609">
        <f t="shared" si="4"/>
        <v>0</v>
      </c>
      <c r="AJ9" s="1609">
        <f t="shared" si="4"/>
        <v>0</v>
      </c>
    </row>
    <row r="10" spans="1:36" ht="15">
      <c r="A10" s="3250"/>
      <c r="B10" s="198" t="s">
        <v>2859</v>
      </c>
      <c r="C10" s="200">
        <f>SUMIF(修正!C59:C119,C8,修正!F59:F119)</f>
        <v>0</v>
      </c>
      <c r="D10" s="200" t="s">
        <v>141</v>
      </c>
      <c r="E10" s="200" t="e">
        <f>ROUND(C11/E7,4)</f>
        <v>#DIV/0!</v>
      </c>
      <c r="F10" s="2748" t="s">
        <v>2860</v>
      </c>
      <c r="G10" s="2749"/>
      <c r="H10" s="2749"/>
      <c r="I10" s="2749"/>
      <c r="J10" s="2750"/>
      <c r="K10" s="1367"/>
      <c r="L10" s="2723" t="s">
        <v>2861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6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0"/>
      <c r="B11" s="2751" t="s">
        <v>2862</v>
      </c>
      <c r="C11" s="917">
        <f>C10/4</f>
        <v>0</v>
      </c>
      <c r="D11" s="917" t="s">
        <v>142</v>
      </c>
      <c r="E11" s="917" t="e">
        <f>ROUND(C11/E7,4)</f>
        <v>#DIV/0!</v>
      </c>
      <c r="F11" s="2752" t="s">
        <v>2863</v>
      </c>
      <c r="G11" s="2753"/>
      <c r="H11" s="2753"/>
      <c r="I11" s="2753"/>
      <c r="J11" s="2754"/>
      <c r="K11" s="1367"/>
      <c r="L11" s="2723" t="s">
        <v>2864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62" t="s">
        <v>2865</v>
      </c>
      <c r="X11" s="1611" t="s">
        <v>2866</v>
      </c>
      <c r="Y11" s="1612">
        <f>$G$3</f>
        <v>1.59</v>
      </c>
      <c r="Z11" s="1612">
        <f t="shared" ref="Z11:AJ11" si="5">$G$3</f>
        <v>1.59</v>
      </c>
      <c r="AA11" s="1612">
        <f t="shared" si="5"/>
        <v>1.59</v>
      </c>
      <c r="AB11" s="1612">
        <f t="shared" si="5"/>
        <v>1.59</v>
      </c>
      <c r="AC11" s="1612">
        <f t="shared" si="5"/>
        <v>1.59</v>
      </c>
      <c r="AD11" s="1612">
        <f t="shared" si="5"/>
        <v>1.59</v>
      </c>
      <c r="AE11" s="1612">
        <f t="shared" si="5"/>
        <v>1.59</v>
      </c>
      <c r="AF11" s="1612">
        <f t="shared" si="5"/>
        <v>1.59</v>
      </c>
      <c r="AG11" s="1612">
        <f t="shared" si="5"/>
        <v>1.59</v>
      </c>
      <c r="AH11" s="1612">
        <f t="shared" si="5"/>
        <v>1.59</v>
      </c>
      <c r="AI11" s="1612">
        <f t="shared" si="5"/>
        <v>1.59</v>
      </c>
      <c r="AJ11" s="1612">
        <f t="shared" si="5"/>
        <v>1.59</v>
      </c>
    </row>
    <row r="12" spans="1:36" ht="25.5" thickBot="1">
      <c r="A12" s="3249" t="s">
        <v>2867</v>
      </c>
      <c r="B12" s="2755" t="s">
        <v>2868</v>
      </c>
      <c r="C12" s="913">
        <f>ROUND(C15*D15*E15*F15*G15*H15*I15*J15,4)</f>
        <v>1</v>
      </c>
      <c r="D12" s="2756" t="s">
        <v>2869</v>
      </c>
      <c r="E12" s="2757"/>
      <c r="F12" s="2757"/>
      <c r="G12" s="2758"/>
      <c r="H12" s="2758"/>
      <c r="I12" s="2758"/>
      <c r="J12" s="2759"/>
      <c r="K12" s="1367"/>
      <c r="L12" s="2760" t="s">
        <v>2870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62"/>
      <c r="X12" s="1613" t="s">
        <v>2871</v>
      </c>
      <c r="Y12" s="1609">
        <f t="shared" ref="Y12:AJ12" si="6">Y9</f>
        <v>0</v>
      </c>
      <c r="Z12" s="1609">
        <f t="shared" si="6"/>
        <v>0</v>
      </c>
      <c r="AA12" s="1609">
        <f t="shared" si="6"/>
        <v>0</v>
      </c>
      <c r="AB12" s="1609">
        <f t="shared" si="6"/>
        <v>0</v>
      </c>
      <c r="AC12" s="1609">
        <f t="shared" si="6"/>
        <v>0</v>
      </c>
      <c r="AD12" s="1609">
        <f t="shared" si="6"/>
        <v>0</v>
      </c>
      <c r="AE12" s="1609">
        <f t="shared" si="6"/>
        <v>0</v>
      </c>
      <c r="AF12" s="1609">
        <f t="shared" si="6"/>
        <v>0</v>
      </c>
      <c r="AG12" s="1609">
        <f t="shared" si="6"/>
        <v>0</v>
      </c>
      <c r="AH12" s="1609">
        <f t="shared" si="6"/>
        <v>0</v>
      </c>
      <c r="AI12" s="1609">
        <f t="shared" si="6"/>
        <v>0</v>
      </c>
      <c r="AJ12" s="1609">
        <f t="shared" si="6"/>
        <v>0</v>
      </c>
    </row>
    <row r="13" spans="1:36" ht="24">
      <c r="A13" s="3267"/>
      <c r="B13" s="2761" t="s">
        <v>2872</v>
      </c>
      <c r="C13" s="2762" t="s">
        <v>2873</v>
      </c>
      <c r="D13" s="1805" t="s">
        <v>2874</v>
      </c>
      <c r="E13" s="1805" t="s">
        <v>2875</v>
      </c>
      <c r="F13" s="30" t="s">
        <v>2876</v>
      </c>
      <c r="G13" s="2763" t="s">
        <v>2877</v>
      </c>
      <c r="H13" s="2763" t="s">
        <v>2877</v>
      </c>
      <c r="I13" s="2763" t="s">
        <v>2877</v>
      </c>
      <c r="J13" s="2764" t="s">
        <v>2877</v>
      </c>
      <c r="K13" s="1367"/>
      <c r="L13" s="1367"/>
      <c r="M13" s="1367"/>
      <c r="N13" s="1367"/>
      <c r="O13" s="1367"/>
      <c r="P13" s="1367"/>
      <c r="Q13" s="1367"/>
      <c r="R13" s="1599">
        <v>12</v>
      </c>
      <c r="S13" s="1600"/>
      <c r="T13" s="1599">
        <f t="shared" ca="1" si="0"/>
        <v>0</v>
      </c>
      <c r="U13" s="1600"/>
      <c r="V13" s="1599">
        <f t="shared" ca="1" si="1"/>
        <v>0</v>
      </c>
      <c r="W13" s="3262"/>
      <c r="X13" s="1613"/>
      <c r="Y13" s="1610">
        <f>(-0.163*(Y12^2)-0.59*Y12+7617)*(10^(-4))/Y11</f>
        <v>0.47905660377358489</v>
      </c>
      <c r="Z13" s="1610">
        <f t="shared" ref="Z13:AJ13" si="7">(-0.163*(Z12^2)-0.59*Z12+7617)*(10^(-4))/Z11</f>
        <v>0.47905660377358489</v>
      </c>
      <c r="AA13" s="1610">
        <f t="shared" si="7"/>
        <v>0.47905660377358489</v>
      </c>
      <c r="AB13" s="1610">
        <f t="shared" si="7"/>
        <v>0.47905660377358489</v>
      </c>
      <c r="AC13" s="1610">
        <f t="shared" si="7"/>
        <v>0.47905660377358489</v>
      </c>
      <c r="AD13" s="1610">
        <f t="shared" si="7"/>
        <v>0.47905660377358489</v>
      </c>
      <c r="AE13" s="1610">
        <f t="shared" si="7"/>
        <v>0.47905660377358489</v>
      </c>
      <c r="AF13" s="1610">
        <f t="shared" si="7"/>
        <v>0.47905660377358489</v>
      </c>
      <c r="AG13" s="1610">
        <f t="shared" si="7"/>
        <v>0.47905660377358489</v>
      </c>
      <c r="AH13" s="1610">
        <f t="shared" si="7"/>
        <v>0.47905660377358489</v>
      </c>
      <c r="AI13" s="1610">
        <f t="shared" si="7"/>
        <v>0.47905660377358489</v>
      </c>
      <c r="AJ13" s="1610">
        <f t="shared" si="7"/>
        <v>0.47905660377358489</v>
      </c>
    </row>
    <row r="14" spans="1:36" ht="15">
      <c r="A14" s="3267"/>
      <c r="B14" s="2765"/>
      <c r="C14" s="2766"/>
      <c r="D14" s="2767"/>
      <c r="E14" s="2767"/>
      <c r="F14" s="2768"/>
      <c r="G14" s="2769" t="s">
        <v>2878</v>
      </c>
      <c r="H14" s="2770"/>
      <c r="I14" s="2771"/>
      <c r="J14" s="2772"/>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68"/>
      <c r="B15" s="2773" t="s">
        <v>2879</v>
      </c>
      <c r="C15" s="229">
        <f>IF(C14="有",1.1,1)</f>
        <v>1</v>
      </c>
      <c r="D15" s="229">
        <f>IF(D14="有",1.1,1)</f>
        <v>1</v>
      </c>
      <c r="E15" s="229">
        <f>IF(E14="有",1.1,1)</f>
        <v>1</v>
      </c>
      <c r="F15" s="229">
        <f>IF(F14="500米范围内",1.2,IF(F14="500-1000米",1.1,1))</f>
        <v>1</v>
      </c>
      <c r="G15" s="943">
        <v>1</v>
      </c>
      <c r="H15" s="943">
        <v>1</v>
      </c>
      <c r="I15" s="943">
        <v>1</v>
      </c>
      <c r="J15" s="944">
        <v>1</v>
      </c>
      <c r="K15" s="1367"/>
      <c r="L15" s="2774" t="s">
        <v>2816</v>
      </c>
      <c r="M15" s="914" t="s">
        <v>2880</v>
      </c>
      <c r="N15" s="914" t="s">
        <v>2881</v>
      </c>
      <c r="O15" s="914" t="s">
        <v>2882</v>
      </c>
      <c r="P15" s="2775" t="s">
        <v>2883</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49" t="s">
        <v>2884</v>
      </c>
      <c r="B16" s="2742" t="s">
        <v>2885</v>
      </c>
      <c r="C16" s="1798">
        <f>ROUND(SUM(G17:J17)/C17,0)</f>
        <v>36</v>
      </c>
      <c r="D16" s="2776" t="s">
        <v>2886</v>
      </c>
      <c r="E16" s="2777" t="s">
        <v>3090</v>
      </c>
      <c r="F16" s="2778" t="s">
        <v>3091</v>
      </c>
      <c r="G16" s="2779" t="s">
        <v>3092</v>
      </c>
      <c r="H16" s="2779" t="s">
        <v>3093</v>
      </c>
      <c r="I16" s="2779"/>
      <c r="J16" s="2780"/>
      <c r="K16" s="1367"/>
      <c r="L16" s="2781" t="s">
        <v>2887</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50"/>
      <c r="B17" s="2782" t="s">
        <v>2888</v>
      </c>
      <c r="C17" s="918">
        <f>SUMPRODUCT((修正!A2:A5=E2)*(修正!B1:M1=G2)*(修正!B2:M5))</f>
        <v>2.5</v>
      </c>
      <c r="D17" s="2783" t="s">
        <v>2889</v>
      </c>
      <c r="E17" s="917" t="str">
        <f>IF(OR(G2="八级",G2="九级",G2="十级",G2="十一级",G2="十二级"),"五通一平","七通一平")</f>
        <v>七通一平</v>
      </c>
      <c r="F17" s="918" t="s">
        <v>2890</v>
      </c>
      <c r="G17" s="918">
        <f>SUMPRODUCT((七通一平=G16)*(修正!B1:M1=G2)*(修正!B6:M14))</f>
        <v>50</v>
      </c>
      <c r="H17" s="918">
        <f>SUMPRODUCT((七通一平=H16)*(修正!B1:M1=G2)*(修正!B6:M14))</f>
        <v>40</v>
      </c>
      <c r="I17" s="918">
        <f>SUMPRODUCT((七通一平=I16)*(修正!B1:M1=G2)*(修正!B6:M14))</f>
        <v>0</v>
      </c>
      <c r="J17" s="919">
        <f>SUMPRODUCT((七通一平=J16)*(修正!B1:M1=G2)*(修正!B6:M14))</f>
        <v>0</v>
      </c>
      <c r="K17" s="1367"/>
      <c r="L17" s="2784" t="s">
        <v>2891</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2892</v>
      </c>
      <c r="C18" s="920">
        <f>SUMIF(修正!C18:C39,E3,修正!E18:E39)</f>
        <v>0.8</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7.75" thickBot="1">
      <c r="A19" s="2786" t="s">
        <v>809</v>
      </c>
      <c r="B19" s="2787" t="s">
        <v>2893</v>
      </c>
      <c r="C19" s="921">
        <f>ROUND(IF(H19="按公示增长率计算",SUMPRODUCT((地价!A3:A22=YEAR(G19)&amp;"-"&amp;ROUNDUP(MONTH(G19)/3,0))*(地价!X2:AB2=E2)*(地价!X3:AB22)),IF(H19="地价指数",M20/M19,(1+I19)^O19)),4)</f>
        <v>1.2907</v>
      </c>
      <c r="D19" s="2794" t="s">
        <v>2894</v>
      </c>
      <c r="E19" s="922">
        <v>41640</v>
      </c>
      <c r="F19" s="2794" t="s">
        <v>2895</v>
      </c>
      <c r="G19" s="923">
        <f>'数据-取费表'!B2</f>
        <v>43238</v>
      </c>
      <c r="H19" s="2795" t="s">
        <v>2896</v>
      </c>
      <c r="I19" s="924" t="str">
        <f>IF(H19="季度增幅（自定义）",SUMIF(N21:N24,E2,O21:O24),"")</f>
        <v/>
      </c>
      <c r="J19" s="2792"/>
      <c r="K19" s="1374"/>
      <c r="L19" s="2796" t="s">
        <v>2897</v>
      </c>
      <c r="M19" s="1731">
        <f>ROUND(SUMIF(地价!B2:F2,E2,地价!B22:F22),0)</f>
        <v>258</v>
      </c>
      <c r="N19" s="2797" t="s">
        <v>2898</v>
      </c>
      <c r="O19" s="925">
        <f>ROUNDDOWN(DATEDIF(E19,G19,"M")/3,0)</f>
        <v>17</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2899</v>
      </c>
      <c r="C20" s="926">
        <f ca="1">ROUND(POWER(1+G20,J20-I20)*(POWER(1+G20,I20)-1)/(POWER(1+G20,J20)-1),4)</f>
        <v>1</v>
      </c>
      <c r="D20" s="2803" t="s">
        <v>2900</v>
      </c>
      <c r="E20" s="1765">
        <f ca="1">存贷款利率!D4/100</f>
        <v>4.3499999999999997E-2</v>
      </c>
      <c r="F20" s="2803" t="s">
        <v>2891</v>
      </c>
      <c r="G20" s="931">
        <f ca="1">SUMIF(M15:P15,E2,M17:P17)</f>
        <v>5.3999999999999999E-2</v>
      </c>
      <c r="H20" s="2803" t="s">
        <v>2901</v>
      </c>
      <c r="I20" s="932">
        <f>SUMIF('数据-取费表'!C6:C15,E2,'数据-取费表'!F6:F15)/COUNTIF('数据-取费表'!C6:C15,E2)</f>
        <v>40</v>
      </c>
      <c r="J20" s="933">
        <f>IF(E2="住宅",70,IF(E2="商业",40,50))</f>
        <v>40</v>
      </c>
      <c r="K20" s="1374"/>
      <c r="L20" s="2804" t="s">
        <v>2902</v>
      </c>
      <c r="M20" s="1732">
        <f>ROUND(SUMPRODUCT((地价!A4:A22=YEAR(G19)&amp;"-"&amp;ROUNDUP(MONTH(G19)/3,0))*(地价!B2:F2=E2)*(地价!B4:F22)),0)</f>
        <v>333</v>
      </c>
      <c r="N20" s="2805" t="s">
        <v>2903</v>
      </c>
      <c r="O20" s="2806" t="s">
        <v>2904</v>
      </c>
      <c r="P20" s="2807" t="s">
        <v>2905</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2906</v>
      </c>
      <c r="C21" s="934">
        <f>IF(B21="容积率修正",IF(G3&lt;=10,D22,J22),C23)</f>
        <v>1.8629</v>
      </c>
      <c r="D21" s="2810"/>
      <c r="E21" s="2810"/>
      <c r="F21" s="2810"/>
      <c r="G21" s="2810"/>
      <c r="H21" s="2810"/>
      <c r="I21" s="2810"/>
      <c r="J21" s="2811"/>
      <c r="K21" s="1374"/>
      <c r="N21" s="2812" t="s">
        <v>2907</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5" customFormat="1" ht="14.25">
      <c r="A22" s="2661" t="s">
        <v>2908</v>
      </c>
      <c r="B22" s="2813" t="s">
        <v>2909</v>
      </c>
      <c r="C22" s="1807" t="s">
        <v>2910</v>
      </c>
      <c r="D22" s="1807">
        <f>IF(E22=G22,F22,IF(G3&lt;=10,ROUND(F22+(H22-F22)*(G3-E22)/(G22-E22),4),"——"))</f>
        <v>1.1818</v>
      </c>
      <c r="E22" s="910">
        <f>ROUNDDOWN(G3,1)</f>
        <v>1.5</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910">
        <f>ROUNDUP(G3,1)</f>
        <v>1.6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807" t="s">
        <v>155</v>
      </c>
      <c r="J22" s="935" t="str">
        <f>IF(G3&gt;10,D113,"——")</f>
        <v>——</v>
      </c>
      <c r="K22" s="1374"/>
      <c r="N22" s="2812" t="s">
        <v>2911</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61" t="s">
        <v>2912</v>
      </c>
      <c r="B23" s="2814" t="s">
        <v>2913</v>
      </c>
      <c r="C23" s="1010">
        <f>ROUND(IF(G3&gt;1,IF(I3&lt;7,SUMPRODUCT((B93:B98=I3)*(C92:N92=G2)*(C93:N98)),SUMIF(C92:N92,G2,C100:N100)),IF(I3&lt;7,SUMPRODUCT((B102:B107=I3)*(C92:N92=G2)*(C102:N107)),SUMIF(C92:N92,G2,C109:N109))),4)</f>
        <v>1.8629</v>
      </c>
      <c r="D23" s="2770"/>
      <c r="E23" s="2770"/>
      <c r="F23" s="2815"/>
      <c r="G23" s="2816"/>
      <c r="H23" s="2817"/>
      <c r="I23" s="2818"/>
      <c r="J23" s="2819"/>
      <c r="K23" s="1367"/>
      <c r="N23" s="2812" t="s">
        <v>2914</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2915</v>
      </c>
      <c r="C24" s="921">
        <f>SUMIF(A45:A88,E2,B45:B88)</f>
        <v>1.0425</v>
      </c>
      <c r="D24" s="2790"/>
      <c r="E24" s="2820"/>
      <c r="F24" s="2820"/>
      <c r="G24" s="2820"/>
      <c r="H24" s="2820"/>
      <c r="I24" s="2820"/>
      <c r="J24" s="2821"/>
      <c r="K24" s="1374"/>
      <c r="N24" s="2822" t="s">
        <v>2916</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2917</v>
      </c>
      <c r="C25" s="927"/>
      <c r="D25" s="2745"/>
      <c r="E25" s="2745"/>
      <c r="F25" s="2824"/>
      <c r="G25" s="2745"/>
      <c r="H25" s="2745"/>
      <c r="I25" s="2745"/>
      <c r="J25" s="2746"/>
      <c r="K25" s="1367"/>
      <c r="N25" s="2825" t="s">
        <v>2918</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6"/>
      <c r="B26" s="2813" t="s">
        <v>2919</v>
      </c>
      <c r="C26" s="206">
        <f ca="1">E29+SUM(E33:E39)</f>
        <v>3025</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2920</v>
      </c>
      <c r="C27" s="928" t="e">
        <f ca="1">E30+SUM(I33:I39)</f>
        <v>#DIV/0!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2921</v>
      </c>
      <c r="C28" s="2837" t="s">
        <v>2922</v>
      </c>
      <c r="D28" s="2837" t="s">
        <v>2923</v>
      </c>
      <c r="E28" s="2838" t="s">
        <v>2924</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2925</v>
      </c>
      <c r="C29" s="206">
        <f ca="1">ROUND(C5*C18*C19*C20*C21*C24,0)</f>
        <v>18377</v>
      </c>
      <c r="D29" s="2842">
        <f>U2</f>
        <v>1645.9899999999998</v>
      </c>
      <c r="E29" s="939">
        <f ca="1">ROUND(C29*D29/10000,0)</f>
        <v>3025</v>
      </c>
      <c r="F29" s="2843" t="s">
        <v>2926</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2927</v>
      </c>
      <c r="C30" s="229">
        <f ca="1">ROUND(IF(E2="工业",C29*M39,C29*M38),0)</f>
        <v>4594</v>
      </c>
      <c r="D30" s="2848"/>
      <c r="E30" s="939">
        <f ca="1">ROUND(C30*D30/10000,0)</f>
        <v>0</v>
      </c>
      <c r="F30" s="2849" t="s">
        <v>2928</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501" t="s">
        <v>2922</v>
      </c>
      <c r="D32" s="498" t="s">
        <v>2923</v>
      </c>
      <c r="E32" s="498" t="s">
        <v>2924</v>
      </c>
      <c r="F32" s="388" t="s">
        <v>2932</v>
      </c>
      <c r="G32" s="2857" t="s">
        <v>2922</v>
      </c>
      <c r="H32" s="2857" t="s">
        <v>2923</v>
      </c>
      <c r="I32" s="2857" t="s">
        <v>2924</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257" t="s">
        <v>2933</v>
      </c>
      <c r="B33" s="2858" t="s">
        <v>2934</v>
      </c>
      <c r="C33" s="206">
        <f ca="1">ROUND(D5*C19*C20*C24*F33,0)</f>
        <v>8631</v>
      </c>
      <c r="D33" s="2842"/>
      <c r="E33" s="200">
        <f ca="1">ROUND(C33*D33/10000,0)</f>
        <v>0</v>
      </c>
      <c r="F33" s="200">
        <f>SUMIF(修正!A45:A56,G2,修正!B45:B56)</f>
        <v>0.7</v>
      </c>
      <c r="G33" s="200">
        <f t="shared" ref="G33:G39" ca="1" si="8">ROUND(IF(E2="工业",C33*$M$39,C33*$M$38),0)</f>
        <v>2158</v>
      </c>
      <c r="H33" s="200">
        <f>D33</f>
        <v>0</v>
      </c>
      <c r="I33" s="200">
        <f ca="1">ROUND(G33*H33/10000,0)</f>
        <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58"/>
      <c r="B34" s="2762" t="s">
        <v>2935</v>
      </c>
      <c r="C34" s="206">
        <f ca="1">ROUND(D5*C19*C20*C24*F34,0)</f>
        <v>4932</v>
      </c>
      <c r="D34" s="2842"/>
      <c r="E34" s="200">
        <f t="shared" ref="E34:E39" ca="1" si="9">ROUND(C34*D34/10000,0)</f>
        <v>0</v>
      </c>
      <c r="F34" s="200">
        <f>SUMIF(修正!A45:A56,G2,修正!C45:C56)</f>
        <v>0.4</v>
      </c>
      <c r="G34" s="200">
        <f t="shared" ca="1" si="8"/>
        <v>1233</v>
      </c>
      <c r="H34" s="200">
        <f t="shared" ref="H34:H39" si="10">D34</f>
        <v>0</v>
      </c>
      <c r="I34" s="200">
        <f t="shared" ref="I34:I39" ca="1" si="11">ROUND(G34*H34/10000,0)</f>
        <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58"/>
      <c r="B35" s="2762" t="s">
        <v>2936</v>
      </c>
      <c r="C35" s="206">
        <f ca="1">ROUND(D5*C19*C20*C24*F35,0)</f>
        <v>3453</v>
      </c>
      <c r="D35" s="2842"/>
      <c r="E35" s="200">
        <f t="shared" ca="1" si="9"/>
        <v>0</v>
      </c>
      <c r="F35" s="200">
        <f>SUMIF(修正!A45:A56,G2,修正!D45:D56)</f>
        <v>0.28000000000000003</v>
      </c>
      <c r="G35" s="200">
        <f t="shared" ca="1" si="8"/>
        <v>863</v>
      </c>
      <c r="H35" s="200">
        <f t="shared" si="10"/>
        <v>0</v>
      </c>
      <c r="I35" s="200">
        <f t="shared" ca="1" si="11"/>
        <v>0</v>
      </c>
      <c r="J35" s="2859"/>
      <c r="K35" s="1367"/>
      <c r="L35" s="1367"/>
      <c r="M35" s="1367"/>
      <c r="N35" s="1367"/>
      <c r="O35" s="1367"/>
      <c r="P35" s="1367"/>
      <c r="Q35" s="1367"/>
      <c r="R35" s="1367"/>
      <c r="S35" s="1367"/>
      <c r="T35" s="1367"/>
      <c r="U35" s="1367"/>
      <c r="V35" s="1367"/>
      <c r="W35" s="1367"/>
      <c r="X35" s="1367"/>
      <c r="Y35" s="1367"/>
      <c r="Z35" s="1368"/>
    </row>
    <row r="36" spans="1:37" ht="13.5" thickBot="1">
      <c r="A36" s="3259"/>
      <c r="B36" s="2762" t="s">
        <v>2937</v>
      </c>
      <c r="C36" s="206">
        <f ca="1">ROUND(D5*C19*C20*C24*F36,0)</f>
        <v>3083</v>
      </c>
      <c r="D36" s="2842"/>
      <c r="E36" s="200">
        <f t="shared" ca="1" si="9"/>
        <v>0</v>
      </c>
      <c r="F36" s="200">
        <f>SUMIF(修正!A45:A56,G2,修正!E45:E56)</f>
        <v>0.25</v>
      </c>
      <c r="G36" s="200">
        <f t="shared" ca="1" si="8"/>
        <v>771</v>
      </c>
      <c r="H36" s="200">
        <f t="shared" si="10"/>
        <v>0</v>
      </c>
      <c r="I36" s="200">
        <f t="shared" ca="1" si="11"/>
        <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2938</v>
      </c>
      <c r="C37" s="200">
        <f ca="1">ROUND(C5*C19*C20*C24*F37,0)</f>
        <v>3083</v>
      </c>
      <c r="D37" s="2842"/>
      <c r="E37" s="200">
        <f t="shared" ca="1" si="9"/>
        <v>0</v>
      </c>
      <c r="F37" s="206">
        <f>SUMIF(修正!A45:A56,G2,修正!F45:F56)</f>
        <v>0.25</v>
      </c>
      <c r="G37" s="200">
        <f t="shared" ca="1" si="8"/>
        <v>771</v>
      </c>
      <c r="H37" s="200">
        <f t="shared" si="10"/>
        <v>0</v>
      </c>
      <c r="I37" s="200">
        <f t="shared" ca="1" si="11"/>
        <v>0</v>
      </c>
      <c r="J37" s="2859"/>
      <c r="K37" s="1367"/>
      <c r="L37" s="2861" t="s">
        <v>2939</v>
      </c>
      <c r="M37" s="2862"/>
      <c r="N37" s="1367"/>
      <c r="O37" s="1367"/>
      <c r="P37" s="1367"/>
      <c r="Q37" s="1367"/>
      <c r="R37" s="1367"/>
      <c r="S37" s="1367"/>
      <c r="T37" s="1367"/>
      <c r="U37" s="1367"/>
      <c r="V37" s="1367"/>
      <c r="W37" s="1367"/>
      <c r="X37" s="1367"/>
      <c r="Y37" s="1367"/>
      <c r="Z37" s="1368"/>
    </row>
    <row r="38" spans="1:37">
      <c r="A38" s="2860"/>
      <c r="B38" s="2762" t="s">
        <v>2940</v>
      </c>
      <c r="C38" s="200">
        <f ca="1">ROUND(C5*C19*C20*C24*F38,0)</f>
        <v>3083</v>
      </c>
      <c r="D38" s="2842"/>
      <c r="E38" s="200">
        <f t="shared" ca="1" si="9"/>
        <v>0</v>
      </c>
      <c r="F38" s="206">
        <f>SUMIF(修正!A45:A56,G2,修正!G45:G56)</f>
        <v>0.25</v>
      </c>
      <c r="G38" s="200">
        <f t="shared" ca="1" si="8"/>
        <v>771</v>
      </c>
      <c r="H38" s="200">
        <f t="shared" si="10"/>
        <v>0</v>
      </c>
      <c r="I38" s="200">
        <f t="shared" ca="1" si="11"/>
        <v>0</v>
      </c>
      <c r="J38" s="2859"/>
      <c r="K38" s="1367"/>
      <c r="L38" s="1884" t="s">
        <v>2941</v>
      </c>
      <c r="M38" s="2863">
        <v>0.25</v>
      </c>
      <c r="N38" s="1367"/>
      <c r="O38" s="1367"/>
      <c r="P38" s="1367"/>
      <c r="Q38" s="1367"/>
      <c r="R38" s="1367"/>
      <c r="S38" s="1367"/>
      <c r="T38" s="1367"/>
      <c r="U38" s="1367"/>
      <c r="V38" s="1367"/>
      <c r="W38" s="1367"/>
      <c r="X38" s="1367"/>
      <c r="Y38" s="1367"/>
      <c r="Z38" s="1368"/>
    </row>
    <row r="39" spans="1:37" ht="13.5" thickBot="1">
      <c r="A39" s="2846"/>
      <c r="B39" s="2864" t="s">
        <v>2942</v>
      </c>
      <c r="C39" s="229">
        <f ca="1">ROUND(C5*C19*C20*C24*F39,0)</f>
        <v>2466</v>
      </c>
      <c r="D39" s="2848"/>
      <c r="E39" s="229">
        <f t="shared" ca="1" si="9"/>
        <v>0</v>
      </c>
      <c r="F39" s="929">
        <f>SUMIF(修正!A45:A56,G2,修正!H45:H56)</f>
        <v>0.2</v>
      </c>
      <c r="G39" s="229" t="e">
        <f t="shared" si="8"/>
        <v>#DIV/0!</v>
      </c>
      <c r="H39" s="229">
        <f t="shared" si="10"/>
        <v>0</v>
      </c>
      <c r="I39" s="229" t="e">
        <f t="shared" si="11"/>
        <v>#DIV/0!</v>
      </c>
      <c r="J39" s="2865"/>
      <c r="K39" s="1367"/>
      <c r="L39" s="2866" t="s">
        <v>2883</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8"/>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2943</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c r="A46" s="2871" t="s">
        <v>2944</v>
      </c>
      <c r="B46" s="2872">
        <f>1+E48</f>
        <v>1.0425</v>
      </c>
      <c r="C46" s="2873"/>
      <c r="D46" s="808"/>
      <c r="E46" s="809"/>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c r="A47" s="2875" t="s">
        <v>2945</v>
      </c>
      <c r="B47" s="1806" t="s">
        <v>2946</v>
      </c>
      <c r="C47" s="1806" t="s">
        <v>2947</v>
      </c>
      <c r="D47" s="1806" t="s">
        <v>2948</v>
      </c>
      <c r="E47" s="813" t="s">
        <v>2949</v>
      </c>
      <c r="F47" s="2876" t="s">
        <v>2950</v>
      </c>
      <c r="G47" s="1806" t="s">
        <v>754</v>
      </c>
      <c r="H47" s="2877" t="s">
        <v>2951</v>
      </c>
      <c r="I47" s="1806" t="s">
        <v>2952</v>
      </c>
      <c r="J47" s="603" t="s">
        <v>2599</v>
      </c>
      <c r="K47" s="603" t="s">
        <v>2600</v>
      </c>
      <c r="L47" s="603" t="s">
        <v>2601</v>
      </c>
      <c r="M47" s="603" t="s">
        <v>2602</v>
      </c>
      <c r="N47" s="603" t="s">
        <v>2603</v>
      </c>
      <c r="AA47" s="1368"/>
      <c r="AB47" s="1368"/>
      <c r="AC47" s="1368"/>
      <c r="AD47" s="1368"/>
      <c r="AE47" s="1368"/>
      <c r="AF47" s="1368"/>
      <c r="AG47" s="1368"/>
      <c r="AH47" s="1368"/>
      <c r="AI47" s="1368"/>
      <c r="AJ47" s="1368"/>
      <c r="AK47" s="1368"/>
    </row>
    <row r="48" spans="1:37" s="1367" customFormat="1" ht="38.25">
      <c r="A48" s="2875" t="s">
        <v>2953</v>
      </c>
      <c r="B48" s="2878" t="str">
        <f>估价对象房地状况!C4</f>
        <v>估价对象位于XX商圈，周边商业氛围成熟，人流量大，商业繁华度好</v>
      </c>
      <c r="C48" s="2767" t="s">
        <v>3094</v>
      </c>
      <c r="D48" s="1283">
        <f t="shared" ref="D48:D56" si="12">SUMIF($J$47:$N$47,C48,J48:N48)</f>
        <v>0</v>
      </c>
      <c r="E48" s="815">
        <f>ROUND(SUM(D48:D56),4)</f>
        <v>4.2500000000000003E-2</v>
      </c>
      <c r="F48" s="2498">
        <f>IF(E2="商业",SUMIF(L1:L12,G2,N1:N12),"——")</f>
        <v>0.12</v>
      </c>
      <c r="G48" s="1281">
        <v>1.7999999999999999E-2</v>
      </c>
      <c r="H48" s="1285">
        <f t="shared" ref="H48:H56" si="13">IFERROR(ROUNDDOWN($F$48*I48/2,4),"——")</f>
        <v>1.9800000000000002E-2</v>
      </c>
      <c r="I48" s="814">
        <v>0.33</v>
      </c>
      <c r="J48" s="1282">
        <f t="shared" ref="J48:J56" si="14">K48+$G48</f>
        <v>3.5999999999999997E-2</v>
      </c>
      <c r="K48" s="1282">
        <f t="shared" ref="K48:K56" si="15">$L48+$G48</f>
        <v>1.7999999999999999E-2</v>
      </c>
      <c r="L48" s="1282">
        <v>0</v>
      </c>
      <c r="M48" s="1282">
        <f t="shared" ref="M48:N56" si="16">L48-$G48</f>
        <v>-1.7999999999999999E-2</v>
      </c>
      <c r="N48" s="1282">
        <f t="shared" si="16"/>
        <v>-3.5999999999999997E-2</v>
      </c>
      <c r="AA48" s="1368"/>
      <c r="AB48" s="1368"/>
      <c r="AC48" s="1368"/>
      <c r="AD48" s="1368"/>
      <c r="AE48" s="1368"/>
      <c r="AF48" s="1368"/>
      <c r="AG48" s="1368"/>
      <c r="AH48" s="1368"/>
      <c r="AI48" s="1368"/>
      <c r="AJ48" s="1368"/>
      <c r="AK48" s="1368"/>
    </row>
    <row r="49" spans="1:37" s="1367" customFormat="1" ht="51">
      <c r="A49" s="2875" t="s">
        <v>2954</v>
      </c>
      <c r="B49" s="2879" t="str">
        <f>估价对象房地状况!C18</f>
        <v>估价对象周边道路状况、公共交通通达情况、停车便捷程度，综合评价交通便捷度较好</v>
      </c>
      <c r="C49" s="2767" t="s">
        <v>3095</v>
      </c>
      <c r="D49" s="1283">
        <f t="shared" si="12"/>
        <v>1.4999999999999999E-2</v>
      </c>
      <c r="E49" s="816"/>
      <c r="F49" s="2498"/>
      <c r="G49" s="1281">
        <v>1.4999999999999999E-2</v>
      </c>
      <c r="H49" s="1285">
        <f t="shared" si="13"/>
        <v>1.4999999999999999E-2</v>
      </c>
      <c r="I49" s="814">
        <v>0.25</v>
      </c>
      <c r="J49" s="1282">
        <f t="shared" si="14"/>
        <v>0.03</v>
      </c>
      <c r="K49" s="1282">
        <f t="shared" si="15"/>
        <v>1.4999999999999999E-2</v>
      </c>
      <c r="L49" s="1282">
        <v>0</v>
      </c>
      <c r="M49" s="1282">
        <f t="shared" si="16"/>
        <v>-1.4999999999999999E-2</v>
      </c>
      <c r="N49" s="1282">
        <f t="shared" si="16"/>
        <v>-0.03</v>
      </c>
      <c r="AA49" s="1368"/>
      <c r="AB49" s="1368"/>
      <c r="AC49" s="1368"/>
      <c r="AD49" s="1368"/>
      <c r="AE49" s="1368"/>
      <c r="AF49" s="1368"/>
      <c r="AG49" s="1368"/>
      <c r="AH49" s="1368"/>
      <c r="AI49" s="1368"/>
      <c r="AJ49" s="1368"/>
      <c r="AK49" s="1368"/>
    </row>
    <row r="50" spans="1:37" s="1367" customFormat="1" ht="24">
      <c r="A50" s="2875" t="s">
        <v>2955</v>
      </c>
      <c r="B50" s="2879">
        <f>估价对象房地状况!C19</f>
        <v>0</v>
      </c>
      <c r="C50" s="2767" t="s">
        <v>3094</v>
      </c>
      <c r="D50" s="1283">
        <f t="shared" si="12"/>
        <v>0</v>
      </c>
      <c r="E50" s="816"/>
      <c r="F50" s="2498"/>
      <c r="G50" s="1281">
        <v>3.0000000000000001E-3</v>
      </c>
      <c r="H50" s="1285">
        <f t="shared" si="13"/>
        <v>3.0000000000000001E-3</v>
      </c>
      <c r="I50" s="814">
        <v>0.05</v>
      </c>
      <c r="J50" s="1282">
        <f t="shared" si="14"/>
        <v>6.0000000000000001E-3</v>
      </c>
      <c r="K50" s="1282">
        <f t="shared" si="15"/>
        <v>3.0000000000000001E-3</v>
      </c>
      <c r="L50" s="1282">
        <v>0</v>
      </c>
      <c r="M50" s="1282">
        <f t="shared" si="16"/>
        <v>-3.0000000000000001E-3</v>
      </c>
      <c r="N50" s="1282">
        <f t="shared" si="16"/>
        <v>-6.0000000000000001E-3</v>
      </c>
      <c r="AA50" s="1368"/>
      <c r="AB50" s="1368"/>
      <c r="AC50" s="1368"/>
      <c r="AD50" s="1368"/>
      <c r="AE50" s="1368"/>
      <c r="AF50" s="1368"/>
      <c r="AG50" s="1368"/>
      <c r="AH50" s="1368"/>
      <c r="AI50" s="1368"/>
      <c r="AJ50" s="1368"/>
      <c r="AK50" s="1368"/>
    </row>
    <row r="51" spans="1:37" s="1367" customFormat="1" ht="36.75">
      <c r="A51" s="2875" t="s">
        <v>2956</v>
      </c>
      <c r="B51" s="2880" t="s">
        <v>2957</v>
      </c>
      <c r="C51" s="2767" t="s">
        <v>3095</v>
      </c>
      <c r="D51" s="1283">
        <f t="shared" si="12"/>
        <v>3.0000000000000001E-3</v>
      </c>
      <c r="E51" s="816"/>
      <c r="F51" s="2498"/>
      <c r="G51" s="1281">
        <v>3.0000000000000001E-3</v>
      </c>
      <c r="H51" s="1285">
        <f t="shared" si="13"/>
        <v>3.0000000000000001E-3</v>
      </c>
      <c r="I51" s="814">
        <v>0.05</v>
      </c>
      <c r="J51" s="1282">
        <f t="shared" si="14"/>
        <v>6.0000000000000001E-3</v>
      </c>
      <c r="K51" s="1282">
        <f t="shared" si="15"/>
        <v>3.0000000000000001E-3</v>
      </c>
      <c r="L51" s="1282">
        <v>0</v>
      </c>
      <c r="M51" s="1282">
        <f t="shared" si="16"/>
        <v>-3.0000000000000001E-3</v>
      </c>
      <c r="N51" s="1282">
        <f t="shared" si="16"/>
        <v>-6.0000000000000001E-3</v>
      </c>
      <c r="AA51" s="1368"/>
      <c r="AB51" s="1368"/>
      <c r="AC51" s="1368"/>
      <c r="AD51" s="1368"/>
      <c r="AE51" s="1368"/>
      <c r="AF51" s="1368"/>
      <c r="AG51" s="1368"/>
      <c r="AH51" s="1368"/>
      <c r="AI51" s="1368"/>
      <c r="AJ51" s="1368"/>
      <c r="AK51" s="1368"/>
    </row>
    <row r="52" spans="1:37" s="1367" customFormat="1" ht="24">
      <c r="A52" s="2875" t="s">
        <v>2958</v>
      </c>
      <c r="B52" s="2879">
        <f>估价对象房地状况!C24</f>
        <v>0</v>
      </c>
      <c r="C52" s="2767" t="s">
        <v>3095</v>
      </c>
      <c r="D52" s="1283">
        <f t="shared" si="12"/>
        <v>4.4999999999999997E-3</v>
      </c>
      <c r="E52" s="816"/>
      <c r="F52" s="2498"/>
      <c r="G52" s="1281">
        <v>4.4999999999999997E-3</v>
      </c>
      <c r="H52" s="1285">
        <f t="shared" si="13"/>
        <v>4.7999999999999996E-3</v>
      </c>
      <c r="I52" s="814">
        <v>0.08</v>
      </c>
      <c r="J52" s="1282">
        <f t="shared" si="14"/>
        <v>8.9999999999999993E-3</v>
      </c>
      <c r="K52" s="1282">
        <f t="shared" si="15"/>
        <v>4.4999999999999997E-3</v>
      </c>
      <c r="L52" s="1282">
        <v>0</v>
      </c>
      <c r="M52" s="1282">
        <f t="shared" si="16"/>
        <v>-4.4999999999999997E-3</v>
      </c>
      <c r="N52" s="1282">
        <f t="shared" si="16"/>
        <v>-8.9999999999999993E-3</v>
      </c>
      <c r="AA52" s="1368"/>
      <c r="AB52" s="1368"/>
      <c r="AC52" s="1368"/>
      <c r="AD52" s="1368"/>
      <c r="AE52" s="1368"/>
      <c r="AF52" s="1368"/>
      <c r="AG52" s="1368"/>
      <c r="AH52" s="1368"/>
      <c r="AI52" s="1368"/>
      <c r="AJ52" s="1368"/>
      <c r="AK52" s="1368"/>
    </row>
    <row r="53" spans="1:37" s="1367" customFormat="1" ht="24">
      <c r="A53" s="2875" t="s">
        <v>2959</v>
      </c>
      <c r="B53" s="2881" t="s">
        <v>2960</v>
      </c>
      <c r="C53" s="2767" t="s">
        <v>3095</v>
      </c>
      <c r="D53" s="1283">
        <f t="shared" si="12"/>
        <v>1.5E-3</v>
      </c>
      <c r="E53" s="816"/>
      <c r="F53" s="2498"/>
      <c r="G53" s="1281">
        <v>1.5E-3</v>
      </c>
      <c r="H53" s="1285">
        <f t="shared" si="13"/>
        <v>1.8E-3</v>
      </c>
      <c r="I53" s="814">
        <v>0.03</v>
      </c>
      <c r="J53" s="1282">
        <f t="shared" si="14"/>
        <v>3.0000000000000001E-3</v>
      </c>
      <c r="K53" s="1282">
        <f t="shared" si="15"/>
        <v>1.5E-3</v>
      </c>
      <c r="L53" s="1282">
        <v>0</v>
      </c>
      <c r="M53" s="1282">
        <f t="shared" si="16"/>
        <v>-1.5E-3</v>
      </c>
      <c r="N53" s="1282">
        <f t="shared" si="16"/>
        <v>-3.0000000000000001E-3</v>
      </c>
      <c r="AA53" s="1368"/>
      <c r="AB53" s="1368"/>
      <c r="AC53" s="1368"/>
      <c r="AD53" s="1368"/>
      <c r="AE53" s="1368"/>
      <c r="AF53" s="1368"/>
      <c r="AG53" s="1368"/>
      <c r="AH53" s="1368"/>
      <c r="AI53" s="1368"/>
      <c r="AJ53" s="1368"/>
      <c r="AK53" s="1368"/>
    </row>
    <row r="54" spans="1:37" s="1367" customFormat="1" ht="25.5">
      <c r="A54" s="2882" t="s">
        <v>2961</v>
      </c>
      <c r="B54" s="1722" t="str">
        <f>估价对象房地状况!C21</f>
        <v>估价对象所在区域公共配套设施齐备情况</v>
      </c>
      <c r="C54" s="2767" t="s">
        <v>3095</v>
      </c>
      <c r="D54" s="1283">
        <f t="shared" si="12"/>
        <v>3.0000000000000001E-3</v>
      </c>
      <c r="E54" s="816"/>
      <c r="F54" s="2498"/>
      <c r="G54" s="1281">
        <v>3.0000000000000001E-3</v>
      </c>
      <c r="H54" s="1285">
        <f t="shared" si="13"/>
        <v>3.0000000000000001E-3</v>
      </c>
      <c r="I54" s="814">
        <v>0.05</v>
      </c>
      <c r="J54" s="1282">
        <f t="shared" si="14"/>
        <v>6.0000000000000001E-3</v>
      </c>
      <c r="K54" s="1282">
        <f t="shared" si="15"/>
        <v>3.0000000000000001E-3</v>
      </c>
      <c r="L54" s="1282">
        <v>0</v>
      </c>
      <c r="M54" s="1282">
        <f t="shared" si="16"/>
        <v>-3.0000000000000001E-3</v>
      </c>
      <c r="N54" s="1282">
        <f t="shared" si="16"/>
        <v>-6.0000000000000001E-3</v>
      </c>
      <c r="AA54" s="1368"/>
      <c r="AB54" s="1368"/>
      <c r="AC54" s="1368"/>
      <c r="AD54" s="1368"/>
      <c r="AE54" s="1368"/>
      <c r="AF54" s="1368"/>
      <c r="AG54" s="1368"/>
      <c r="AH54" s="1368"/>
      <c r="AI54" s="1368"/>
      <c r="AJ54" s="1368"/>
      <c r="AK54" s="1368"/>
    </row>
    <row r="55" spans="1:37" s="1367" customFormat="1" ht="25.5">
      <c r="A55" s="2882" t="s">
        <v>2962</v>
      </c>
      <c r="B55" s="2879" t="str">
        <f>估价对象房地状况!C22</f>
        <v>估价对象所在区域基础设施水平</v>
      </c>
      <c r="C55" s="2767" t="s">
        <v>3096</v>
      </c>
      <c r="D55" s="1283">
        <f t="shared" si="12"/>
        <v>1.2E-2</v>
      </c>
      <c r="E55" s="816"/>
      <c r="F55" s="2498"/>
      <c r="G55" s="1281">
        <v>6.0000000000000001E-3</v>
      </c>
      <c r="H55" s="1285">
        <f t="shared" si="13"/>
        <v>6.0000000000000001E-3</v>
      </c>
      <c r="I55" s="814">
        <v>0.1</v>
      </c>
      <c r="J55" s="1282">
        <f t="shared" si="14"/>
        <v>1.2E-2</v>
      </c>
      <c r="K55" s="1282">
        <f t="shared" si="15"/>
        <v>6.0000000000000001E-3</v>
      </c>
      <c r="L55" s="1282">
        <v>0</v>
      </c>
      <c r="M55" s="1282">
        <f t="shared" si="16"/>
        <v>-6.0000000000000001E-3</v>
      </c>
      <c r="N55" s="1282">
        <f t="shared" si="16"/>
        <v>-1.2E-2</v>
      </c>
      <c r="AA55" s="1368"/>
      <c r="AB55" s="1368"/>
      <c r="AC55" s="1368"/>
      <c r="AD55" s="1368"/>
      <c r="AE55" s="1368"/>
      <c r="AF55" s="1368"/>
      <c r="AG55" s="1368"/>
      <c r="AH55" s="1368"/>
      <c r="AI55" s="1368"/>
      <c r="AJ55" s="1368"/>
      <c r="AK55" s="1368"/>
    </row>
    <row r="56" spans="1:37" s="1367" customFormat="1" ht="39" thickBot="1">
      <c r="A56" s="2883" t="s">
        <v>2963</v>
      </c>
      <c r="B56" s="2884" t="str">
        <f>估价对象房地状况!C20</f>
        <v>区域自然环境：；人文环境；综合评价环境状况一般</v>
      </c>
      <c r="C56" s="2767" t="s">
        <v>3095</v>
      </c>
      <c r="D56" s="1283">
        <f t="shared" si="12"/>
        <v>3.5000000000000001E-3</v>
      </c>
      <c r="E56" s="819"/>
      <c r="F56" s="2498"/>
      <c r="G56" s="1281">
        <v>3.5000000000000001E-3</v>
      </c>
      <c r="H56" s="1285">
        <f t="shared" si="13"/>
        <v>3.5999999999999999E-3</v>
      </c>
      <c r="I56" s="818">
        <v>0.06</v>
      </c>
      <c r="J56" s="1282">
        <f t="shared" si="14"/>
        <v>7.0000000000000001E-3</v>
      </c>
      <c r="K56" s="1282">
        <f t="shared" si="15"/>
        <v>3.5000000000000001E-3</v>
      </c>
      <c r="L56" s="1282">
        <v>0</v>
      </c>
      <c r="M56" s="1282">
        <f t="shared" si="16"/>
        <v>-3.5000000000000001E-3</v>
      </c>
      <c r="N56" s="1282">
        <f t="shared" si="16"/>
        <v>-7.0000000000000001E-3</v>
      </c>
      <c r="AA56" s="1368"/>
      <c r="AB56" s="1368"/>
      <c r="AC56" s="1368"/>
      <c r="AD56" s="1368"/>
      <c r="AE56" s="1368"/>
      <c r="AF56" s="1368"/>
      <c r="AG56" s="1368"/>
      <c r="AH56" s="1368"/>
      <c r="AI56" s="1368"/>
      <c r="AJ56" s="1368"/>
      <c r="AK56" s="1368"/>
    </row>
    <row r="57" spans="1:37" s="1367" customFormat="1" ht="15">
      <c r="A57" s="2871" t="s">
        <v>2964</v>
      </c>
      <c r="B57" s="2872">
        <f>1+E59</f>
        <v>1</v>
      </c>
      <c r="C57" s="808"/>
      <c r="D57" s="808"/>
      <c r="E57" s="809"/>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2945</v>
      </c>
      <c r="B58" s="1806"/>
      <c r="C58" s="1806" t="s">
        <v>2947</v>
      </c>
      <c r="D58" s="1806" t="s">
        <v>2948</v>
      </c>
      <c r="E58" s="813" t="s">
        <v>2949</v>
      </c>
      <c r="F58" s="2876" t="s">
        <v>2965</v>
      </c>
      <c r="G58" s="1806" t="s">
        <v>754</v>
      </c>
      <c r="H58" s="2877" t="s">
        <v>2951</v>
      </c>
      <c r="I58" s="1806" t="s">
        <v>2952</v>
      </c>
      <c r="J58" s="603" t="s">
        <v>2599</v>
      </c>
      <c r="K58" s="603" t="s">
        <v>2600</v>
      </c>
      <c r="L58" s="603" t="s">
        <v>2601</v>
      </c>
      <c r="M58" s="603" t="s">
        <v>2602</v>
      </c>
      <c r="N58" s="603" t="s">
        <v>2603</v>
      </c>
      <c r="AA58" s="1368"/>
      <c r="AB58" s="1368"/>
      <c r="AC58" s="1368"/>
      <c r="AD58" s="1368"/>
      <c r="AE58" s="1368"/>
      <c r="AF58" s="1368"/>
      <c r="AG58" s="1368"/>
      <c r="AH58" s="1368"/>
      <c r="AI58" s="1368"/>
      <c r="AJ58" s="1368"/>
      <c r="AK58" s="1368"/>
    </row>
    <row r="59" spans="1:37" s="1367" customFormat="1" ht="38.25">
      <c r="A59" s="2875" t="s">
        <v>2966</v>
      </c>
      <c r="B59" s="2878" t="str">
        <f>估价对象房地状况!C17</f>
        <v>估价对象位于XX商圈，周边办公楼项目较多，入驻率高，办公集聚程度较好</v>
      </c>
      <c r="C59" s="2767"/>
      <c r="D59" s="1283">
        <f t="shared" ref="D59:D67" si="17">SUMIF($J$58:$N$58,C59,J59:N59)</f>
        <v>0</v>
      </c>
      <c r="E59" s="815">
        <f>ROUND(SUM(D59:D67),4)</f>
        <v>0</v>
      </c>
      <c r="F59" s="2498" t="str">
        <f>IF(E2="办公",SUMIF(L1:L12,G2,N1:N12),"——")</f>
        <v>——</v>
      </c>
      <c r="G59" s="1281"/>
      <c r="H59" s="1285" t="str">
        <f t="shared" ref="H59:H67" si="18">IFERROR(ROUNDDOWN($F$59*I59/2,4),"——")</f>
        <v>——</v>
      </c>
      <c r="I59" s="814">
        <v>0.24</v>
      </c>
      <c r="J59" s="1282">
        <f t="shared" ref="J59:J67" si="19">K59+$G59</f>
        <v>0</v>
      </c>
      <c r="K59" s="1282">
        <f t="shared" ref="K59:K67" si="20">$L59+$G59</f>
        <v>0</v>
      </c>
      <c r="L59" s="1282">
        <v>0</v>
      </c>
      <c r="M59" s="1282">
        <f t="shared" ref="M59:N67" si="21">L59-$G59</f>
        <v>0</v>
      </c>
      <c r="N59" s="1282">
        <f t="shared" si="21"/>
        <v>0</v>
      </c>
      <c r="AA59" s="1368"/>
      <c r="AB59" s="1368"/>
      <c r="AC59" s="1368"/>
      <c r="AD59" s="1368"/>
      <c r="AE59" s="1368"/>
      <c r="AF59" s="1368"/>
      <c r="AG59" s="1368"/>
      <c r="AH59" s="1368"/>
      <c r="AI59" s="1368"/>
      <c r="AJ59" s="1368"/>
      <c r="AK59" s="1368"/>
    </row>
    <row r="60" spans="1:37" s="1367" customFormat="1" ht="51">
      <c r="A60" s="2875" t="s">
        <v>2954</v>
      </c>
      <c r="B60" s="2879" t="str">
        <f>估价对象房地状况!C18</f>
        <v>估价对象周边道路状况、公共交通通达情况、停车便捷程度，综合评价交通便捷度较好</v>
      </c>
      <c r="C60" s="2767"/>
      <c r="D60" s="1283">
        <f t="shared" si="17"/>
        <v>0</v>
      </c>
      <c r="E60" s="816"/>
      <c r="F60" s="2498"/>
      <c r="G60" s="1281"/>
      <c r="H60" s="1285" t="str">
        <f t="shared" si="18"/>
        <v>——</v>
      </c>
      <c r="I60" s="814">
        <v>0.3</v>
      </c>
      <c r="J60" s="1282">
        <f t="shared" si="19"/>
        <v>0</v>
      </c>
      <c r="K60" s="1282">
        <f t="shared" si="20"/>
        <v>0</v>
      </c>
      <c r="L60" s="1282">
        <v>0</v>
      </c>
      <c r="M60" s="1282">
        <f t="shared" si="21"/>
        <v>0</v>
      </c>
      <c r="N60" s="1282">
        <f t="shared" si="21"/>
        <v>0</v>
      </c>
      <c r="AA60" s="1368"/>
      <c r="AB60" s="1368"/>
      <c r="AC60" s="1368"/>
      <c r="AD60" s="1368"/>
      <c r="AE60" s="1368"/>
      <c r="AF60" s="1368"/>
      <c r="AG60" s="1368"/>
      <c r="AH60" s="1368"/>
      <c r="AI60" s="1368"/>
      <c r="AJ60" s="1368"/>
      <c r="AK60" s="1368"/>
    </row>
    <row r="61" spans="1:37" s="1367" customFormat="1" ht="24">
      <c r="A61" s="2875" t="s">
        <v>2955</v>
      </c>
      <c r="B61" s="2879">
        <f>估价对象房地状况!C19</f>
        <v>0</v>
      </c>
      <c r="C61" s="2767"/>
      <c r="D61" s="1283">
        <f t="shared" si="17"/>
        <v>0</v>
      </c>
      <c r="E61" s="816"/>
      <c r="F61" s="2498"/>
      <c r="G61" s="1281"/>
      <c r="H61" s="1285" t="str">
        <f t="shared" si="18"/>
        <v>——</v>
      </c>
      <c r="I61" s="814">
        <v>0.08</v>
      </c>
      <c r="J61" s="1282">
        <f t="shared" si="19"/>
        <v>0</v>
      </c>
      <c r="K61" s="1282">
        <f t="shared" si="20"/>
        <v>0</v>
      </c>
      <c r="L61" s="1282">
        <v>0</v>
      </c>
      <c r="M61" s="1282">
        <f t="shared" si="21"/>
        <v>0</v>
      </c>
      <c r="N61" s="1282">
        <f t="shared" si="21"/>
        <v>0</v>
      </c>
      <c r="AA61" s="1368"/>
      <c r="AB61" s="1368"/>
      <c r="AC61" s="1368"/>
      <c r="AD61" s="1368"/>
      <c r="AE61" s="1368"/>
      <c r="AF61" s="1368"/>
      <c r="AG61" s="1368"/>
      <c r="AH61" s="1368"/>
      <c r="AI61" s="1368"/>
      <c r="AJ61" s="1368"/>
      <c r="AK61" s="1368"/>
    </row>
    <row r="62" spans="1:37" s="1367" customFormat="1" ht="36.75">
      <c r="A62" s="2875" t="s">
        <v>2956</v>
      </c>
      <c r="B62" s="2880" t="s">
        <v>2957</v>
      </c>
      <c r="C62" s="2767"/>
      <c r="D62" s="1283">
        <f t="shared" si="17"/>
        <v>0</v>
      </c>
      <c r="E62" s="816"/>
      <c r="F62" s="2498"/>
      <c r="G62" s="1281"/>
      <c r="H62" s="1285" t="str">
        <f t="shared" si="18"/>
        <v>——</v>
      </c>
      <c r="I62" s="814">
        <v>0.04</v>
      </c>
      <c r="J62" s="1282">
        <f t="shared" si="19"/>
        <v>0</v>
      </c>
      <c r="K62" s="1282">
        <f t="shared" si="20"/>
        <v>0</v>
      </c>
      <c r="L62" s="1282">
        <v>0</v>
      </c>
      <c r="M62" s="1282">
        <f t="shared" si="21"/>
        <v>0</v>
      </c>
      <c r="N62" s="1282">
        <f t="shared" si="21"/>
        <v>0</v>
      </c>
      <c r="AA62" s="1368"/>
      <c r="AB62" s="1368"/>
      <c r="AC62" s="1368"/>
      <c r="AD62" s="1368"/>
      <c r="AE62" s="1368"/>
      <c r="AF62" s="1368"/>
      <c r="AG62" s="1368"/>
      <c r="AH62" s="1368"/>
      <c r="AI62" s="1368"/>
      <c r="AJ62" s="1368"/>
      <c r="AK62" s="1368"/>
    </row>
    <row r="63" spans="1:37" s="1367" customFormat="1" ht="24">
      <c r="A63" s="2875" t="s">
        <v>2958</v>
      </c>
      <c r="B63" s="2879">
        <f>估价对象房地状况!C24</f>
        <v>0</v>
      </c>
      <c r="C63" s="2767"/>
      <c r="D63" s="1283">
        <f t="shared" si="17"/>
        <v>0</v>
      </c>
      <c r="E63" s="816"/>
      <c r="F63" s="2498"/>
      <c r="G63" s="1281"/>
      <c r="H63" s="1285" t="str">
        <f t="shared" si="18"/>
        <v>——</v>
      </c>
      <c r="I63" s="814">
        <v>0.05</v>
      </c>
      <c r="J63" s="1282">
        <f t="shared" si="19"/>
        <v>0</v>
      </c>
      <c r="K63" s="1282">
        <f t="shared" si="20"/>
        <v>0</v>
      </c>
      <c r="L63" s="1282">
        <v>0</v>
      </c>
      <c r="M63" s="1282">
        <f t="shared" si="21"/>
        <v>0</v>
      </c>
      <c r="N63" s="1282">
        <f t="shared" si="21"/>
        <v>0</v>
      </c>
      <c r="AA63" s="1368"/>
      <c r="AB63" s="1368"/>
      <c r="AC63" s="1368"/>
      <c r="AD63" s="1368"/>
      <c r="AE63" s="1368"/>
      <c r="AF63" s="1368"/>
      <c r="AG63" s="1368"/>
      <c r="AH63" s="1368"/>
      <c r="AI63" s="1368"/>
      <c r="AJ63" s="1368"/>
      <c r="AK63" s="1368"/>
    </row>
    <row r="64" spans="1:37" s="1367" customFormat="1" ht="24">
      <c r="A64" s="2875" t="s">
        <v>2959</v>
      </c>
      <c r="B64" s="2881" t="s">
        <v>2960</v>
      </c>
      <c r="C64" s="2767"/>
      <c r="D64" s="1283">
        <f t="shared" si="17"/>
        <v>0</v>
      </c>
      <c r="E64" s="816"/>
      <c r="F64" s="2498"/>
      <c r="G64" s="1281"/>
      <c r="H64" s="1285" t="str">
        <f t="shared" si="18"/>
        <v>——</v>
      </c>
      <c r="I64" s="814">
        <v>0.05</v>
      </c>
      <c r="J64" s="1282">
        <f t="shared" si="19"/>
        <v>0</v>
      </c>
      <c r="K64" s="1282">
        <f t="shared" si="20"/>
        <v>0</v>
      </c>
      <c r="L64" s="1282">
        <v>0</v>
      </c>
      <c r="M64" s="1282">
        <f t="shared" si="21"/>
        <v>0</v>
      </c>
      <c r="N64" s="1282">
        <f t="shared" si="21"/>
        <v>0</v>
      </c>
      <c r="AA64" s="1368"/>
      <c r="AB64" s="1368"/>
      <c r="AC64" s="1368"/>
      <c r="AD64" s="1368"/>
      <c r="AE64" s="1368"/>
      <c r="AF64" s="1368"/>
      <c r="AG64" s="1368"/>
      <c r="AH64" s="1368"/>
      <c r="AI64" s="1368"/>
      <c r="AJ64" s="1368"/>
      <c r="AK64" s="1368"/>
    </row>
    <row r="65" spans="1:37" s="1367" customFormat="1" ht="25.5">
      <c r="A65" s="2875" t="s">
        <v>2961</v>
      </c>
      <c r="B65" s="1722" t="str">
        <f>估价对象房地状况!C21</f>
        <v>估价对象所在区域公共配套设施齐备情况</v>
      </c>
      <c r="C65" s="2767"/>
      <c r="D65" s="1283">
        <f t="shared" si="17"/>
        <v>0</v>
      </c>
      <c r="E65" s="816"/>
      <c r="F65" s="2498"/>
      <c r="G65" s="1281"/>
      <c r="H65" s="1285" t="str">
        <f t="shared" si="18"/>
        <v>——</v>
      </c>
      <c r="I65" s="814">
        <v>0.06</v>
      </c>
      <c r="J65" s="1282">
        <f t="shared" si="19"/>
        <v>0</v>
      </c>
      <c r="K65" s="1282">
        <f t="shared" si="20"/>
        <v>0</v>
      </c>
      <c r="L65" s="1282">
        <v>0</v>
      </c>
      <c r="M65" s="1282">
        <f t="shared" si="21"/>
        <v>0</v>
      </c>
      <c r="N65" s="1282">
        <f t="shared" si="21"/>
        <v>0</v>
      </c>
      <c r="AA65" s="1368"/>
      <c r="AB65" s="1368"/>
      <c r="AC65" s="1368"/>
      <c r="AD65" s="1368"/>
      <c r="AE65" s="1368"/>
      <c r="AF65" s="1368"/>
      <c r="AG65" s="1368"/>
      <c r="AH65" s="1368"/>
      <c r="AI65" s="1368"/>
      <c r="AJ65" s="1368"/>
      <c r="AK65" s="1368"/>
    </row>
    <row r="66" spans="1:37" s="1367" customFormat="1" ht="25.5">
      <c r="A66" s="2875" t="s">
        <v>2962</v>
      </c>
      <c r="B66" s="1722" t="str">
        <f>估价对象房地状况!C22</f>
        <v>估价对象所在区域基础设施水平</v>
      </c>
      <c r="C66" s="2767"/>
      <c r="D66" s="1283">
        <f t="shared" si="17"/>
        <v>0</v>
      </c>
      <c r="E66" s="816"/>
      <c r="F66" s="2498"/>
      <c r="G66" s="1281"/>
      <c r="H66" s="1285" t="str">
        <f t="shared" si="18"/>
        <v>——</v>
      </c>
      <c r="I66" s="814">
        <v>0.12</v>
      </c>
      <c r="J66" s="1282">
        <f t="shared" si="19"/>
        <v>0</v>
      </c>
      <c r="K66" s="1282">
        <f t="shared" si="20"/>
        <v>0</v>
      </c>
      <c r="L66" s="1282">
        <v>0</v>
      </c>
      <c r="M66" s="1282">
        <f t="shared" si="21"/>
        <v>0</v>
      </c>
      <c r="N66" s="1282">
        <f t="shared" si="21"/>
        <v>0</v>
      </c>
      <c r="AA66" s="1368"/>
      <c r="AB66" s="1368"/>
      <c r="AC66" s="1368"/>
      <c r="AD66" s="1368"/>
      <c r="AE66" s="1368"/>
      <c r="AF66" s="1368"/>
      <c r="AG66" s="1368"/>
      <c r="AH66" s="1368"/>
      <c r="AI66" s="1368"/>
      <c r="AJ66" s="1368"/>
      <c r="AK66" s="1368"/>
    </row>
    <row r="67" spans="1:37" s="1367" customFormat="1" ht="39" thickBot="1">
      <c r="A67" s="2883" t="s">
        <v>2963</v>
      </c>
      <c r="B67" s="2885" t="str">
        <f>估价对象房地状况!C20</f>
        <v>区域自然环境：；人文环境；综合评价环境状况一般</v>
      </c>
      <c r="C67" s="2767"/>
      <c r="D67" s="1283">
        <f t="shared" si="17"/>
        <v>0</v>
      </c>
      <c r="E67" s="819"/>
      <c r="F67" s="2498"/>
      <c r="G67" s="1281"/>
      <c r="H67" s="1285" t="str">
        <f t="shared" si="18"/>
        <v>——</v>
      </c>
      <c r="I67" s="818">
        <v>0.06</v>
      </c>
      <c r="J67" s="1282">
        <f t="shared" si="19"/>
        <v>0</v>
      </c>
      <c r="K67" s="1282">
        <f t="shared" si="20"/>
        <v>0</v>
      </c>
      <c r="L67" s="1282">
        <v>0</v>
      </c>
      <c r="M67" s="1282">
        <f t="shared" si="21"/>
        <v>0</v>
      </c>
      <c r="N67" s="1282">
        <f t="shared" si="21"/>
        <v>0</v>
      </c>
      <c r="AA67" s="1368"/>
      <c r="AB67" s="1368"/>
      <c r="AC67" s="1368"/>
      <c r="AD67" s="1368"/>
      <c r="AE67" s="1368"/>
      <c r="AF67" s="1368"/>
      <c r="AG67" s="1368"/>
      <c r="AH67" s="1368"/>
      <c r="AI67" s="1368"/>
      <c r="AJ67" s="1368"/>
      <c r="AK67" s="1368"/>
    </row>
    <row r="68" spans="1:37" s="1367" customFormat="1" ht="15">
      <c r="A68" s="2871" t="s">
        <v>2967</v>
      </c>
      <c r="B68" s="2872">
        <f>1+E70</f>
        <v>1</v>
      </c>
      <c r="C68" s="808"/>
      <c r="D68" s="808"/>
      <c r="E68" s="809"/>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2945</v>
      </c>
      <c r="B69" s="1806"/>
      <c r="C69" s="1806" t="s">
        <v>2947</v>
      </c>
      <c r="D69" s="1806" t="s">
        <v>2948</v>
      </c>
      <c r="E69" s="813" t="s">
        <v>2949</v>
      </c>
      <c r="F69" s="2876" t="s">
        <v>2965</v>
      </c>
      <c r="G69" s="1806" t="s">
        <v>754</v>
      </c>
      <c r="H69" s="2877" t="s">
        <v>2951</v>
      </c>
      <c r="I69" s="1806" t="s">
        <v>2952</v>
      </c>
      <c r="J69" s="603" t="s">
        <v>2599</v>
      </c>
      <c r="K69" s="603" t="s">
        <v>2600</v>
      </c>
      <c r="L69" s="603" t="s">
        <v>2601</v>
      </c>
      <c r="M69" s="603" t="s">
        <v>2602</v>
      </c>
      <c r="N69" s="603" t="s">
        <v>2603</v>
      </c>
      <c r="AA69" s="1368"/>
      <c r="AB69" s="1368"/>
      <c r="AC69" s="1368"/>
      <c r="AD69" s="1368"/>
      <c r="AE69" s="1368"/>
      <c r="AF69" s="1368"/>
      <c r="AG69" s="1368"/>
      <c r="AH69" s="1368"/>
      <c r="AI69" s="1368"/>
      <c r="AJ69" s="1368"/>
      <c r="AK69" s="1368"/>
    </row>
    <row r="70" spans="1:37" s="1367" customFormat="1" ht="51">
      <c r="A70" s="2875" t="s">
        <v>2968</v>
      </c>
      <c r="B70" s="2878" t="str">
        <f>估价对象房地状况!C15</f>
        <v>估价对象周边居住用地比例、居住小区规模和社区发展完善程度，综合评价居住社区成熟度一般</v>
      </c>
      <c r="C70" s="2767"/>
      <c r="D70" s="1283">
        <f t="shared" ref="D70:D78" si="22">SUMIF($J$69:$N$69,C70,J70:N70)</f>
        <v>0</v>
      </c>
      <c r="E70" s="815">
        <f>ROUND(SUM(D70:D78),4)</f>
        <v>0</v>
      </c>
      <c r="F70" s="2498" t="str">
        <f>IF(E2="住宅",SUMIF(L1:L12,G2,N1:N12),"——")</f>
        <v>——</v>
      </c>
      <c r="G70" s="1281"/>
      <c r="H70" s="1285" t="str">
        <f t="shared" ref="H70:H78" si="23">IFERROR(ROUNDDOWN($F$70*I70/2,4),"——")</f>
        <v>——</v>
      </c>
      <c r="I70" s="814">
        <v>0.14000000000000001</v>
      </c>
      <c r="J70" s="1282">
        <f t="shared" ref="J70:J78" si="24">K70+$G70</f>
        <v>0</v>
      </c>
      <c r="K70" s="1282">
        <f t="shared" ref="K70:K78" si="25">$L70+$G70</f>
        <v>0</v>
      </c>
      <c r="L70" s="1282">
        <v>0</v>
      </c>
      <c r="M70" s="1282">
        <f t="shared" ref="M70:N78" si="26">L70-$G70</f>
        <v>0</v>
      </c>
      <c r="N70" s="1282">
        <f t="shared" si="26"/>
        <v>0</v>
      </c>
      <c r="AA70" s="1368"/>
      <c r="AB70" s="1368"/>
      <c r="AC70" s="1368"/>
      <c r="AD70" s="1368"/>
      <c r="AE70" s="1368"/>
      <c r="AF70" s="1368"/>
      <c r="AG70" s="1368"/>
      <c r="AH70" s="1368"/>
      <c r="AI70" s="1368"/>
      <c r="AJ70" s="1368"/>
      <c r="AK70" s="1368"/>
    </row>
    <row r="71" spans="1:37" s="1367" customFormat="1" ht="51">
      <c r="A71" s="2875" t="s">
        <v>2954</v>
      </c>
      <c r="B71" s="2879" t="str">
        <f>估价对象房地状况!C18</f>
        <v>估价对象周边道路状况、公共交通通达情况、停车便捷程度，综合评价交通便捷度较好</v>
      </c>
      <c r="C71" s="2767"/>
      <c r="D71" s="1283">
        <f t="shared" si="22"/>
        <v>0</v>
      </c>
      <c r="E71" s="820"/>
      <c r="F71" s="2498"/>
      <c r="G71" s="1281"/>
      <c r="H71" s="1285" t="str">
        <f t="shared" si="23"/>
        <v>——</v>
      </c>
      <c r="I71" s="814">
        <v>0.3</v>
      </c>
      <c r="J71" s="1282">
        <f t="shared" si="24"/>
        <v>0</v>
      </c>
      <c r="K71" s="1282">
        <f t="shared" si="25"/>
        <v>0</v>
      </c>
      <c r="L71" s="1282">
        <v>0</v>
      </c>
      <c r="M71" s="1282">
        <f t="shared" si="26"/>
        <v>0</v>
      </c>
      <c r="N71" s="1282">
        <f t="shared" si="26"/>
        <v>0</v>
      </c>
      <c r="AA71" s="1368"/>
      <c r="AB71" s="1368"/>
      <c r="AC71" s="1368"/>
      <c r="AD71" s="1368"/>
      <c r="AE71" s="1368"/>
      <c r="AF71" s="1368"/>
      <c r="AG71" s="1368"/>
      <c r="AH71" s="1368"/>
      <c r="AI71" s="1368"/>
      <c r="AJ71" s="1368"/>
      <c r="AK71" s="1368"/>
    </row>
    <row r="72" spans="1:37" s="1367" customFormat="1" ht="24">
      <c r="A72" s="2875" t="s">
        <v>2955</v>
      </c>
      <c r="B72" s="2879">
        <f>估价对象房地状况!C19</f>
        <v>0</v>
      </c>
      <c r="C72" s="2767"/>
      <c r="D72" s="1283">
        <f t="shared" si="22"/>
        <v>0</v>
      </c>
      <c r="E72" s="820"/>
      <c r="F72" s="2498"/>
      <c r="G72" s="1281"/>
      <c r="H72" s="1285" t="str">
        <f t="shared" si="23"/>
        <v>——</v>
      </c>
      <c r="I72" s="814">
        <v>0.08</v>
      </c>
      <c r="J72" s="1282">
        <f t="shared" si="24"/>
        <v>0</v>
      </c>
      <c r="K72" s="1282">
        <f t="shared" si="25"/>
        <v>0</v>
      </c>
      <c r="L72" s="1282">
        <v>0</v>
      </c>
      <c r="M72" s="1282">
        <f t="shared" si="26"/>
        <v>0</v>
      </c>
      <c r="N72" s="1282">
        <f t="shared" si="26"/>
        <v>0</v>
      </c>
      <c r="AA72" s="1368"/>
      <c r="AB72" s="1368"/>
      <c r="AC72" s="1368"/>
      <c r="AD72" s="1368"/>
      <c r="AE72" s="1368"/>
      <c r="AF72" s="1368"/>
      <c r="AG72" s="1368"/>
      <c r="AH72" s="1368"/>
      <c r="AI72" s="1368"/>
      <c r="AJ72" s="1368"/>
      <c r="AK72" s="1368"/>
    </row>
    <row r="73" spans="1:37" s="1367" customFormat="1" ht="14.25">
      <c r="A73" s="2875" t="s">
        <v>2969</v>
      </c>
      <c r="B73" s="2879">
        <f>估价对象房地状况!C24</f>
        <v>0</v>
      </c>
      <c r="C73" s="2767"/>
      <c r="D73" s="1283">
        <f t="shared" si="22"/>
        <v>0</v>
      </c>
      <c r="E73" s="820"/>
      <c r="F73" s="2498"/>
      <c r="G73" s="1281"/>
      <c r="H73" s="1285" t="str">
        <f t="shared" si="23"/>
        <v>——</v>
      </c>
      <c r="I73" s="814">
        <v>0.04</v>
      </c>
      <c r="J73" s="1282">
        <f t="shared" si="24"/>
        <v>0</v>
      </c>
      <c r="K73" s="1282">
        <f t="shared" si="25"/>
        <v>0</v>
      </c>
      <c r="L73" s="1282">
        <v>0</v>
      </c>
      <c r="M73" s="1282">
        <f t="shared" si="26"/>
        <v>0</v>
      </c>
      <c r="N73" s="1282">
        <f t="shared" si="26"/>
        <v>0</v>
      </c>
      <c r="AA73" s="1368"/>
      <c r="AB73" s="1368"/>
      <c r="AC73" s="1368"/>
      <c r="AD73" s="1368"/>
      <c r="AE73" s="1368"/>
      <c r="AF73" s="1368"/>
      <c r="AG73" s="1368"/>
      <c r="AH73" s="1368"/>
      <c r="AI73" s="1368"/>
      <c r="AJ73" s="1368"/>
      <c r="AK73" s="1368"/>
    </row>
    <row r="74" spans="1:37" s="1367" customFormat="1" ht="25.5">
      <c r="A74" s="2875" t="s">
        <v>2961</v>
      </c>
      <c r="B74" s="1722" t="str">
        <f>估价对象房地状况!C21</f>
        <v>估价对象所在区域公共配套设施齐备情况</v>
      </c>
      <c r="C74" s="2767"/>
      <c r="D74" s="1283">
        <f t="shared" si="22"/>
        <v>0</v>
      </c>
      <c r="E74" s="820"/>
      <c r="F74" s="2498"/>
      <c r="G74" s="1281"/>
      <c r="H74" s="1285" t="str">
        <f t="shared" si="23"/>
        <v>——</v>
      </c>
      <c r="I74" s="814">
        <v>0.08</v>
      </c>
      <c r="J74" s="1282">
        <f t="shared" si="24"/>
        <v>0</v>
      </c>
      <c r="K74" s="1282">
        <f t="shared" si="25"/>
        <v>0</v>
      </c>
      <c r="L74" s="1282">
        <v>0</v>
      </c>
      <c r="M74" s="1282">
        <f t="shared" si="26"/>
        <v>0</v>
      </c>
      <c r="N74" s="1282">
        <f t="shared" si="26"/>
        <v>0</v>
      </c>
      <c r="AA74" s="1368"/>
      <c r="AB74" s="1368"/>
      <c r="AC74" s="1368"/>
      <c r="AD74" s="1368"/>
      <c r="AE74" s="1368"/>
      <c r="AF74" s="1368"/>
      <c r="AG74" s="1368"/>
      <c r="AH74" s="1368"/>
      <c r="AI74" s="1368"/>
      <c r="AJ74" s="1368"/>
      <c r="AK74" s="1368"/>
    </row>
    <row r="75" spans="1:37" s="1367" customFormat="1" ht="25.5">
      <c r="A75" s="2875" t="s">
        <v>2962</v>
      </c>
      <c r="B75" s="1722" t="str">
        <f>估价对象房地状况!C22</f>
        <v>估价对象所在区域基础设施水平</v>
      </c>
      <c r="C75" s="2767"/>
      <c r="D75" s="1283">
        <f t="shared" si="22"/>
        <v>0</v>
      </c>
      <c r="E75" s="820"/>
      <c r="F75" s="2498"/>
      <c r="G75" s="1281"/>
      <c r="H75" s="1285" t="str">
        <f t="shared" si="23"/>
        <v>——</v>
      </c>
      <c r="I75" s="814">
        <v>0.12</v>
      </c>
      <c r="J75" s="1282">
        <f t="shared" si="24"/>
        <v>0</v>
      </c>
      <c r="K75" s="1282">
        <f t="shared" si="25"/>
        <v>0</v>
      </c>
      <c r="L75" s="1282">
        <v>0</v>
      </c>
      <c r="M75" s="1282">
        <f t="shared" si="26"/>
        <v>0</v>
      </c>
      <c r="N75" s="1282">
        <f t="shared" si="26"/>
        <v>0</v>
      </c>
      <c r="AA75" s="1368"/>
      <c r="AB75" s="1368"/>
      <c r="AC75" s="1368"/>
      <c r="AD75" s="1368"/>
      <c r="AE75" s="1368"/>
      <c r="AF75" s="1368"/>
      <c r="AG75" s="1368"/>
      <c r="AH75" s="1368"/>
      <c r="AI75" s="1368"/>
      <c r="AJ75" s="1368"/>
      <c r="AK75" s="1368"/>
    </row>
    <row r="76" spans="1:37" s="2716" customFormat="1" ht="24">
      <c r="A76" s="2875" t="s">
        <v>2959</v>
      </c>
      <c r="B76" s="2881" t="s">
        <v>2960</v>
      </c>
      <c r="C76" s="2767"/>
      <c r="D76" s="1283">
        <f t="shared" si="22"/>
        <v>0</v>
      </c>
      <c r="E76" s="820"/>
      <c r="F76" s="2498"/>
      <c r="G76" s="1281"/>
      <c r="H76" s="1285" t="str">
        <f t="shared" si="23"/>
        <v>——</v>
      </c>
      <c r="I76" s="814">
        <v>0.05</v>
      </c>
      <c r="J76" s="1282">
        <f t="shared" si="24"/>
        <v>0</v>
      </c>
      <c r="K76" s="1282">
        <f t="shared" si="25"/>
        <v>0</v>
      </c>
      <c r="L76" s="1282">
        <v>0</v>
      </c>
      <c r="M76" s="1282">
        <f t="shared" si="26"/>
        <v>0</v>
      </c>
      <c r="N76" s="1282">
        <f t="shared" si="26"/>
        <v>0</v>
      </c>
      <c r="AA76" s="2886"/>
      <c r="AB76" s="1368"/>
      <c r="AC76" s="1368"/>
      <c r="AD76" s="1368"/>
      <c r="AE76" s="1368"/>
      <c r="AF76" s="1368"/>
      <c r="AG76" s="1368"/>
      <c r="AH76" s="2886"/>
      <c r="AI76" s="2886"/>
      <c r="AJ76" s="2886"/>
      <c r="AK76" s="2886"/>
    </row>
    <row r="77" spans="1:37" ht="38.25">
      <c r="A77" s="2875" t="s">
        <v>2963</v>
      </c>
      <c r="B77" s="2878" t="str">
        <f>估价对象房地状况!C20</f>
        <v>区域自然环境：；人文环境；综合评价环境状况一般</v>
      </c>
      <c r="C77" s="2767"/>
      <c r="D77" s="1283">
        <f t="shared" si="22"/>
        <v>0</v>
      </c>
      <c r="E77" s="820"/>
      <c r="F77" s="2498"/>
      <c r="G77" s="1281"/>
      <c r="H77" s="1285" t="str">
        <f t="shared" si="23"/>
        <v>——</v>
      </c>
      <c r="I77" s="814">
        <v>0.15</v>
      </c>
      <c r="J77" s="1282">
        <f t="shared" si="24"/>
        <v>0</v>
      </c>
      <c r="K77" s="1282">
        <f t="shared" si="25"/>
        <v>0</v>
      </c>
      <c r="L77" s="1282">
        <v>0</v>
      </c>
      <c r="M77" s="1282">
        <f t="shared" si="26"/>
        <v>0</v>
      </c>
      <c r="N77" s="1282">
        <f t="shared" si="26"/>
        <v>0</v>
      </c>
      <c r="Z77" s="2717"/>
      <c r="AA77" s="2793"/>
      <c r="AG77" s="1369"/>
      <c r="AK77" s="2793"/>
    </row>
    <row r="78" spans="1:37" ht="24.75" thickBot="1">
      <c r="A78" s="2883" t="s">
        <v>2970</v>
      </c>
      <c r="B78" s="2887"/>
      <c r="C78" s="2767"/>
      <c r="D78" s="1283">
        <f t="shared" si="22"/>
        <v>0</v>
      </c>
      <c r="E78" s="821"/>
      <c r="F78" s="2498"/>
      <c r="G78" s="1281"/>
      <c r="H78" s="1285" t="str">
        <f t="shared" si="23"/>
        <v>——</v>
      </c>
      <c r="I78" s="818">
        <v>0.04</v>
      </c>
      <c r="J78" s="1282">
        <f t="shared" si="24"/>
        <v>0</v>
      </c>
      <c r="K78" s="1282">
        <f t="shared" si="25"/>
        <v>0</v>
      </c>
      <c r="L78" s="1282">
        <v>0</v>
      </c>
      <c r="M78" s="1282">
        <f t="shared" si="26"/>
        <v>0</v>
      </c>
      <c r="N78" s="1282">
        <f t="shared" si="26"/>
        <v>0</v>
      </c>
      <c r="Z78" s="2717"/>
      <c r="AA78" s="2793"/>
      <c r="AG78" s="1369"/>
      <c r="AK78" s="2793"/>
    </row>
    <row r="79" spans="1:37" ht="15">
      <c r="A79" s="2871" t="s">
        <v>2971</v>
      </c>
      <c r="B79" s="2872">
        <f>1+E81</f>
        <v>1</v>
      </c>
      <c r="C79" s="808"/>
      <c r="D79" s="808"/>
      <c r="E79" s="809"/>
      <c r="F79" s="2874"/>
      <c r="G79" s="6"/>
      <c r="H79" s="6"/>
      <c r="I79" s="6"/>
      <c r="J79" s="7"/>
      <c r="K79" s="7"/>
      <c r="L79" s="7"/>
      <c r="M79" s="7"/>
      <c r="N79" s="7"/>
      <c r="Z79" s="2717"/>
      <c r="AA79" s="2793"/>
      <c r="AG79" s="1369"/>
      <c r="AK79" s="2793"/>
    </row>
    <row r="80" spans="1:37" ht="24.75">
      <c r="A80" s="2875" t="s">
        <v>2945</v>
      </c>
      <c r="B80" s="1806"/>
      <c r="C80" s="1806" t="s">
        <v>2947</v>
      </c>
      <c r="D80" s="1806" t="s">
        <v>2948</v>
      </c>
      <c r="E80" s="813" t="s">
        <v>2949</v>
      </c>
      <c r="F80" s="2876" t="s">
        <v>2965</v>
      </c>
      <c r="G80" s="1806" t="s">
        <v>754</v>
      </c>
      <c r="H80" s="2877" t="s">
        <v>2951</v>
      </c>
      <c r="I80" s="1806" t="s">
        <v>2952</v>
      </c>
      <c r="J80" s="603" t="s">
        <v>2599</v>
      </c>
      <c r="K80" s="603" t="s">
        <v>2600</v>
      </c>
      <c r="L80" s="603" t="s">
        <v>2601</v>
      </c>
      <c r="M80" s="603" t="s">
        <v>2602</v>
      </c>
      <c r="N80" s="603" t="s">
        <v>2603</v>
      </c>
      <c r="Z80" s="2717"/>
      <c r="AA80" s="2793"/>
      <c r="AG80" s="1369"/>
      <c r="AK80" s="2793"/>
    </row>
    <row r="81" spans="1:37" ht="38.25">
      <c r="A81" s="2875" t="s">
        <v>2972</v>
      </c>
      <c r="B81" s="2879" t="str">
        <f>估价对象房地状况!G15</f>
        <v>估价对象位于XX开发区，园区建设成熟度XX，产业集聚程度XX</v>
      </c>
      <c r="C81" s="2767"/>
      <c r="D81" s="1283">
        <f t="shared" ref="D81:D88" si="27">SUMIF($J$80:$N$80,C81,J81:N81)</f>
        <v>0</v>
      </c>
      <c r="E81" s="815">
        <f>ROUND(SUM(D81:D88),4)</f>
        <v>0</v>
      </c>
      <c r="F81" s="2498" t="str">
        <f>IF(E2="工业",SUMIF(L1:L12,G2,N1:N12),"——")</f>
        <v>——</v>
      </c>
      <c r="G81" s="1281"/>
      <c r="H81" s="1285" t="str">
        <f t="shared" ref="H81:H88" si="28">IFERROR(ROUNDDOWN($F$81*I81/2,4),"——")</f>
        <v>——</v>
      </c>
      <c r="I81" s="814">
        <v>0.26</v>
      </c>
      <c r="J81" s="1282">
        <f t="shared" ref="J81:J88" si="29">K81+$G81</f>
        <v>0</v>
      </c>
      <c r="K81" s="1282">
        <f t="shared" ref="K81:K88" si="30">$L81+$G81</f>
        <v>0</v>
      </c>
      <c r="L81" s="1282">
        <v>0</v>
      </c>
      <c r="M81" s="1282">
        <f t="shared" ref="M81:N88" si="31">L81-$G81</f>
        <v>0</v>
      </c>
      <c r="N81" s="1282">
        <f t="shared" si="31"/>
        <v>0</v>
      </c>
      <c r="Z81" s="2717"/>
      <c r="AA81" s="2793"/>
      <c r="AG81" s="1369"/>
      <c r="AK81" s="2793"/>
    </row>
    <row r="82" spans="1:37" ht="51">
      <c r="A82" s="2875" t="s">
        <v>2954</v>
      </c>
      <c r="B82" s="2879" t="str">
        <f>估价对象房地状况!G16</f>
        <v>估价对象周边道路状况、公共交通通达情况、停车便捷程度，综合评价交通便捷度较好</v>
      </c>
      <c r="C82" s="2767"/>
      <c r="D82" s="1283">
        <f t="shared" si="27"/>
        <v>0</v>
      </c>
      <c r="E82" s="820"/>
      <c r="F82" s="2498"/>
      <c r="G82" s="1281"/>
      <c r="H82" s="1285" t="str">
        <f t="shared" si="28"/>
        <v>——</v>
      </c>
      <c r="I82" s="814">
        <v>0.33</v>
      </c>
      <c r="J82" s="1282">
        <f t="shared" si="29"/>
        <v>0</v>
      </c>
      <c r="K82" s="1282">
        <f t="shared" si="30"/>
        <v>0</v>
      </c>
      <c r="L82" s="1282">
        <v>0</v>
      </c>
      <c r="M82" s="1282">
        <f t="shared" si="31"/>
        <v>0</v>
      </c>
      <c r="N82" s="1282">
        <f t="shared" si="31"/>
        <v>0</v>
      </c>
      <c r="Z82" s="2717"/>
      <c r="AA82" s="2793"/>
      <c r="AG82" s="1369"/>
      <c r="AK82" s="2793"/>
    </row>
    <row r="83" spans="1:37" ht="24">
      <c r="A83" s="2875" t="s">
        <v>2955</v>
      </c>
      <c r="B83" s="2879">
        <f>估价对象房地状况!G17</f>
        <v>0</v>
      </c>
      <c r="C83" s="2767"/>
      <c r="D83" s="1283">
        <f t="shared" si="27"/>
        <v>0</v>
      </c>
      <c r="E83" s="820"/>
      <c r="F83" s="2498"/>
      <c r="G83" s="1281"/>
      <c r="H83" s="1285" t="str">
        <f t="shared" si="28"/>
        <v>——</v>
      </c>
      <c r="I83" s="814">
        <v>0.05</v>
      </c>
      <c r="J83" s="1282">
        <f t="shared" si="29"/>
        <v>0</v>
      </c>
      <c r="K83" s="1282">
        <f t="shared" si="30"/>
        <v>0</v>
      </c>
      <c r="L83" s="1282">
        <v>0</v>
      </c>
      <c r="M83" s="1282">
        <f t="shared" si="31"/>
        <v>0</v>
      </c>
      <c r="N83" s="1282">
        <f t="shared" si="31"/>
        <v>0</v>
      </c>
      <c r="Z83" s="2717"/>
      <c r="AA83" s="2793"/>
      <c r="AG83" s="1369"/>
      <c r="AK83" s="2793"/>
    </row>
    <row r="84" spans="1:37" ht="14.25">
      <c r="A84" s="2875" t="s">
        <v>2969</v>
      </c>
      <c r="B84" s="2879">
        <f>估价对象房地状况!G22</f>
        <v>0</v>
      </c>
      <c r="C84" s="2767"/>
      <c r="D84" s="1283">
        <f t="shared" si="27"/>
        <v>0</v>
      </c>
      <c r="E84" s="820"/>
      <c r="F84" s="2498"/>
      <c r="G84" s="1281"/>
      <c r="H84" s="1285" t="str">
        <f t="shared" si="28"/>
        <v>——</v>
      </c>
      <c r="I84" s="814">
        <v>0.04</v>
      </c>
      <c r="J84" s="1282">
        <f t="shared" si="29"/>
        <v>0</v>
      </c>
      <c r="K84" s="1282">
        <f t="shared" si="30"/>
        <v>0</v>
      </c>
      <c r="L84" s="1282">
        <v>0</v>
      </c>
      <c r="M84" s="1282">
        <f t="shared" si="31"/>
        <v>0</v>
      </c>
      <c r="N84" s="1282">
        <f t="shared" si="31"/>
        <v>0</v>
      </c>
      <c r="Z84" s="2717"/>
      <c r="AA84" s="2793"/>
      <c r="AG84" s="1369"/>
      <c r="AK84" s="2793"/>
    </row>
    <row r="85" spans="1:37" ht="25.5">
      <c r="A85" s="2875" t="s">
        <v>2961</v>
      </c>
      <c r="B85" s="1722" t="str">
        <f>估价对象房地状况!G19</f>
        <v>估价对象所在区域公共配套设施齐备情况</v>
      </c>
      <c r="C85" s="2767"/>
      <c r="D85" s="1283">
        <f t="shared" si="27"/>
        <v>0</v>
      </c>
      <c r="E85" s="820"/>
      <c r="F85" s="2498"/>
      <c r="G85" s="1281"/>
      <c r="H85" s="1285" t="str">
        <f t="shared" si="28"/>
        <v>——</v>
      </c>
      <c r="I85" s="814">
        <v>0.06</v>
      </c>
      <c r="J85" s="1282">
        <f t="shared" si="29"/>
        <v>0</v>
      </c>
      <c r="K85" s="1282">
        <f t="shared" si="30"/>
        <v>0</v>
      </c>
      <c r="L85" s="1282">
        <v>0</v>
      </c>
      <c r="M85" s="1282">
        <f t="shared" si="31"/>
        <v>0</v>
      </c>
      <c r="N85" s="1282">
        <f t="shared" si="31"/>
        <v>0</v>
      </c>
      <c r="Z85" s="2717"/>
      <c r="AA85" s="2793"/>
      <c r="AG85" s="1369"/>
      <c r="AK85" s="2793"/>
    </row>
    <row r="86" spans="1:37" ht="25.5">
      <c r="A86" s="2875" t="s">
        <v>2962</v>
      </c>
      <c r="B86" s="1722" t="str">
        <f>估价对象房地状况!G20</f>
        <v>估价对象所在区域基础设施水平</v>
      </c>
      <c r="C86" s="2767"/>
      <c r="D86" s="1283">
        <f t="shared" si="27"/>
        <v>0</v>
      </c>
      <c r="E86" s="820"/>
      <c r="F86" s="2498"/>
      <c r="G86" s="1281"/>
      <c r="H86" s="1285" t="str">
        <f t="shared" si="28"/>
        <v>——</v>
      </c>
      <c r="I86" s="814">
        <v>0.15</v>
      </c>
      <c r="J86" s="1282">
        <f t="shared" si="29"/>
        <v>0</v>
      </c>
      <c r="K86" s="1282">
        <f t="shared" si="30"/>
        <v>0</v>
      </c>
      <c r="L86" s="1282">
        <v>0</v>
      </c>
      <c r="M86" s="1282">
        <f t="shared" si="31"/>
        <v>0</v>
      </c>
      <c r="N86" s="1282">
        <f t="shared" si="31"/>
        <v>0</v>
      </c>
      <c r="Z86" s="2717"/>
      <c r="AA86" s="2793"/>
      <c r="AG86" s="1369"/>
      <c r="AK86" s="2793"/>
    </row>
    <row r="87" spans="1:37" ht="24">
      <c r="A87" s="2875" t="s">
        <v>2959</v>
      </c>
      <c r="B87" s="2881" t="s">
        <v>2973</v>
      </c>
      <c r="C87" s="2767"/>
      <c r="D87" s="1283">
        <f t="shared" si="27"/>
        <v>0</v>
      </c>
      <c r="E87" s="820"/>
      <c r="F87" s="2498"/>
      <c r="G87" s="1281"/>
      <c r="H87" s="1285" t="str">
        <f t="shared" si="28"/>
        <v>——</v>
      </c>
      <c r="I87" s="814">
        <v>0.05</v>
      </c>
      <c r="J87" s="1282">
        <f t="shared" si="29"/>
        <v>0</v>
      </c>
      <c r="K87" s="1282">
        <f t="shared" si="30"/>
        <v>0</v>
      </c>
      <c r="L87" s="1282">
        <v>0</v>
      </c>
      <c r="M87" s="1282">
        <f t="shared" si="31"/>
        <v>0</v>
      </c>
      <c r="N87" s="1282">
        <f t="shared" si="31"/>
        <v>0</v>
      </c>
      <c r="Z87" s="2717"/>
      <c r="AA87" s="2793"/>
      <c r="AG87" s="1369"/>
      <c r="AK87" s="2793"/>
    </row>
    <row r="88" spans="1:37" ht="39" thickBot="1">
      <c r="A88" s="2883" t="s">
        <v>2974</v>
      </c>
      <c r="B88" s="2888" t="str">
        <f>估价对象房地状况!G18</f>
        <v>该园区内是否有污染型企业，绿化情况，卫生条件，整体环境状况判断</v>
      </c>
      <c r="C88" s="2767"/>
      <c r="D88" s="1283">
        <f t="shared" si="27"/>
        <v>0</v>
      </c>
      <c r="E88" s="821"/>
      <c r="F88" s="2498"/>
      <c r="G88" s="1281"/>
      <c r="H88" s="1285" t="str">
        <f t="shared" si="28"/>
        <v>——</v>
      </c>
      <c r="I88" s="818">
        <v>0.06</v>
      </c>
      <c r="J88" s="1282">
        <f t="shared" si="29"/>
        <v>0</v>
      </c>
      <c r="K88" s="1282">
        <f t="shared" si="30"/>
        <v>0</v>
      </c>
      <c r="L88" s="1282">
        <v>0</v>
      </c>
      <c r="M88" s="1282">
        <f t="shared" si="31"/>
        <v>0</v>
      </c>
      <c r="N88" s="1282">
        <f t="shared" si="31"/>
        <v>0</v>
      </c>
      <c r="Z88" s="2717"/>
      <c r="AA88" s="2793"/>
      <c r="AG88" s="1369"/>
      <c r="AK88" s="2793"/>
    </row>
    <row r="90" spans="1:37">
      <c r="A90" s="3251" t="s">
        <v>2975</v>
      </c>
      <c r="B90" s="3251"/>
      <c r="C90" s="3251"/>
      <c r="D90" s="3251"/>
      <c r="E90" s="3251"/>
      <c r="F90" s="3251"/>
      <c r="G90" s="3251"/>
      <c r="H90" s="3251"/>
      <c r="I90" s="3251"/>
      <c r="J90" s="3251"/>
      <c r="K90" s="2889"/>
      <c r="L90" s="2889"/>
      <c r="M90" s="2889"/>
      <c r="N90" s="2889"/>
    </row>
    <row r="91" spans="1:37">
      <c r="A91" s="3253" t="s">
        <v>2976</v>
      </c>
      <c r="B91" s="3253" t="s">
        <v>2977</v>
      </c>
      <c r="C91" s="2843" t="s">
        <v>2978</v>
      </c>
      <c r="D91" s="2844"/>
      <c r="E91" s="2844"/>
      <c r="F91" s="2844"/>
      <c r="G91" s="2844"/>
      <c r="H91" s="2844"/>
      <c r="I91" s="2844"/>
      <c r="J91" s="2890"/>
      <c r="K91" s="2891"/>
      <c r="L91" s="2891"/>
      <c r="M91" s="2891"/>
      <c r="N91" s="2891"/>
    </row>
    <row r="92" spans="1:37">
      <c r="A92" s="3253"/>
      <c r="B92" s="3253"/>
      <c r="C92" s="939" t="s">
        <v>2842</v>
      </c>
      <c r="D92" s="939" t="s">
        <v>2843</v>
      </c>
      <c r="E92" s="939" t="s">
        <v>2844</v>
      </c>
      <c r="F92" s="939" t="s">
        <v>2845</v>
      </c>
      <c r="G92" s="939" t="s">
        <v>2846</v>
      </c>
      <c r="H92" s="939" t="s">
        <v>2847</v>
      </c>
      <c r="I92" s="939" t="s">
        <v>2848</v>
      </c>
      <c r="J92" s="939" t="s">
        <v>2849</v>
      </c>
      <c r="K92" s="939" t="s">
        <v>2850</v>
      </c>
      <c r="L92" s="939" t="s">
        <v>2851</v>
      </c>
      <c r="M92" s="939" t="s">
        <v>2852</v>
      </c>
      <c r="N92" s="939" t="s">
        <v>2853</v>
      </c>
    </row>
    <row r="93" spans="1:37">
      <c r="A93" s="3254"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5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5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5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5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5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55"/>
      <c r="B99" s="2892" t="s">
        <v>2858</v>
      </c>
      <c r="C99" s="2894">
        <f>$I$3</f>
        <v>1</v>
      </c>
      <c r="D99" s="2894">
        <f t="shared" ref="D99:M99" si="32">$I$3</f>
        <v>1</v>
      </c>
      <c r="E99" s="2894">
        <f t="shared" si="32"/>
        <v>1</v>
      </c>
      <c r="F99" s="2894">
        <f t="shared" si="32"/>
        <v>1</v>
      </c>
      <c r="G99" s="2894">
        <f t="shared" si="32"/>
        <v>1</v>
      </c>
      <c r="H99" s="2894">
        <f t="shared" si="32"/>
        <v>1</v>
      </c>
      <c r="I99" s="2894">
        <f t="shared" si="32"/>
        <v>1</v>
      </c>
      <c r="J99" s="2894">
        <f t="shared" si="32"/>
        <v>1</v>
      </c>
      <c r="K99" s="2894">
        <f t="shared" si="32"/>
        <v>1</v>
      </c>
      <c r="L99" s="2894">
        <f t="shared" si="32"/>
        <v>1</v>
      </c>
      <c r="M99" s="2894">
        <f t="shared" si="32"/>
        <v>1</v>
      </c>
      <c r="N99" s="2894">
        <f>$I$3</f>
        <v>1</v>
      </c>
    </row>
    <row r="100" spans="1:14">
      <c r="A100" s="3256"/>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254" t="s">
        <v>2980</v>
      </c>
      <c r="B101" s="2896" t="s">
        <v>2981</v>
      </c>
      <c r="C101" s="2897">
        <f>$G$3</f>
        <v>1.59</v>
      </c>
      <c r="D101" s="2897">
        <f t="shared" ref="D101:N101" si="33">$G$3</f>
        <v>1.59</v>
      </c>
      <c r="E101" s="2897">
        <f t="shared" si="33"/>
        <v>1.59</v>
      </c>
      <c r="F101" s="2897">
        <f t="shared" si="33"/>
        <v>1.59</v>
      </c>
      <c r="G101" s="2897">
        <f t="shared" si="33"/>
        <v>1.59</v>
      </c>
      <c r="H101" s="2897">
        <f t="shared" si="33"/>
        <v>1.59</v>
      </c>
      <c r="I101" s="2897">
        <f t="shared" si="33"/>
        <v>1.59</v>
      </c>
      <c r="J101" s="2897">
        <f t="shared" si="33"/>
        <v>1.59</v>
      </c>
      <c r="K101" s="2897">
        <f t="shared" si="33"/>
        <v>1.59</v>
      </c>
      <c r="L101" s="2897">
        <f t="shared" si="33"/>
        <v>1.59</v>
      </c>
      <c r="M101" s="2897">
        <f t="shared" si="33"/>
        <v>1.59</v>
      </c>
      <c r="N101" s="2897">
        <f t="shared" si="33"/>
        <v>1.59</v>
      </c>
    </row>
    <row r="102" spans="1:14">
      <c r="A102" s="3255"/>
      <c r="B102" s="2892">
        <v>1</v>
      </c>
      <c r="C102" s="2893">
        <f>1.9362/C101</f>
        <v>1.2177358490566037</v>
      </c>
      <c r="D102" s="2893">
        <f>1.9362/D101</f>
        <v>1.2177358490566037</v>
      </c>
      <c r="E102" s="2893">
        <f>1.8629/E101</f>
        <v>1.171635220125786</v>
      </c>
      <c r="F102" s="2893">
        <f>1.8629/F101</f>
        <v>1.171635220125786</v>
      </c>
      <c r="G102" s="2893">
        <f>1.8629/G101</f>
        <v>1.171635220125786</v>
      </c>
      <c r="H102" s="2893">
        <f>1.8629/H101</f>
        <v>1.171635220125786</v>
      </c>
      <c r="I102" s="2893">
        <f>1.8629/I101</f>
        <v>1.171635220125786</v>
      </c>
      <c r="J102" s="2893">
        <f>1.942/J101</f>
        <v>1.2213836477987421</v>
      </c>
      <c r="K102" s="2893">
        <f>1.942/K101</f>
        <v>1.2213836477987421</v>
      </c>
      <c r="L102" s="2893">
        <f>1.942/L101</f>
        <v>1.2213836477987421</v>
      </c>
      <c r="M102" s="2893">
        <f>1.942/M101</f>
        <v>1.2213836477987421</v>
      </c>
      <c r="N102" s="2893">
        <f>1.942/N101</f>
        <v>1.2213836477987421</v>
      </c>
    </row>
    <row r="103" spans="1:14">
      <c r="A103" s="3255"/>
      <c r="B103" s="2892">
        <v>2</v>
      </c>
      <c r="C103" s="2893">
        <f>1.4198/C101</f>
        <v>0.89295597484276723</v>
      </c>
      <c r="D103" s="2893">
        <f>1.4198/D101</f>
        <v>0.89295597484276723</v>
      </c>
      <c r="E103" s="2893">
        <f>1.3372/E101</f>
        <v>0.841006289308176</v>
      </c>
      <c r="F103" s="2893">
        <f>1.3372/F101</f>
        <v>0.841006289308176</v>
      </c>
      <c r="G103" s="2893">
        <f>1.3372/G101</f>
        <v>0.841006289308176</v>
      </c>
      <c r="H103" s="2893">
        <f>1.3372/H101</f>
        <v>0.841006289308176</v>
      </c>
      <c r="I103" s="2893">
        <f>1.3372/I101</f>
        <v>0.841006289308176</v>
      </c>
      <c r="J103" s="2893">
        <f>1.2799/J101</f>
        <v>0.80496855345911944</v>
      </c>
      <c r="K103" s="2893">
        <f>1.2799/K101</f>
        <v>0.80496855345911944</v>
      </c>
      <c r="L103" s="2893">
        <f>1.2799/L101</f>
        <v>0.80496855345911944</v>
      </c>
      <c r="M103" s="2893">
        <f>1.2799/M101</f>
        <v>0.80496855345911944</v>
      </c>
      <c r="N103" s="2893">
        <f>1.2799/N101</f>
        <v>0.80496855345911944</v>
      </c>
    </row>
    <row r="104" spans="1:14">
      <c r="A104" s="3255"/>
      <c r="B104" s="2892">
        <v>3</v>
      </c>
      <c r="C104" s="2893">
        <f>1.1594/C101</f>
        <v>0.72918238993710682</v>
      </c>
      <c r="D104" s="2893">
        <f>1.1594/D101</f>
        <v>0.72918238993710682</v>
      </c>
      <c r="E104" s="2893">
        <f>1.0788/E101</f>
        <v>0.67849056603773583</v>
      </c>
      <c r="F104" s="2893">
        <f>1.0788/F101</f>
        <v>0.67849056603773583</v>
      </c>
      <c r="G104" s="2893">
        <f>1.0788/G101</f>
        <v>0.67849056603773583</v>
      </c>
      <c r="H104" s="2893">
        <f>1.0788/H101</f>
        <v>0.67849056603773583</v>
      </c>
      <c r="I104" s="2893">
        <f>1.0788/I101</f>
        <v>0.67849056603773583</v>
      </c>
      <c r="J104" s="2893">
        <f>1.0072/J101</f>
        <v>0.63345911949685541</v>
      </c>
      <c r="K104" s="2893">
        <f>1.0072/K101</f>
        <v>0.63345911949685541</v>
      </c>
      <c r="L104" s="2893">
        <f>1.0072/L101</f>
        <v>0.63345911949685541</v>
      </c>
      <c r="M104" s="2893">
        <f>1.0072/M101</f>
        <v>0.63345911949685541</v>
      </c>
      <c r="N104" s="2893">
        <f>1.0072/N101</f>
        <v>0.63345911949685541</v>
      </c>
    </row>
    <row r="105" spans="1:14">
      <c r="A105" s="3255"/>
      <c r="B105" s="2892">
        <v>4</v>
      </c>
      <c r="C105" s="2893">
        <f>0.9622/C101</f>
        <v>0.60515723270440247</v>
      </c>
      <c r="D105" s="2893">
        <f>0.9622/D101</f>
        <v>0.60515723270440247</v>
      </c>
      <c r="E105" s="2893">
        <f>0.8656/E101</f>
        <v>0.54440251572327047</v>
      </c>
      <c r="F105" s="2893">
        <f>0.8656/F101</f>
        <v>0.54440251572327047</v>
      </c>
      <c r="G105" s="2893">
        <f>0.8656/G101</f>
        <v>0.54440251572327047</v>
      </c>
      <c r="H105" s="2893">
        <f>0.8656/H101</f>
        <v>0.54440251572327047</v>
      </c>
      <c r="I105" s="2893">
        <f>0.8656/I101</f>
        <v>0.54440251572327047</v>
      </c>
      <c r="J105" s="2893">
        <f>0.7525/J101</f>
        <v>0.47327044025157228</v>
      </c>
      <c r="K105" s="2893">
        <f>0.7525/K101</f>
        <v>0.47327044025157228</v>
      </c>
      <c r="L105" s="2893">
        <f>0.7525/L101</f>
        <v>0.47327044025157228</v>
      </c>
      <c r="M105" s="2893">
        <f>0.7525/M101</f>
        <v>0.47327044025157228</v>
      </c>
      <c r="N105" s="2893">
        <f>0.7525/N101</f>
        <v>0.47327044025157228</v>
      </c>
    </row>
    <row r="106" spans="1:14">
      <c r="A106" s="3255"/>
      <c r="B106" s="2892">
        <v>5</v>
      </c>
      <c r="C106" s="2893">
        <f>0.8417/C101</f>
        <v>0.52937106918238996</v>
      </c>
      <c r="D106" s="2893">
        <f>0.8417/D101</f>
        <v>0.52937106918238996</v>
      </c>
      <c r="E106" s="2893">
        <f>0.7371/E101</f>
        <v>0.4635849056603773</v>
      </c>
      <c r="F106" s="2893">
        <f>0.7371/F101</f>
        <v>0.4635849056603773</v>
      </c>
      <c r="G106" s="2893">
        <f>0.7371/G101</f>
        <v>0.4635849056603773</v>
      </c>
      <c r="H106" s="2893">
        <f>0.7371/H101</f>
        <v>0.4635849056603773</v>
      </c>
      <c r="I106" s="2893">
        <f>0.7371/I101</f>
        <v>0.4635849056603773</v>
      </c>
      <c r="J106" s="2893">
        <f>0.5659/J101</f>
        <v>0.35591194968553452</v>
      </c>
      <c r="K106" s="2893">
        <f>0.5659/K101</f>
        <v>0.35591194968553452</v>
      </c>
      <c r="L106" s="2893">
        <f>0.5659/L101</f>
        <v>0.35591194968553452</v>
      </c>
      <c r="M106" s="2893">
        <f>0.5659/M101</f>
        <v>0.35591194968553452</v>
      </c>
      <c r="N106" s="2893">
        <f>0.5659/N101</f>
        <v>0.35591194968553452</v>
      </c>
    </row>
    <row r="107" spans="1:14">
      <c r="A107" s="3255"/>
      <c r="B107" s="2892">
        <v>6</v>
      </c>
      <c r="C107" s="2893">
        <f>0.7608/C101</f>
        <v>0.47849056603773582</v>
      </c>
      <c r="D107" s="2893">
        <f>0.7608/D101</f>
        <v>0.47849056603773582</v>
      </c>
      <c r="E107" s="2893">
        <f>0.6482/E101</f>
        <v>0.40767295597484277</v>
      </c>
      <c r="F107" s="2893">
        <f>0.6482/F101</f>
        <v>0.40767295597484277</v>
      </c>
      <c r="G107" s="2893">
        <f>0.6482/G101</f>
        <v>0.40767295597484277</v>
      </c>
      <c r="H107" s="2893">
        <f>0.6482/H101</f>
        <v>0.40767295597484277</v>
      </c>
      <c r="I107" s="2893">
        <f>0.6482/I101</f>
        <v>0.40767295597484277</v>
      </c>
      <c r="J107" s="2893">
        <f>0.4525/J101</f>
        <v>0.28459119496855345</v>
      </c>
      <c r="K107" s="2893">
        <f>0.4525/K101</f>
        <v>0.28459119496855345</v>
      </c>
      <c r="L107" s="2893">
        <f>0.4525/L101</f>
        <v>0.28459119496855345</v>
      </c>
      <c r="M107" s="2893">
        <f>0.4525/M101</f>
        <v>0.28459119496855345</v>
      </c>
      <c r="N107" s="2893">
        <f>0.4525/N101</f>
        <v>0.28459119496855345</v>
      </c>
    </row>
    <row r="108" spans="1:14">
      <c r="A108" s="3255"/>
      <c r="B108" s="3081" t="s">
        <v>2982</v>
      </c>
      <c r="C108" s="2894">
        <f>C99</f>
        <v>1</v>
      </c>
      <c r="D108" s="2894">
        <f t="shared" ref="D108:N108" si="34">D99</f>
        <v>1</v>
      </c>
      <c r="E108" s="2894">
        <f t="shared" si="34"/>
        <v>1</v>
      </c>
      <c r="F108" s="2894">
        <f t="shared" si="34"/>
        <v>1</v>
      </c>
      <c r="G108" s="2894">
        <f t="shared" si="34"/>
        <v>1</v>
      </c>
      <c r="H108" s="2894">
        <f t="shared" si="34"/>
        <v>1</v>
      </c>
      <c r="I108" s="2894">
        <f t="shared" si="34"/>
        <v>1</v>
      </c>
      <c r="J108" s="2894">
        <f t="shared" si="34"/>
        <v>1</v>
      </c>
      <c r="K108" s="2894">
        <f t="shared" si="34"/>
        <v>1</v>
      </c>
      <c r="L108" s="2894">
        <f t="shared" si="34"/>
        <v>1</v>
      </c>
      <c r="M108" s="2894">
        <f t="shared" si="34"/>
        <v>1</v>
      </c>
      <c r="N108" s="2894">
        <f t="shared" si="34"/>
        <v>1</v>
      </c>
    </row>
    <row r="109" spans="1:14">
      <c r="A109" s="3256"/>
      <c r="B109" s="3082"/>
      <c r="C109" s="2895">
        <f>(-0.163*(C108^2)-0.59*C108+7617)*(10^(-4))/C101</f>
        <v>0.47900924528301886</v>
      </c>
      <c r="D109" s="2895">
        <f>(-0.163*(D108^2)-0.59*D108+7617)*(10^(-4))/D101</f>
        <v>0.47900924528301886</v>
      </c>
      <c r="E109" s="2895">
        <f>(-0.161*(E108^2)-7.509*E108+6533)*(10^(-4))/E101</f>
        <v>0.41039811320754715</v>
      </c>
      <c r="F109" s="2895">
        <f>(-0.161*(F108^2)-7.509*F108+6533)*(10^(-4))/F101</f>
        <v>0.41039811320754715</v>
      </c>
      <c r="G109" s="2895">
        <f>(-0.161*(G108^2)-7.509*G108+6533)*(10^(-4))/G101</f>
        <v>0.41039811320754715</v>
      </c>
      <c r="H109" s="2895">
        <f>(-0.161*(H108^2)-7.509*H108+6533)*(10^(-4))/H101</f>
        <v>0.41039811320754715</v>
      </c>
      <c r="I109" s="2895">
        <f>(-0.161*(I108^2)-7.509*I108+6533)*(10^(-4))/I101</f>
        <v>0.41039811320754715</v>
      </c>
      <c r="J109" s="2895">
        <f>(-0.214*(J108^2)-21.991*J108+4665)*(10^(-4))/J101</f>
        <v>0.29199968553459121</v>
      </c>
      <c r="K109" s="2895">
        <f>(-0.214*(K108^2)-21.991*K108+4665)*(10^(-4))/K101</f>
        <v>0.29199968553459121</v>
      </c>
      <c r="L109" s="2895">
        <f>(-0.214*(L108^2)-21.991*L108+4665)*(10^(-4))/L101</f>
        <v>0.29199968553459121</v>
      </c>
      <c r="M109" s="2895">
        <f>(-0.214*(M108^2)-21.991*M108+4665)*(10^(-4))/M101</f>
        <v>0.29199968553459121</v>
      </c>
      <c r="N109" s="2895">
        <f>(-0.214*(N108^2)-21.991*N108+4665)*(10^(-4))/N101</f>
        <v>0.29199968553459121</v>
      </c>
    </row>
    <row r="110" spans="1:14">
      <c r="A110" s="3252" t="s">
        <v>2983</v>
      </c>
      <c r="B110" s="3252"/>
      <c r="C110" s="3252"/>
      <c r="D110" s="3252"/>
      <c r="E110" s="3252"/>
      <c r="F110" s="3252"/>
      <c r="G110" s="3252"/>
      <c r="H110" s="3252"/>
      <c r="I110" s="3252"/>
      <c r="J110" s="3252"/>
      <c r="K110" s="2898"/>
      <c r="L110" s="2898"/>
      <c r="M110" s="2898"/>
      <c r="N110" s="2898"/>
    </row>
    <row r="112" spans="1:14" ht="13.5" thickBot="1"/>
    <row r="113" spans="1:13" ht="25.5" thickBot="1">
      <c r="A113" s="897" t="s">
        <v>2984</v>
      </c>
      <c r="B113" s="1284">
        <f>G3</f>
        <v>1.59</v>
      </c>
      <c r="C113" s="898" t="s">
        <v>2985</v>
      </c>
      <c r="D113" s="899">
        <f>SUMPRODUCT((A115:A118=F113)*(B114:M114=H113)*B115:M118)</f>
        <v>0.81579999999999997</v>
      </c>
      <c r="E113" s="2721" t="s">
        <v>2816</v>
      </c>
      <c r="F113" s="2900" t="str">
        <f>E2</f>
        <v>商业</v>
      </c>
      <c r="G113" s="2721" t="s">
        <v>2817</v>
      </c>
      <c r="H113" s="2900" t="str">
        <f>G2</f>
        <v>六级</v>
      </c>
      <c r="I113" s="2721"/>
      <c r="J113" s="2901"/>
      <c r="K113" s="2901"/>
      <c r="L113" s="2901"/>
      <c r="M113" s="2901"/>
    </row>
    <row r="114" spans="1:13">
      <c r="A114" s="902"/>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3" t="s">
        <v>2880</v>
      </c>
      <c r="B115" s="904">
        <f>ROUND(0.9335-0.0094*B113,4)</f>
        <v>0.91859999999999997</v>
      </c>
      <c r="C115" s="904">
        <f>B115</f>
        <v>0.91859999999999997</v>
      </c>
      <c r="D115" s="904">
        <f>ROUND(0.8331-0.0109*B113,4)</f>
        <v>0.81579999999999997</v>
      </c>
      <c r="E115" s="904">
        <f>D115</f>
        <v>0.81579999999999997</v>
      </c>
      <c r="F115" s="904">
        <f>E115</f>
        <v>0.81579999999999997</v>
      </c>
      <c r="G115" s="904">
        <f>F115</f>
        <v>0.81579999999999997</v>
      </c>
      <c r="H115" s="904">
        <f>G115</f>
        <v>0.81579999999999997</v>
      </c>
      <c r="I115" s="904">
        <f>ROUND(0.689-0.0155*B113,4)</f>
        <v>0.66439999999999999</v>
      </c>
      <c r="J115" s="904">
        <f t="shared" ref="J115:M118" si="35">I115</f>
        <v>0.66439999999999999</v>
      </c>
      <c r="K115" s="904">
        <f t="shared" si="35"/>
        <v>0.66439999999999999</v>
      </c>
      <c r="L115" s="904">
        <f t="shared" si="35"/>
        <v>0.66439999999999999</v>
      </c>
      <c r="M115" s="905">
        <f t="shared" si="35"/>
        <v>0.66439999999999999</v>
      </c>
    </row>
    <row r="116" spans="1:13">
      <c r="A116" s="903" t="s">
        <v>2881</v>
      </c>
      <c r="B116" s="904">
        <f>ROUND(0.949-0.012*B113,4)</f>
        <v>0.92989999999999995</v>
      </c>
      <c r="C116" s="904">
        <f>B116</f>
        <v>0.92989999999999995</v>
      </c>
      <c r="D116" s="904">
        <f>ROUND(0.8567-0.013*B113,4)</f>
        <v>0.83599999999999997</v>
      </c>
      <c r="E116" s="904">
        <f t="shared" ref="E116:H117" si="36">D116</f>
        <v>0.83599999999999997</v>
      </c>
      <c r="F116" s="904">
        <f t="shared" si="36"/>
        <v>0.83599999999999997</v>
      </c>
      <c r="G116" s="904">
        <f t="shared" si="36"/>
        <v>0.83599999999999997</v>
      </c>
      <c r="H116" s="904">
        <f t="shared" si="36"/>
        <v>0.83599999999999997</v>
      </c>
      <c r="I116" s="904">
        <f>ROUND(0.7694-0.014*B113,4)</f>
        <v>0.74709999999999999</v>
      </c>
      <c r="J116" s="904">
        <f t="shared" si="35"/>
        <v>0.74709999999999999</v>
      </c>
      <c r="K116" s="904">
        <f t="shared" si="35"/>
        <v>0.74709999999999999</v>
      </c>
      <c r="L116" s="904">
        <f t="shared" si="35"/>
        <v>0.74709999999999999</v>
      </c>
      <c r="M116" s="905">
        <f t="shared" si="35"/>
        <v>0.74709999999999999</v>
      </c>
    </row>
    <row r="117" spans="1:13">
      <c r="A117" s="903" t="s">
        <v>2882</v>
      </c>
      <c r="B117" s="904">
        <f>ROUND(0.8808-0.006*B113,4)</f>
        <v>0.87129999999999996</v>
      </c>
      <c r="C117" s="904">
        <f>B117</f>
        <v>0.87129999999999996</v>
      </c>
      <c r="D117" s="904">
        <f>ROUND(0.8748-0.008*B113,4)</f>
        <v>0.86209999999999998</v>
      </c>
      <c r="E117" s="904">
        <f t="shared" si="36"/>
        <v>0.86209999999999998</v>
      </c>
      <c r="F117" s="904">
        <f t="shared" si="36"/>
        <v>0.86209999999999998</v>
      </c>
      <c r="G117" s="904">
        <f t="shared" si="36"/>
        <v>0.86209999999999998</v>
      </c>
      <c r="H117" s="904">
        <f t="shared" si="36"/>
        <v>0.86209999999999998</v>
      </c>
      <c r="I117" s="904">
        <f>ROUND(0.7412-0.0095*B113,4)</f>
        <v>0.72609999999999997</v>
      </c>
      <c r="J117" s="904">
        <f t="shared" si="35"/>
        <v>0.72609999999999997</v>
      </c>
      <c r="K117" s="904">
        <f t="shared" si="35"/>
        <v>0.72609999999999997</v>
      </c>
      <c r="L117" s="904">
        <f t="shared" si="35"/>
        <v>0.72609999999999997</v>
      </c>
      <c r="M117" s="905">
        <f t="shared" si="35"/>
        <v>0.72609999999999997</v>
      </c>
    </row>
    <row r="118" spans="1:13" ht="13.5" thickBot="1">
      <c r="A118" s="714" t="s">
        <v>2883</v>
      </c>
      <c r="B118" s="906">
        <f>ROUND(0.7275-0.01*B113,4)</f>
        <v>0.71160000000000001</v>
      </c>
      <c r="C118" s="906">
        <f>B118</f>
        <v>0.71160000000000001</v>
      </c>
      <c r="D118" s="906">
        <f>ROUND(0.7043-0.012*B113,4)</f>
        <v>0.68520000000000003</v>
      </c>
      <c r="E118" s="906">
        <f>D118</f>
        <v>0.68520000000000003</v>
      </c>
      <c r="F118" s="906">
        <f>E118</f>
        <v>0.68520000000000003</v>
      </c>
      <c r="G118" s="906">
        <f>ROUND(0.6299-0.0122*B113,4)</f>
        <v>0.61050000000000004</v>
      </c>
      <c r="H118" s="906">
        <f>G118</f>
        <v>0.61050000000000004</v>
      </c>
      <c r="I118" s="906">
        <f>ROUND(0.5667-0.0136*B113,4)</f>
        <v>0.54510000000000003</v>
      </c>
      <c r="J118" s="906">
        <f t="shared" si="35"/>
        <v>0.54510000000000003</v>
      </c>
      <c r="K118" s="906">
        <f t="shared" si="35"/>
        <v>0.54510000000000003</v>
      </c>
      <c r="L118" s="906">
        <f t="shared" si="35"/>
        <v>0.54510000000000003</v>
      </c>
      <c r="M118" s="907">
        <f t="shared" si="35"/>
        <v>0.54510000000000003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1" t="str">
        <f>项目基本情况!B1</f>
        <v>北京市朝阳区建国路管庄6号房地产抵押价值预评估</v>
      </c>
      <c r="C37" s="2961"/>
      <c r="D37" s="2961"/>
      <c r="E37" s="2961"/>
      <c r="F37" s="2961"/>
      <c r="G37" s="2961"/>
      <c r="H37" s="2961"/>
      <c r="I37" s="2961"/>
    </row>
    <row r="38" spans="1:9">
      <c r="A38" s="1013"/>
      <c r="B38" s="1013"/>
    </row>
    <row r="39" spans="1:9">
      <c r="A39" s="1011" t="s">
        <v>818</v>
      </c>
      <c r="B39" s="1011" t="s">
        <v>820</v>
      </c>
    </row>
    <row r="40" spans="1:9">
      <c r="A40" s="1011"/>
      <c r="B40" s="1939" t="str">
        <f>项目基本情况!B5</f>
        <v>北京市朝阳区管庄农工商联合公司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康正预评字2018-1-0335-P01DYGJ1号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5" sqref="C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4"/>
      <c r="C1" s="242"/>
      <c r="D1" s="242"/>
      <c r="E1" s="242"/>
      <c r="F1" s="242"/>
      <c r="G1" s="1376">
        <f>MATCH(B1,'数据-取费表'!A6:A16,0)+5</f>
        <v>7</v>
      </c>
    </row>
    <row r="2" spans="1:9" s="244" customFormat="1" ht="18" customHeight="1">
      <c r="A2" s="245" t="s">
        <v>2329</v>
      </c>
      <c r="B2" s="246">
        <f ca="1">IF(D2="——",C52,C52-E2)</f>
        <v>10299</v>
      </c>
      <c r="C2" s="243" t="s">
        <v>2330</v>
      </c>
      <c r="D2" s="2544" t="s">
        <v>70</v>
      </c>
      <c r="E2" s="1437" t="e">
        <f ca="1">SUMIF(INDIRECT("'"&amp;G2&amp;"'"&amp;"!A:A"),"承租人权益价值",INDIRECT("'"&amp;G2&amp;"'"&amp;"!c:c"))</f>
        <v>#REF!</v>
      </c>
      <c r="F2" s="2545" t="s">
        <v>2330</v>
      </c>
      <c r="G2" s="2546"/>
    </row>
    <row r="3" spans="1:9" s="244" customFormat="1" ht="18" customHeight="1" thickBot="1">
      <c r="A3" s="247" t="s">
        <v>2331</v>
      </c>
      <c r="B3" s="248">
        <f ca="1">ROUND(B2*10000/(IF(B1="",'数据-汇总表'!E3,INDIRECT("'数据-取费表'!k"&amp;$G$1))),0)</f>
        <v>21890</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6753</v>
      </c>
      <c r="D5" s="255" t="s">
        <v>2336</v>
      </c>
      <c r="E5" s="256" t="s">
        <v>2337</v>
      </c>
      <c r="F5" s="256" t="s">
        <v>2338</v>
      </c>
      <c r="G5" s="257"/>
    </row>
    <row r="6" spans="1:9" s="258" customFormat="1" ht="13.5" customHeight="1">
      <c r="A6" s="946" t="s">
        <v>2339</v>
      </c>
      <c r="B6" s="259" t="s">
        <v>2340</v>
      </c>
      <c r="C6" s="260">
        <f ca="1">SUM(基准地价修正!V2:V5)</f>
        <v>6462</v>
      </c>
      <c r="D6" s="261"/>
      <c r="E6" s="262"/>
      <c r="F6" s="262"/>
      <c r="G6" s="263"/>
    </row>
    <row r="7" spans="1:9" s="258" customFormat="1" ht="13.5" customHeight="1">
      <c r="A7" s="946" t="s">
        <v>2341</v>
      </c>
      <c r="B7" s="259" t="s">
        <v>2342</v>
      </c>
      <c r="C7" s="264">
        <f ca="1">ROUND(C6*F7,0)</f>
        <v>197</v>
      </c>
      <c r="D7" s="264"/>
      <c r="E7" s="262"/>
      <c r="F7" s="265">
        <f>'数据-取费表'!B48+'数据-取费表'!B49</f>
        <v>3.0499999999999999E-2</v>
      </c>
      <c r="G7" s="263"/>
    </row>
    <row r="8" spans="1:9" s="267" customFormat="1">
      <c r="A8" s="946" t="s">
        <v>2343</v>
      </c>
      <c r="B8" s="259" t="s">
        <v>2344</v>
      </c>
      <c r="C8" s="264">
        <f>IF(G8="已包含在土地购买价格中","0",IF(B1="",'数据-取费表'!B29,IF(G9="全部缴纳",C9+C10,H9)))</f>
        <v>94</v>
      </c>
      <c r="D8" s="266"/>
      <c r="E8" s="264"/>
      <c r="F8" s="265"/>
      <c r="G8" s="2547" t="s">
        <v>3097</v>
      </c>
    </row>
    <row r="9" spans="1:9" s="258" customFormat="1" ht="13.5" customHeight="1">
      <c r="A9" s="947" t="s">
        <v>800</v>
      </c>
      <c r="B9" s="268" t="s">
        <v>2345</v>
      </c>
      <c r="C9" s="269">
        <f ca="1">ROUND(D9*E9/10000,0)</f>
        <v>0</v>
      </c>
      <c r="D9" s="1029">
        <f ca="1">IF(B1="",'数据-汇总表'!E5,IF(INDIRECT("'数据-取费表'!c"&amp;$G$1)="住宅",INDIRECT("'数据-取费表'!k"&amp;$G$1),0))</f>
        <v>0</v>
      </c>
      <c r="E9" s="269">
        <f>'数据-取费表'!B27</f>
        <v>160</v>
      </c>
      <c r="F9" s="265"/>
      <c r="G9" s="2548"/>
      <c r="H9" s="1387"/>
      <c r="I9" s="2549" t="s">
        <v>2346</v>
      </c>
    </row>
    <row r="10" spans="1:9" s="258" customFormat="1" ht="13.5" customHeight="1">
      <c r="A10" s="947" t="s">
        <v>801</v>
      </c>
      <c r="B10" s="268" t="s">
        <v>2347</v>
      </c>
      <c r="C10" s="269">
        <f ca="1">ROUND(D10*E10/10000,0)</f>
        <v>94</v>
      </c>
      <c r="D10" s="1029">
        <f ca="1">IF(B1="",'数据-汇总表'!E6,IF(INDIRECT("'数据-取费表'!c"&amp;$G$1)="住宅",INDIRECT("'数据-取费表'!s"&amp;$G$1),INDIRECT("'数据-取费表'!k"&amp;$G$1)+INDIRECT("'数据-取费表'!s"&amp;$G$1)))</f>
        <v>4704.8599999999997</v>
      </c>
      <c r="E10" s="269">
        <f>'数据-取费表'!B28</f>
        <v>200</v>
      </c>
      <c r="F10" s="265"/>
      <c r="G10" s="270"/>
    </row>
    <row r="11" spans="1:9" s="258" customFormat="1" ht="13.5" hidden="1" customHeight="1">
      <c r="A11" s="271" t="s">
        <v>7</v>
      </c>
      <c r="B11" s="259" t="s">
        <v>2348</v>
      </c>
      <c r="C11" s="255"/>
      <c r="D11" s="1031"/>
      <c r="E11" s="262"/>
      <c r="F11" s="262"/>
      <c r="G11" s="263"/>
    </row>
    <row r="12" spans="1:9" s="258" customFormat="1" ht="13.5" hidden="1" customHeight="1">
      <c r="A12" s="271" t="s">
        <v>8</v>
      </c>
      <c r="B12" s="259" t="s">
        <v>2349</v>
      </c>
      <c r="C12" s="255">
        <v>0</v>
      </c>
      <c r="D12" s="1031"/>
      <c r="E12" s="272"/>
      <c r="F12" s="265">
        <v>3.0499999999999999E-2</v>
      </c>
      <c r="G12" s="263"/>
    </row>
    <row r="13" spans="1:9" s="258" customFormat="1" ht="13.5" hidden="1" customHeight="1">
      <c r="A13" s="271" t="s">
        <v>9</v>
      </c>
      <c r="B13" s="259" t="s">
        <v>2350</v>
      </c>
      <c r="C13" s="255"/>
      <c r="D13" s="1031"/>
      <c r="E13" s="262"/>
      <c r="F13" s="262"/>
      <c r="G13" s="263"/>
    </row>
    <row r="14" spans="1:9" s="258" customFormat="1" ht="13.5" hidden="1" customHeight="1">
      <c r="A14" s="271" t="s">
        <v>10</v>
      </c>
      <c r="B14" s="259" t="s">
        <v>2351</v>
      </c>
      <c r="C14" s="255"/>
      <c r="D14" s="1031"/>
      <c r="E14" s="262"/>
      <c r="F14" s="262"/>
      <c r="G14" s="263" t="s">
        <v>2352</v>
      </c>
    </row>
    <row r="15" spans="1:9" s="258" customFormat="1" ht="13.5" hidden="1" customHeight="1">
      <c r="A15" s="271" t="s">
        <v>11</v>
      </c>
      <c r="B15" s="259" t="s">
        <v>2353</v>
      </c>
      <c r="C15" s="264"/>
      <c r="D15" s="1031"/>
      <c r="E15" s="262"/>
      <c r="F15" s="262"/>
      <c r="G15" s="263" t="s">
        <v>2354</v>
      </c>
    </row>
    <row r="16" spans="1:9" s="258" customFormat="1" ht="13.5" hidden="1" customHeight="1">
      <c r="A16" s="271" t="s">
        <v>12</v>
      </c>
      <c r="B16" s="259" t="s">
        <v>2351</v>
      </c>
      <c r="C16" s="264"/>
      <c r="D16" s="1031"/>
      <c r="E16" s="262"/>
      <c r="F16" s="262"/>
      <c r="G16" s="263"/>
    </row>
    <row r="17" spans="1:7" s="258" customFormat="1" ht="13.5" hidden="1" customHeight="1">
      <c r="A17" s="271" t="s">
        <v>13</v>
      </c>
      <c r="B17" s="259" t="s">
        <v>2355</v>
      </c>
      <c r="C17" s="273"/>
      <c r="D17" s="1032"/>
      <c r="E17" s="273"/>
      <c r="F17" s="273"/>
      <c r="G17" s="263" t="s">
        <v>2354</v>
      </c>
    </row>
    <row r="18" spans="1:7" s="258" customFormat="1" ht="13.5" hidden="1" customHeight="1">
      <c r="A18" s="271" t="s">
        <v>14</v>
      </c>
      <c r="B18" s="259" t="s">
        <v>2356</v>
      </c>
      <c r="C18" s="264">
        <v>0</v>
      </c>
      <c r="D18" s="1031"/>
      <c r="E18" s="262"/>
      <c r="F18" s="265">
        <v>3.0499999999999999E-2</v>
      </c>
      <c r="G18" s="263" t="s">
        <v>2357</v>
      </c>
    </row>
    <row r="19" spans="1:7" s="267" customFormat="1" ht="13.5" customHeight="1">
      <c r="A19" s="299" t="s">
        <v>2358</v>
      </c>
      <c r="B19" s="254" t="s">
        <v>2359</v>
      </c>
      <c r="C19" s="255" t="str">
        <f>IF(G19="已包含在土地取得成本中","0",ROUND(D19*E19/10000,0))</f>
        <v>0</v>
      </c>
      <c r="D19" s="1033">
        <f ca="1">D9+D10</f>
        <v>4704.8599999999997</v>
      </c>
      <c r="E19" s="255">
        <f>'数据-取费表'!B31</f>
        <v>200</v>
      </c>
      <c r="F19" s="275"/>
      <c r="G19" s="2547" t="s">
        <v>3098</v>
      </c>
    </row>
    <row r="20" spans="1:7" s="258" customFormat="1" ht="13.5" customHeight="1">
      <c r="A20" s="299" t="s">
        <v>2360</v>
      </c>
      <c r="B20" s="254" t="s">
        <v>2361</v>
      </c>
      <c r="C20" s="276">
        <f ca="1">ROUND((C5+C19)*F20,0)</f>
        <v>135</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1">
        <f ca="1">ROUND(SUM(C23:C25),0)</f>
        <v>297</v>
      </c>
      <c r="D22" s="279">
        <f ca="1">C26</f>
        <v>4.0000000000000002E-4</v>
      </c>
      <c r="E22" s="280" t="s">
        <v>2365</v>
      </c>
      <c r="F22" s="281">
        <f ca="1">'数据-取费表'!B40</f>
        <v>4.3499999999999997E-2</v>
      </c>
      <c r="G22" s="278" t="str">
        <f>IF('数据-取费表'!B22&lt;=1,"单利计息","复利计息")</f>
        <v>单利计息</v>
      </c>
    </row>
    <row r="23" spans="1:7" s="258" customFormat="1" ht="13.5" customHeight="1">
      <c r="A23" s="948" t="s">
        <v>2369</v>
      </c>
      <c r="B23" s="259" t="s">
        <v>2370</v>
      </c>
      <c r="C23" s="1352">
        <f ca="1">ROUND(IF('数据-取费表'!B22&lt;=1,C5*F22*'数据-取费表'!B23,C5*(POWER((1+F22),'数据-取费表'!B23)-1)),0)</f>
        <v>294</v>
      </c>
      <c r="D23" s="282"/>
      <c r="E23" s="282"/>
      <c r="F23" s="283"/>
      <c r="G23" s="284" t="s">
        <v>2371</v>
      </c>
    </row>
    <row r="24" spans="1:7" s="258" customFormat="1" ht="13.5" customHeight="1">
      <c r="A24" s="948" t="s">
        <v>2372</v>
      </c>
      <c r="B24" s="259" t="s">
        <v>2373</v>
      </c>
      <c r="C24" s="1352">
        <f ca="1">ROUND(IF('数据-取费表'!B22&lt;=1,C19*F22*('数据-取费表'!B19/2+'数据-取费表'!B21),C19*(POWER((1+F22),('数据-取费表'!B19/2+'数据-取费表'!B21))-1)),0)</f>
        <v>0</v>
      </c>
      <c r="D24" s="282"/>
      <c r="E24" s="282"/>
      <c r="F24" s="283"/>
      <c r="G24" s="284" t="s">
        <v>2374</v>
      </c>
    </row>
    <row r="25" spans="1:7" s="258" customFormat="1" ht="24">
      <c r="A25" s="948" t="s">
        <v>2375</v>
      </c>
      <c r="B25" s="259" t="s">
        <v>2376</v>
      </c>
      <c r="C25" s="1352">
        <f ca="1">ROUND(IF('数据-取费表'!B22&lt;=1,C20*F22*'数据-取费表'!B23/2,C20*(POWER((1+F22),'数据-取费表'!B23/2)-1)),0)</f>
        <v>3</v>
      </c>
      <c r="D25" s="282"/>
      <c r="E25" s="285"/>
      <c r="F25" s="283"/>
      <c r="G25" s="286" t="s">
        <v>2377</v>
      </c>
    </row>
    <row r="26" spans="1:7" s="258" customFormat="1">
      <c r="A26" s="948" t="s">
        <v>795</v>
      </c>
      <c r="B26" s="259" t="s">
        <v>2378</v>
      </c>
      <c r="C26" s="282">
        <f ca="1">ROUND(IF('数据-取费表'!B22&lt;=1,F21*F22*'数据-取费表'!B23/2,F21*(POWER((1+F22),'数据-取费表'!B23/2)-1)),4)</f>
        <v>4.0000000000000002E-4</v>
      </c>
      <c r="D26" s="282"/>
      <c r="E26" s="285"/>
      <c r="F26" s="283"/>
      <c r="G26" s="287"/>
    </row>
    <row r="27" spans="1:7" s="258" customFormat="1" ht="24.75">
      <c r="A27" s="299" t="s">
        <v>2379</v>
      </c>
      <c r="B27" s="288" t="s">
        <v>2380</v>
      </c>
      <c r="C27" s="289">
        <f ca="1">C28</f>
        <v>1033</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ROUND((C5+C19+C20)*F27*'数据-取费表'!B21/'数据-取费表'!B20,0)</f>
        <v>1033</v>
      </c>
      <c r="D28" s="279"/>
      <c r="E28" s="280"/>
      <c r="F28" s="290"/>
      <c r="G28" s="291"/>
    </row>
    <row r="29" spans="1:7" s="258" customFormat="1" ht="13.5" customHeight="1">
      <c r="A29" s="948"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8901</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1421</v>
      </c>
      <c r="D33" s="276"/>
      <c r="E33" s="256"/>
      <c r="F33" s="285"/>
      <c r="G33" s="278"/>
    </row>
    <row r="34" spans="1:7" s="302" customFormat="1" ht="13.5" customHeight="1">
      <c r="A34" s="948" t="s">
        <v>791</v>
      </c>
      <c r="B34" s="259" t="s">
        <v>2392</v>
      </c>
      <c r="C34" s="264">
        <f ca="1">IF(B1="",IF(F34=100%,'数据-取费表'!M16,'数据-取费表'!O16),IF(F34=100%,INDIRECT("'数据-取费表'!m"&amp;$G$1)+INDIRECT("'数据-取费表'!t"&amp;$G$1),INDIRECT("'数据-取费表'!o"&amp;$G$1)+INDIRECT("'数据-取费表'!aq"&amp;$G$1)))</f>
        <v>1270</v>
      </c>
      <c r="D34" s="261"/>
      <c r="E34" s="264"/>
      <c r="F34" s="301">
        <f ca="1">IF('数据-取费表'!B24=0,1,IF(B1="",'数据-取费表'!N16,INDIRECT("'数据-取费表'!n"&amp;$G$1)))</f>
        <v>1</v>
      </c>
      <c r="G34" s="263" t="s">
        <v>2393</v>
      </c>
    </row>
    <row r="35" spans="1:7" ht="13.5" customHeight="1">
      <c r="A35" s="948" t="s">
        <v>796</v>
      </c>
      <c r="B35" s="259" t="s">
        <v>2394</v>
      </c>
      <c r="C35" s="264">
        <f ca="1">ROUND(C34*F35,0)</f>
        <v>38</v>
      </c>
      <c r="D35" s="264"/>
      <c r="E35" s="264"/>
      <c r="F35" s="303">
        <f>'数据-取费表'!B33</f>
        <v>0.03</v>
      </c>
      <c r="G35" s="263" t="s">
        <v>2395</v>
      </c>
    </row>
    <row r="36" spans="1:7" ht="24">
      <c r="A36" s="948"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48" t="s">
        <v>798</v>
      </c>
      <c r="B37" s="259" t="s">
        <v>2398</v>
      </c>
      <c r="C37" s="293">
        <f ca="1">ROUND(E37*D37*F34/10000,0)</f>
        <v>94</v>
      </c>
      <c r="D37" s="261">
        <f ca="1">D19</f>
        <v>4704.8599999999997</v>
      </c>
      <c r="E37" s="293">
        <f>'数据-取费表'!B35</f>
        <v>200</v>
      </c>
      <c r="F37" s="303"/>
      <c r="G37" s="305" t="s">
        <v>2399</v>
      </c>
    </row>
    <row r="38" spans="1:7" ht="13.5" customHeight="1">
      <c r="A38" s="948" t="s">
        <v>799</v>
      </c>
      <c r="B38" s="259" t="s">
        <v>2400</v>
      </c>
      <c r="C38" s="264">
        <f ca="1">ROUND(C34*F38,0)</f>
        <v>19</v>
      </c>
      <c r="D38" s="264"/>
      <c r="E38" s="264"/>
      <c r="F38" s="303">
        <f>'数据-取费表'!B36</f>
        <v>1.4999999999999999E-2</v>
      </c>
      <c r="G38" s="263" t="s">
        <v>2395</v>
      </c>
    </row>
    <row r="39" spans="1:7" s="258" customFormat="1" ht="13.5" customHeight="1">
      <c r="A39" s="299" t="s">
        <v>2401</v>
      </c>
      <c r="B39" s="254" t="s">
        <v>2402</v>
      </c>
      <c r="C39" s="276">
        <f ca="1">ROUND(C33*F20,0)</f>
        <v>28</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32</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ROUND(IF('数据-取费表'!B22&lt;=1,C33*F22*'数据-取费表'!B21/2,C33*(POWER((1+F22),'数据-取费表'!B21/2)-1)),0)</f>
        <v>31</v>
      </c>
      <c r="D42" s="282"/>
      <c r="E42" s="282"/>
      <c r="F42" s="283"/>
      <c r="G42" s="3147" t="s">
        <v>2411</v>
      </c>
    </row>
    <row r="43" spans="1:7" ht="13.5" customHeight="1">
      <c r="A43" s="948" t="s">
        <v>792</v>
      </c>
      <c r="B43" s="259" t="s">
        <v>2412</v>
      </c>
      <c r="C43" s="282">
        <f ca="1">ROUND(IF('数据-取费表'!B22&lt;=1,C39*F22*'数据-取费表'!B21/2,C39*(POWER((1+F22),'数据-取费表'!B21/2)-1)),0)</f>
        <v>1</v>
      </c>
      <c r="D43" s="282"/>
      <c r="E43" s="282"/>
      <c r="F43" s="283"/>
      <c r="G43" s="3148"/>
    </row>
    <row r="44" spans="1:7" ht="13.5" customHeight="1">
      <c r="A44" s="948" t="s">
        <v>793</v>
      </c>
      <c r="B44" s="259" t="s">
        <v>2413</v>
      </c>
      <c r="C44" s="282">
        <f ca="1">ROUND(IF('数据-取费表'!B22&lt;=1,C40*F22*'数据-取费表'!B21/2,C40*(POWER((1+F22),'数据-取费表'!B21/2)-1)),4)</f>
        <v>4.0000000000000002E-4</v>
      </c>
      <c r="D44" s="282"/>
      <c r="E44" s="282"/>
      <c r="F44" s="283"/>
      <c r="G44" s="3149"/>
    </row>
    <row r="45" spans="1:7" s="258" customFormat="1" ht="13.5" customHeight="1">
      <c r="A45" s="299" t="s">
        <v>2414</v>
      </c>
      <c r="B45" s="288" t="s">
        <v>2380</v>
      </c>
      <c r="C45" s="289">
        <f ca="1">C46</f>
        <v>217</v>
      </c>
      <c r="D45" s="279">
        <f ca="1">C47</f>
        <v>3.0000000000000001E-3</v>
      </c>
      <c r="E45" s="280" t="s">
        <v>2406</v>
      </c>
      <c r="F45" s="290"/>
      <c r="G45" s="291" t="s">
        <v>2415</v>
      </c>
    </row>
    <row r="46" spans="1:7" s="258" customFormat="1" ht="13.5" customHeight="1">
      <c r="A46" s="948" t="s">
        <v>791</v>
      </c>
      <c r="B46" s="292" t="s">
        <v>2416</v>
      </c>
      <c r="C46" s="293">
        <f ca="1">ROUND((C33+C39)*F27,0)</f>
        <v>217</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1725">
        <f>ROUND(F30/(1+'数据-取费表'!C42),4)</f>
        <v>5.33E-2</v>
      </c>
      <c r="D48" s="280" t="s">
        <v>2406</v>
      </c>
      <c r="E48" s="276"/>
      <c r="F48" s="281"/>
      <c r="G48" s="278" t="s">
        <v>2419</v>
      </c>
    </row>
    <row r="49" spans="1:7" ht="16.5" customHeight="1">
      <c r="A49" s="299" t="s">
        <v>2385</v>
      </c>
      <c r="B49" s="254" t="s">
        <v>2420</v>
      </c>
      <c r="C49" s="276">
        <f ca="1">ROUND((C33+C39+C41+C45)/(1-C40-D41-D45-C48),0)</f>
        <v>1839</v>
      </c>
      <c r="D49" s="276"/>
      <c r="E49" s="276"/>
      <c r="F49" s="308"/>
      <c r="G49" s="278" t="s">
        <v>2421</v>
      </c>
    </row>
    <row r="50" spans="1:7" s="302" customFormat="1" ht="24">
      <c r="A50" s="299" t="s">
        <v>2422</v>
      </c>
      <c r="B50" s="254" t="s">
        <v>2423</v>
      </c>
      <c r="C50" s="276"/>
      <c r="D50" s="276"/>
      <c r="E50" s="276"/>
      <c r="F50" s="308">
        <f>IF('数据-取费表'!B24=0,'数据-取费表'!N16,1)</f>
        <v>0.76</v>
      </c>
      <c r="G50" s="291" t="s">
        <v>2424</v>
      </c>
    </row>
    <row r="51" spans="1:7" ht="16.5" customHeight="1">
      <c r="A51" s="299" t="s">
        <v>2425</v>
      </c>
      <c r="B51" s="254" t="s">
        <v>2426</v>
      </c>
      <c r="C51" s="276">
        <f ca="1">ROUND(C49*F50,0)</f>
        <v>1398</v>
      </c>
      <c r="D51" s="276"/>
      <c r="E51" s="276"/>
      <c r="F51" s="308"/>
      <c r="G51" s="278" t="s">
        <v>2427</v>
      </c>
    </row>
    <row r="52" spans="1:7" s="252" customFormat="1" ht="16.5" thickBot="1">
      <c r="A52" s="309" t="s">
        <v>2428</v>
      </c>
      <c r="B52" s="310"/>
      <c r="C52" s="311">
        <f ca="1">C31+C51</f>
        <v>10299</v>
      </c>
      <c r="D52" s="310"/>
      <c r="E52" s="310"/>
      <c r="F52" s="310"/>
      <c r="G52" s="312"/>
    </row>
    <row r="55" spans="1:7" ht="15">
      <c r="B55" s="314" t="s">
        <v>2429</v>
      </c>
      <c r="C55" s="315"/>
    </row>
    <row r="56" spans="1:7">
      <c r="B56" s="317" t="s">
        <v>1513</v>
      </c>
      <c r="C56" s="319">
        <f ca="1">1-C57</f>
        <v>0.86399999999999999</v>
      </c>
    </row>
    <row r="57" spans="1:7">
      <c r="B57" s="317" t="s">
        <v>1514</v>
      </c>
      <c r="C57" s="318">
        <f ca="1">ROUND(C51/C52,3)</f>
        <v>0.13600000000000001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4"/>
      <c r="C1" s="2550" t="s">
        <v>2430</v>
      </c>
      <c r="D1" s="242"/>
      <c r="E1" s="242"/>
      <c r="F1" s="242"/>
      <c r="G1" s="1376">
        <f>MATCH(B1,'数据-取费表'!A6:A16,0)+5</f>
        <v>7</v>
      </c>
      <c r="H1" s="1279" t="str">
        <f>IF(ISERROR(FIND("住宅",B1)),"非住宅","住宅")</f>
        <v>非住宅</v>
      </c>
    </row>
    <row r="2" spans="1:8" s="244" customFormat="1" ht="18" customHeight="1">
      <c r="A2" s="245" t="s">
        <v>2329</v>
      </c>
      <c r="B2" s="246">
        <f ca="1">ROUND(IF(D2="——",C52/10000,C52/10000-E2),0)</f>
        <v>1647</v>
      </c>
      <c r="C2" s="243" t="s">
        <v>2330</v>
      </c>
      <c r="D2" s="2544" t="s">
        <v>70</v>
      </c>
      <c r="E2" s="1437" t="e">
        <f ca="1">SUMIF(INDIRECT("'"&amp;G2&amp;"'"&amp;"!A:A"),"承租人权益价值",INDIRECT("'"&amp;G2&amp;"'"&amp;"!c:c"))</f>
        <v>#REF!</v>
      </c>
      <c r="F2" s="2545" t="s">
        <v>2330</v>
      </c>
      <c r="G2" s="2546"/>
    </row>
    <row r="3" spans="1:8" s="244" customFormat="1" ht="18" customHeight="1" thickBot="1">
      <c r="A3" s="247" t="s">
        <v>2331</v>
      </c>
      <c r="B3" s="248">
        <f ca="1">ROUND(B2*10000/(IF(B1="",'数据-汇总表'!E3,INDIRECT("'数据-取费表'!k"&amp;$G$1))),0)</f>
        <v>3501</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940972</v>
      </c>
      <c r="D5" s="255" t="s">
        <v>2336</v>
      </c>
      <c r="E5" s="256" t="s">
        <v>2337</v>
      </c>
      <c r="F5" s="256" t="s">
        <v>2338</v>
      </c>
      <c r="G5" s="257"/>
    </row>
    <row r="6" spans="1:8" s="258" customFormat="1" ht="13.5" customHeight="1">
      <c r="A6" s="946" t="s">
        <v>2339</v>
      </c>
      <c r="B6" s="259" t="s">
        <v>2340</v>
      </c>
      <c r="C6" s="260"/>
      <c r="D6" s="261"/>
      <c r="E6" s="262"/>
      <c r="F6" s="262"/>
      <c r="G6" s="263"/>
    </row>
    <row r="7" spans="1:8" s="258" customFormat="1" ht="13.5" customHeight="1">
      <c r="A7" s="946" t="s">
        <v>2341</v>
      </c>
      <c r="B7" s="259" t="s">
        <v>2342</v>
      </c>
      <c r="C7" s="264">
        <f>ROUND(C6*F7,0)</f>
        <v>0</v>
      </c>
      <c r="D7" s="264"/>
      <c r="E7" s="262"/>
      <c r="F7" s="265">
        <f>'数据-取费表'!B48+'数据-取费表'!B49</f>
        <v>3.0499999999999999E-2</v>
      </c>
      <c r="G7" s="263"/>
    </row>
    <row r="8" spans="1:8" s="267" customFormat="1">
      <c r="A8" s="946" t="s">
        <v>2343</v>
      </c>
      <c r="B8" s="259" t="s">
        <v>2344</v>
      </c>
      <c r="C8" s="264">
        <f ca="1">IF(G8="已包含在土地购买价格中",0,C9+C10)</f>
        <v>940972</v>
      </c>
      <c r="D8" s="266"/>
      <c r="E8" s="264"/>
      <c r="F8" s="265"/>
      <c r="G8" s="2547"/>
    </row>
    <row r="9" spans="1:8" s="258" customFormat="1" ht="13.5" customHeight="1">
      <c r="A9" s="947" t="s">
        <v>800</v>
      </c>
      <c r="B9" s="268" t="s">
        <v>2345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2347</v>
      </c>
      <c r="C10" s="269">
        <f ca="1">ROUND(D10*E10,0)</f>
        <v>940972</v>
      </c>
      <c r="D10" s="1029">
        <f ca="1">IF(B1="",'数据-汇总表'!E6,IF(INDIRECT("'数据-取费表'!c"&amp;$G$1)="住宅",INDIRECT("'数据-取费表'!s"&amp;$G$1),INDIRECT("'数据-取费表'!k"&amp;$G$1)+INDIRECT("'数据-取费表'!s"&amp;$G$1)))</f>
        <v>4704.8599999999997</v>
      </c>
      <c r="E10" s="269">
        <f>'数据-取费表'!B28</f>
        <v>200</v>
      </c>
      <c r="F10" s="265"/>
      <c r="G10" s="270"/>
    </row>
    <row r="11" spans="1:8" s="258" customFormat="1" ht="13.5" hidden="1" customHeight="1">
      <c r="A11" s="271" t="s">
        <v>7</v>
      </c>
      <c r="B11" s="259" t="s">
        <v>2348</v>
      </c>
      <c r="C11" s="255"/>
      <c r="D11" s="1031"/>
      <c r="E11" s="262"/>
      <c r="F11" s="262"/>
      <c r="G11" s="263"/>
    </row>
    <row r="12" spans="1:8" s="258" customFormat="1" ht="13.5" hidden="1" customHeight="1">
      <c r="A12" s="271" t="s">
        <v>8</v>
      </c>
      <c r="B12" s="259" t="s">
        <v>2431</v>
      </c>
      <c r="C12" s="255">
        <v>0</v>
      </c>
      <c r="D12" s="1031"/>
      <c r="E12" s="272"/>
      <c r="F12" s="265">
        <v>3.0499999999999999E-2</v>
      </c>
      <c r="G12" s="263"/>
    </row>
    <row r="13" spans="1:8" s="258" customFormat="1" ht="13.5" hidden="1" customHeight="1">
      <c r="A13" s="271" t="s">
        <v>9</v>
      </c>
      <c r="B13" s="259" t="s">
        <v>2432</v>
      </c>
      <c r="C13" s="255"/>
      <c r="D13" s="1031"/>
      <c r="E13" s="262"/>
      <c r="F13" s="262"/>
      <c r="G13" s="263"/>
    </row>
    <row r="14" spans="1:8" s="258" customFormat="1" ht="13.5" hidden="1" customHeight="1">
      <c r="A14" s="271" t="s">
        <v>10</v>
      </c>
      <c r="B14" s="259" t="s">
        <v>2344</v>
      </c>
      <c r="C14" s="255"/>
      <c r="D14" s="1031"/>
      <c r="E14" s="262"/>
      <c r="F14" s="262"/>
      <c r="G14" s="263" t="s">
        <v>2433</v>
      </c>
    </row>
    <row r="15" spans="1:8" s="258" customFormat="1" ht="13.5" hidden="1" customHeight="1">
      <c r="A15" s="271" t="s">
        <v>11</v>
      </c>
      <c r="B15" s="259" t="s">
        <v>2434</v>
      </c>
      <c r="C15" s="264"/>
      <c r="D15" s="1031"/>
      <c r="E15" s="262"/>
      <c r="F15" s="262"/>
      <c r="G15" s="263" t="s">
        <v>2435</v>
      </c>
    </row>
    <row r="16" spans="1:8" s="258" customFormat="1" ht="13.5" hidden="1" customHeight="1">
      <c r="A16" s="271" t="s">
        <v>12</v>
      </c>
      <c r="B16" s="259" t="s">
        <v>2344</v>
      </c>
      <c r="C16" s="264"/>
      <c r="D16" s="1031"/>
      <c r="E16" s="262"/>
      <c r="F16" s="262"/>
      <c r="G16" s="263"/>
    </row>
    <row r="17" spans="1:7" s="258" customFormat="1" ht="13.5" hidden="1" customHeight="1">
      <c r="A17" s="271" t="s">
        <v>13</v>
      </c>
      <c r="B17" s="259" t="s">
        <v>2436</v>
      </c>
      <c r="C17" s="273"/>
      <c r="D17" s="1032"/>
      <c r="E17" s="273"/>
      <c r="F17" s="273"/>
      <c r="G17" s="263" t="s">
        <v>2435</v>
      </c>
    </row>
    <row r="18" spans="1:7" s="258" customFormat="1" ht="13.5" hidden="1" customHeight="1">
      <c r="A18" s="271" t="s">
        <v>14</v>
      </c>
      <c r="B18" s="259" t="s">
        <v>2437</v>
      </c>
      <c r="C18" s="264">
        <v>0</v>
      </c>
      <c r="D18" s="1031"/>
      <c r="E18" s="262"/>
      <c r="F18" s="265">
        <v>3.0499999999999999E-2</v>
      </c>
      <c r="G18" s="263" t="s">
        <v>2438</v>
      </c>
    </row>
    <row r="19" spans="1:7" s="267" customFormat="1" ht="13.5" customHeight="1">
      <c r="A19" s="299" t="s">
        <v>2439</v>
      </c>
      <c r="B19" s="254" t="s">
        <v>2440</v>
      </c>
      <c r="C19" s="255">
        <f ca="1">IF(G19="已包含在土地取得成本中","0",ROUND(D19*E19,0))</f>
        <v>940972</v>
      </c>
      <c r="D19" s="1033">
        <f ca="1">D9+D10</f>
        <v>4704.8599999999997</v>
      </c>
      <c r="E19" s="255">
        <f>'数据-取费表'!B31</f>
        <v>200</v>
      </c>
      <c r="F19" s="275"/>
      <c r="G19" s="2547"/>
    </row>
    <row r="20" spans="1:7" s="258" customFormat="1" ht="13.5" customHeight="1">
      <c r="A20" s="299" t="s">
        <v>2441</v>
      </c>
      <c r="B20" s="254" t="s">
        <v>2442</v>
      </c>
      <c r="C20" s="276">
        <f ca="1">ROUND((C5+C19)*F20,0)</f>
        <v>37639</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77">
        <f ca="1">ROUND(SUM(C23:C25),0)</f>
        <v>82683</v>
      </c>
      <c r="D22" s="279">
        <f ca="1">C26</f>
        <v>4.0000000000000002E-4</v>
      </c>
      <c r="E22" s="280" t="s">
        <v>2446</v>
      </c>
      <c r="F22" s="281">
        <f ca="1">'数据-取费表'!B40</f>
        <v>4.3499999999999997E-2</v>
      </c>
      <c r="G22" s="278" t="str">
        <f>IF('数据-取费表'!B22&lt;=1,"单利计息","复利计息")</f>
        <v>单利计息</v>
      </c>
    </row>
    <row r="23" spans="1:7" s="258" customFormat="1" ht="13.5" customHeight="1">
      <c r="A23" s="948" t="s">
        <v>2339</v>
      </c>
      <c r="B23" s="259" t="s">
        <v>2450</v>
      </c>
      <c r="C23" s="1378">
        <f ca="1">ROUND(IF('数据-取费表'!B22&lt;=1,C5*F22*'数据-取费表'!B22,C5*(POWER((1+F22),'数据-取费表'!B22)-1)),0)</f>
        <v>40932</v>
      </c>
      <c r="D23" s="282"/>
      <c r="E23" s="282"/>
      <c r="F23" s="283"/>
      <c r="G23" s="284" t="s">
        <v>2451</v>
      </c>
    </row>
    <row r="24" spans="1:7" s="258" customFormat="1" ht="13.5" customHeight="1">
      <c r="A24" s="948" t="s">
        <v>2341</v>
      </c>
      <c r="B24" s="259" t="s">
        <v>2452</v>
      </c>
      <c r="C24" s="1378">
        <f ca="1">ROUND(IF('数据-取费表'!B22&lt;=1,C19*F22*('数据-取费表'!B19/2+'数据-取费表'!B20),C19*(POWER((1+F22),('数据-取费表'!B19/2+'数据-取费表'!B20))-1)),0)</f>
        <v>40932</v>
      </c>
      <c r="D24" s="282"/>
      <c r="E24" s="282"/>
      <c r="F24" s="283"/>
      <c r="G24" s="284" t="s">
        <v>2453</v>
      </c>
    </row>
    <row r="25" spans="1:7" s="258" customFormat="1" ht="24">
      <c r="A25" s="948" t="s">
        <v>2343</v>
      </c>
      <c r="B25" s="259" t="s">
        <v>2454</v>
      </c>
      <c r="C25" s="1378">
        <f ca="1">ROUND(IF('数据-取费表'!B22&lt;=1,C20*F22*'数据-取费表'!B22/2,C20*(POWER((1+F22),'数据-取费表'!B22/2)-1)),0)</f>
        <v>819</v>
      </c>
      <c r="D25" s="282"/>
      <c r="E25" s="285"/>
      <c r="F25" s="283"/>
      <c r="G25" s="286" t="s">
        <v>2455</v>
      </c>
    </row>
    <row r="26" spans="1:7" s="258" customFormat="1">
      <c r="A26" s="948" t="s">
        <v>795</v>
      </c>
      <c r="B26" s="259" t="s">
        <v>2378</v>
      </c>
      <c r="C26" s="282">
        <f ca="1">ROUND(IF('数据-取费表'!B22&lt;=1,F21*F22*'数据-取费表'!B22/2,F21*(POWER((1+F22),'数据-取费表'!B22/2)-1)),4)</f>
        <v>4.0000000000000002E-4</v>
      </c>
      <c r="D26" s="282"/>
      <c r="E26" s="285"/>
      <c r="F26" s="283"/>
      <c r="G26" s="287"/>
    </row>
    <row r="27" spans="1:7" s="258" customFormat="1" ht="24.75">
      <c r="A27" s="299" t="s">
        <v>2379</v>
      </c>
      <c r="B27" s="288" t="s">
        <v>2380</v>
      </c>
      <c r="C27" s="289">
        <f ca="1">C28</f>
        <v>287937</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ROUND((C5+C19+C20)*F27,0)</f>
        <v>287937</v>
      </c>
      <c r="D28" s="279"/>
      <c r="E28" s="280"/>
      <c r="F28" s="290"/>
      <c r="G28" s="291"/>
    </row>
    <row r="29" spans="1:7" s="258" customFormat="1" ht="13.5" customHeight="1">
      <c r="A29" s="948"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2480454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14215735</v>
      </c>
      <c r="D33" s="276"/>
      <c r="E33" s="256"/>
      <c r="F33" s="285"/>
      <c r="G33" s="278"/>
    </row>
    <row r="34" spans="1:7" s="302" customFormat="1" ht="13.5" customHeight="1">
      <c r="A34" s="948" t="s">
        <v>791</v>
      </c>
      <c r="B34" s="259" t="s">
        <v>2392</v>
      </c>
      <c r="C34" s="264">
        <f ca="1">ROUND(IF(B1="",SUMPRODUCT('数据-取费表'!K6:K14,'数据-取费表'!L6:L14),INDIRECT("'数据-取费表'!l"&amp;$G$1)*INDIRECT("'数据-取费表'!k"&amp;$G$1)+'数据-取费表'!L14*INDIRECT("'数据-取费表'!S"&amp;$G$1)),0)</f>
        <v>12703122</v>
      </c>
      <c r="D34" s="261"/>
      <c r="E34" s="264"/>
      <c r="F34" s="301"/>
      <c r="G34" s="263"/>
    </row>
    <row r="35" spans="1:7" ht="13.5" customHeight="1">
      <c r="A35" s="948" t="s">
        <v>796</v>
      </c>
      <c r="B35" s="259" t="s">
        <v>2394</v>
      </c>
      <c r="C35" s="264">
        <f ca="1">ROUND(C34*F35,0)</f>
        <v>381094</v>
      </c>
      <c r="D35" s="264"/>
      <c r="E35" s="264"/>
      <c r="F35" s="303">
        <f>'数据-取费表'!B33</f>
        <v>0.03</v>
      </c>
      <c r="G35" s="263" t="s">
        <v>2395</v>
      </c>
    </row>
    <row r="36" spans="1:7" ht="24">
      <c r="A36" s="948"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48" t="s">
        <v>798</v>
      </c>
      <c r="B37" s="259" t="s">
        <v>2398</v>
      </c>
      <c r="C37" s="293">
        <f ca="1">ROUND(E37*D37,0)</f>
        <v>940972</v>
      </c>
      <c r="D37" s="261">
        <f ca="1">D19</f>
        <v>4704.8599999999997</v>
      </c>
      <c r="E37" s="293">
        <f>'数据-取费表'!B35</f>
        <v>200</v>
      </c>
      <c r="F37" s="303"/>
      <c r="G37" s="305"/>
    </row>
    <row r="38" spans="1:7" ht="13.5" customHeight="1">
      <c r="A38" s="948" t="s">
        <v>799</v>
      </c>
      <c r="B38" s="259" t="s">
        <v>2400</v>
      </c>
      <c r="C38" s="264">
        <f ca="1">ROUND(C34*F38,0)</f>
        <v>190547</v>
      </c>
      <c r="D38" s="264"/>
      <c r="E38" s="264"/>
      <c r="F38" s="303">
        <f>'数据-取费表'!B36</f>
        <v>1.4999999999999999E-2</v>
      </c>
      <c r="G38" s="263" t="s">
        <v>2395</v>
      </c>
    </row>
    <row r="39" spans="1:7" s="258" customFormat="1" ht="13.5" customHeight="1">
      <c r="A39" s="299" t="s">
        <v>2401</v>
      </c>
      <c r="B39" s="254" t="s">
        <v>2402</v>
      </c>
      <c r="C39" s="276">
        <f ca="1">ROUND(C33*F20,0)</f>
        <v>284315</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315376</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ROUND(IF('数据-取费表'!B22&lt;=1,C33*F22*'数据-取费表'!B20/2,C33*(POWER((1+F22),'数据-取费表'!B20/2)-1)),0)</f>
        <v>309192</v>
      </c>
      <c r="D42" s="282"/>
      <c r="E42" s="282"/>
      <c r="F42" s="283"/>
      <c r="G42" s="3147" t="s">
        <v>2458</v>
      </c>
    </row>
    <row r="43" spans="1:7" ht="13.5" customHeight="1">
      <c r="A43" s="948" t="s">
        <v>792</v>
      </c>
      <c r="B43" s="259" t="s">
        <v>2412</v>
      </c>
      <c r="C43" s="282">
        <f ca="1">ROUND(IF('数据-取费表'!B22&lt;=1,C39*F22*'数据-取费表'!B20/2,C39*(POWER((1+F22),'数据-取费表'!B20/2)-1)),0)</f>
        <v>6184</v>
      </c>
      <c r="D43" s="282"/>
      <c r="E43" s="282"/>
      <c r="F43" s="283"/>
      <c r="G43" s="3148"/>
    </row>
    <row r="44" spans="1:7" ht="13.5" customHeight="1">
      <c r="A44" s="948" t="s">
        <v>793</v>
      </c>
      <c r="B44" s="259" t="s">
        <v>2413</v>
      </c>
      <c r="C44" s="282">
        <f ca="1">ROUND(IF('数据-取费表'!B22&lt;=1,C40*F22*'数据-取费表'!B20/2,C40*(POWER((1+F22),'数据-取费表'!B20/2)-1)),4)</f>
        <v>4.0000000000000002E-4</v>
      </c>
      <c r="D44" s="282"/>
      <c r="E44" s="282"/>
      <c r="F44" s="283"/>
      <c r="G44" s="3149"/>
    </row>
    <row r="45" spans="1:7" s="258" customFormat="1" ht="13.5" customHeight="1">
      <c r="A45" s="299" t="s">
        <v>2414</v>
      </c>
      <c r="B45" s="288" t="s">
        <v>2380</v>
      </c>
      <c r="C45" s="289">
        <f ca="1">C46</f>
        <v>2175008</v>
      </c>
      <c r="D45" s="279">
        <f ca="1">C47</f>
        <v>3.0000000000000001E-3</v>
      </c>
      <c r="E45" s="280" t="s">
        <v>2406</v>
      </c>
      <c r="F45" s="290"/>
      <c r="G45" s="291" t="s">
        <v>2415</v>
      </c>
    </row>
    <row r="46" spans="1:7" s="258" customFormat="1" ht="13.5" customHeight="1">
      <c r="A46" s="948" t="s">
        <v>791</v>
      </c>
      <c r="B46" s="292" t="s">
        <v>2416</v>
      </c>
      <c r="C46" s="293">
        <f ca="1">ROUND((C33+C39)*F27,0)</f>
        <v>2175008</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18401856</v>
      </c>
      <c r="D49" s="276"/>
      <c r="E49" s="276"/>
      <c r="F49" s="308"/>
      <c r="G49" s="278" t="s">
        <v>2421</v>
      </c>
    </row>
    <row r="50" spans="1:7" s="302" customFormat="1">
      <c r="A50" s="299" t="s">
        <v>2422</v>
      </c>
      <c r="B50" s="254" t="s">
        <v>2423</v>
      </c>
      <c r="C50" s="276"/>
      <c r="D50" s="276"/>
      <c r="E50" s="276"/>
      <c r="F50" s="308">
        <f>IF('数据-取费表'!B24=0,'数据-取费表'!N16,1)</f>
        <v>0.76</v>
      </c>
      <c r="G50" s="291"/>
    </row>
    <row r="51" spans="1:7" ht="16.5" customHeight="1">
      <c r="A51" s="299" t="s">
        <v>2425</v>
      </c>
      <c r="B51" s="254" t="s">
        <v>2460</v>
      </c>
      <c r="C51" s="276">
        <f ca="1">ROUND(C49*F50,0)</f>
        <v>13985411</v>
      </c>
      <c r="D51" s="276"/>
      <c r="E51" s="276"/>
      <c r="F51" s="308"/>
      <c r="G51" s="278" t="s">
        <v>2427</v>
      </c>
    </row>
    <row r="52" spans="1:7" s="252" customFormat="1" ht="16.5" thickBot="1">
      <c r="A52" s="309" t="s">
        <v>2428</v>
      </c>
      <c r="B52" s="310"/>
      <c r="C52" s="311">
        <f ca="1">C31+C51</f>
        <v>16465865</v>
      </c>
      <c r="D52" s="310"/>
      <c r="E52" s="310"/>
      <c r="F52" s="310"/>
      <c r="G52" s="312"/>
    </row>
    <row r="55" spans="1:7" ht="15">
      <c r="B55" s="314" t="s">
        <v>2429</v>
      </c>
      <c r="C55" s="315"/>
    </row>
    <row r="56" spans="1:7">
      <c r="B56" s="317" t="s">
        <v>1513</v>
      </c>
      <c r="C56" s="319">
        <f ca="1">1-C57</f>
        <v>0.15100000000000002</v>
      </c>
    </row>
    <row r="57" spans="1:7">
      <c r="B57" s="317" t="s">
        <v>1514</v>
      </c>
      <c r="C57" s="318">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2461</v>
      </c>
      <c r="B1" s="1578"/>
      <c r="C1" s="1579"/>
      <c r="D1" s="1577"/>
      <c r="E1" s="320"/>
      <c r="F1" s="320"/>
      <c r="G1" s="1578"/>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3" customFormat="1" ht="16.5" customHeight="1">
      <c r="A4" s="950" t="s">
        <v>2464</v>
      </c>
      <c r="B4" s="951"/>
      <c r="C4" s="993">
        <f>SUM(C8:K8)</f>
        <v>0</v>
      </c>
      <c r="D4" s="951"/>
      <c r="E4" s="951"/>
      <c r="F4" s="951"/>
      <c r="G4" s="951"/>
      <c r="H4" s="951"/>
      <c r="I4" s="951"/>
      <c r="J4" s="951"/>
      <c r="K4" s="952"/>
    </row>
    <row r="5" spans="1:33" s="957" customFormat="1" ht="24.75">
      <c r="A5" s="954" t="s">
        <v>2465</v>
      </c>
      <c r="B5" s="955" t="s">
        <v>2466</v>
      </c>
      <c r="C5" s="2551" t="s">
        <v>2467</v>
      </c>
      <c r="D5" s="2551" t="s">
        <v>2468</v>
      </c>
      <c r="E5" s="2551" t="s">
        <v>2469</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2470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2473</v>
      </c>
      <c r="B8" s="177" t="s">
        <v>2474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2475</v>
      </c>
      <c r="B9" s="951"/>
      <c r="C9" s="951"/>
      <c r="D9" s="951"/>
      <c r="E9" s="951"/>
      <c r="F9" s="951"/>
      <c r="G9" s="951"/>
      <c r="H9" s="951"/>
      <c r="I9" s="951"/>
      <c r="J9" s="951"/>
      <c r="K9" s="952"/>
    </row>
    <row r="10" spans="1:33" s="967" customFormat="1" ht="13.5" customHeight="1">
      <c r="A10" s="954" t="s">
        <v>2476</v>
      </c>
      <c r="B10" s="8" t="s">
        <v>2477</v>
      </c>
      <c r="C10" s="963" t="s">
        <v>2478</v>
      </c>
      <c r="D10" s="964" t="s">
        <v>2479</v>
      </c>
      <c r="E10" s="964" t="s">
        <v>2480</v>
      </c>
      <c r="F10" s="964" t="s">
        <v>2481</v>
      </c>
      <c r="G10" s="8"/>
      <c r="H10" s="965"/>
      <c r="I10" s="965"/>
      <c r="J10" s="965"/>
      <c r="K10" s="966"/>
    </row>
    <row r="11" spans="1:33" s="972" customFormat="1" ht="13.5" customHeight="1">
      <c r="A11" s="968" t="s">
        <v>1334</v>
      </c>
      <c r="B11" s="969" t="s">
        <v>2482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2483</v>
      </c>
      <c r="C12" s="24">
        <f ca="1">ROUND(C11*F12,0)</f>
        <v>0</v>
      </c>
      <c r="D12" s="970"/>
      <c r="E12" s="375"/>
      <c r="F12" s="973">
        <f>'数据-取费表'!B33</f>
        <v>0.03</v>
      </c>
      <c r="G12" s="8" t="s">
        <v>2484</v>
      </c>
      <c r="H12" s="965"/>
      <c r="I12" s="965"/>
      <c r="J12" s="965"/>
      <c r="K12" s="966"/>
    </row>
    <row r="13" spans="1:33" s="972" customFormat="1" ht="13.5" customHeight="1">
      <c r="A13" s="968" t="s">
        <v>1336</v>
      </c>
      <c r="B13" s="969" t="s">
        <v>2485</v>
      </c>
      <c r="C13" s="24">
        <f ca="1">ROUND(IF(C1="",SUMIF('数据-取费表'!C:C,"住宅",'数据-取费表'!P:P)*F13,IF(INDIRECT("'数据-取费表'!c"&amp;$K$1)="住宅",INDIRECT("'数据-取费表'!P"&amp;$K$1)*F13,0)),0)</f>
        <v>0</v>
      </c>
      <c r="D13" s="1030"/>
      <c r="E13" s="375"/>
      <c r="F13" s="973">
        <f>'数据-取费表'!B34</f>
        <v>0</v>
      </c>
      <c r="G13" s="8" t="s">
        <v>2486</v>
      </c>
      <c r="H13" s="965"/>
      <c r="I13" s="965"/>
      <c r="J13" s="965"/>
      <c r="K13" s="966"/>
    </row>
    <row r="14" spans="1:33" s="974" customFormat="1" ht="13.5" customHeight="1">
      <c r="A14" s="968" t="s">
        <v>1337</v>
      </c>
      <c r="B14" s="969" t="s">
        <v>2487</v>
      </c>
      <c r="C14" s="24">
        <f ca="1">ROUND(D14*E14*F11/10000,0)</f>
        <v>0</v>
      </c>
      <c r="D14" s="1030">
        <f ca="1">IF(C1="",'数据-汇总表'!E3,INDIRECT("'数据-取费表'!K"&amp;$K$1)+INDIRECT("'数据-取费表'!S"&amp;$K$1))</f>
        <v>4704.8599999999997</v>
      </c>
      <c r="E14" s="24">
        <f>'数据-取费表'!B35</f>
        <v>200</v>
      </c>
      <c r="F14" s="973"/>
      <c r="G14" s="8" t="s">
        <v>2488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2489</v>
      </c>
      <c r="C15" s="980">
        <f ca="1">ROUND(C11*F15,0)</f>
        <v>0</v>
      </c>
      <c r="D15" s="975"/>
      <c r="E15" s="980"/>
      <c r="F15" s="981">
        <f>'数据-取费表'!B36</f>
        <v>1.4999999999999999E-2</v>
      </c>
      <c r="G15" s="140" t="s">
        <v>2490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2492</v>
      </c>
      <c r="C17" s="24">
        <f ca="1">ROUND(D17*E17/10000,0)</f>
        <v>0</v>
      </c>
      <c r="D17" s="1030">
        <f ca="1">D14</f>
        <v>4704.8599999999997</v>
      </c>
      <c r="E17" s="24">
        <f>'数据-取费表'!B32</f>
        <v>0</v>
      </c>
      <c r="F17" s="975"/>
      <c r="G17" s="140" t="s">
        <v>2493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2494</v>
      </c>
      <c r="C18" s="24">
        <f ca="1">C19+C20-IF(C1="",'数据-取费表'!B29,IF(G18="已全部缴纳",C19+C20,H18))</f>
        <v>0</v>
      </c>
      <c r="D18" s="1030"/>
      <c r="E18" s="24"/>
      <c r="F18" s="973"/>
      <c r="G18" s="2553"/>
      <c r="H18" s="1574"/>
      <c r="I18" s="2554" t="s">
        <v>2495</v>
      </c>
      <c r="J18" s="976"/>
      <c r="K18" s="977"/>
    </row>
    <row r="19" spans="1:33" s="972" customFormat="1" ht="13.5" customHeight="1">
      <c r="A19" s="968" t="s">
        <v>805</v>
      </c>
      <c r="B19" s="969" t="s">
        <v>2496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2497</v>
      </c>
      <c r="C20" s="24">
        <f ca="1">ROUND(D20*E20/10000,0)</f>
        <v>94</v>
      </c>
      <c r="D20" s="1030">
        <f ca="1">IF(C1="",'数据-汇总表'!E6,IF(INDIRECT("'数据-取费表'!c"&amp;$K$1)="住宅",INDIRECT("'数据-取费表'!s"&amp;$K$1),INDIRECT("'数据-取费表'!k"&amp;$K$1)+INDIRECT("'数据-取费表'!s"&amp;$K$1)))</f>
        <v>4704.8599999999997</v>
      </c>
      <c r="E20" s="24">
        <f>'数据-取费表'!B28</f>
        <v>200</v>
      </c>
      <c r="F20" s="973"/>
      <c r="G20" s="15"/>
      <c r="H20" s="978"/>
      <c r="I20" s="978"/>
      <c r="J20" s="978"/>
      <c r="K20" s="979"/>
    </row>
    <row r="21" spans="1:33" s="972" customFormat="1" ht="13.5" customHeight="1">
      <c r="A21" s="958" t="s">
        <v>802</v>
      </c>
      <c r="B21" s="982" t="s">
        <v>2498</v>
      </c>
      <c r="C21" s="983">
        <f ca="1">C16+C17+C18</f>
        <v>0</v>
      </c>
      <c r="D21" s="984"/>
      <c r="E21" s="325"/>
      <c r="F21" s="325"/>
      <c r="G21" s="140" t="s">
        <v>2499</v>
      </c>
      <c r="H21" s="976"/>
      <c r="I21" s="976"/>
      <c r="J21" s="976"/>
      <c r="K21" s="977"/>
    </row>
    <row r="22" spans="1:33" s="972" customFormat="1" ht="13.5" customHeight="1">
      <c r="A22" s="958" t="s">
        <v>2471</v>
      </c>
      <c r="B22" s="982" t="s">
        <v>2500</v>
      </c>
      <c r="C22" s="983">
        <f ca="1">ROUND(C21*F22,0)</f>
        <v>0</v>
      </c>
      <c r="D22" s="325"/>
      <c r="E22" s="325"/>
      <c r="F22" s="985">
        <f>'数据-取费表'!B37</f>
        <v>0.02</v>
      </c>
      <c r="G22" s="8" t="s">
        <v>2501</v>
      </c>
      <c r="H22" s="965"/>
      <c r="I22" s="965"/>
      <c r="J22" s="965"/>
      <c r="K22" s="966"/>
    </row>
    <row r="23" spans="1:33" s="972" customFormat="1" ht="13.5" customHeight="1">
      <c r="A23" s="958" t="s">
        <v>2473</v>
      </c>
      <c r="B23" s="982" t="s">
        <v>2502</v>
      </c>
      <c r="C23" s="983">
        <f ca="1">ROUND(C4*F23*F11,0)</f>
        <v>0</v>
      </c>
      <c r="D23" s="325"/>
      <c r="E23" s="325"/>
      <c r="F23" s="985">
        <f>'数据-取费表'!B38</f>
        <v>0.02</v>
      </c>
      <c r="G23" s="8" t="s">
        <v>2503</v>
      </c>
      <c r="H23" s="965"/>
      <c r="I23" s="965"/>
      <c r="J23" s="965"/>
      <c r="K23" s="966"/>
    </row>
    <row r="24" spans="1:33" s="972" customFormat="1" ht="13.5" customHeight="1">
      <c r="A24" s="958" t="s">
        <v>2504</v>
      </c>
      <c r="B24" s="982" t="s">
        <v>2505</v>
      </c>
      <c r="C24" s="324">
        <f>ROUND(F24/(1+'数据-取费表'!C42),4)</f>
        <v>2.9000000000000001E-2</v>
      </c>
      <c r="D24" s="325" t="s">
        <v>15</v>
      </c>
      <c r="E24" s="325"/>
      <c r="F24" s="985">
        <f>'数据-取费表'!B48+'数据-取费表'!B49</f>
        <v>3.0499999999999999E-2</v>
      </c>
      <c r="G24" s="8" t="s">
        <v>2506</v>
      </c>
      <c r="H24" s="987"/>
      <c r="I24" s="987"/>
      <c r="J24" s="987"/>
      <c r="K24" s="988"/>
    </row>
    <row r="25" spans="1:33" s="972" customFormat="1" ht="13.5" customHeight="1">
      <c r="A25" s="958" t="s">
        <v>2507</v>
      </c>
      <c r="B25" s="984" t="s">
        <v>2508</v>
      </c>
      <c r="C25" s="1353">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2509</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2510</v>
      </c>
      <c r="C27" s="1355">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6"/>
      <c r="I27" s="976"/>
      <c r="J27" s="976"/>
      <c r="K27" s="977"/>
    </row>
    <row r="28" spans="1:33" s="333" customFormat="1" ht="13.5" customHeight="1">
      <c r="A28" s="958" t="s">
        <v>2511</v>
      </c>
      <c r="B28" s="2556" t="s">
        <v>2512</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2513</v>
      </c>
      <c r="C29" s="328">
        <f ca="1">ROUND((1+C24)*F28*'数据-取费表'!B24/'数据-取费表'!B20,4)</f>
        <v>0</v>
      </c>
      <c r="D29" s="328"/>
      <c r="E29" s="329"/>
      <c r="F29" s="334"/>
      <c r="G29" s="140" t="s">
        <v>2514</v>
      </c>
      <c r="H29" s="976"/>
      <c r="I29" s="976"/>
      <c r="J29" s="976"/>
      <c r="K29" s="977"/>
    </row>
    <row r="30" spans="1:33" s="335" customFormat="1" ht="13.5" customHeight="1">
      <c r="A30" s="968" t="s">
        <v>804</v>
      </c>
      <c r="B30" s="991" t="s">
        <v>2515</v>
      </c>
      <c r="C30" s="336">
        <f ca="1">ROUND((C21+C22+C23)*F28,0)</f>
        <v>0</v>
      </c>
      <c r="D30" s="328"/>
      <c r="E30" s="329"/>
      <c r="F30" s="334"/>
      <c r="G30" s="140"/>
      <c r="H30" s="976"/>
      <c r="I30" s="976"/>
      <c r="J30" s="976"/>
      <c r="K30" s="977"/>
    </row>
    <row r="31" spans="1:33" s="972" customFormat="1" ht="13.5" customHeight="1" thickBot="1">
      <c r="A31" s="2557" t="s">
        <v>2516</v>
      </c>
      <c r="B31" s="1002" t="s">
        <v>2517</v>
      </c>
      <c r="C31" s="1003">
        <f>ROUND(C4*F31/(1+'数据-取费表'!C42),0)</f>
        <v>0</v>
      </c>
      <c r="D31" s="1004"/>
      <c r="E31" s="1005"/>
      <c r="F31" s="1006">
        <f>'数据-取费表'!B41</f>
        <v>5.6000000000000001E-2</v>
      </c>
      <c r="G31" s="1007" t="s">
        <v>2518</v>
      </c>
      <c r="H31" s="1008"/>
      <c r="I31" s="1008"/>
      <c r="J31" s="1008"/>
      <c r="K31" s="1009"/>
    </row>
    <row r="32" spans="1:33" s="967" customFormat="1" ht="13.5" customHeight="1" thickBot="1">
      <c r="A32" s="997" t="s">
        <v>2519</v>
      </c>
      <c r="B32" s="998"/>
      <c r="C32" s="999">
        <f ca="1">ROUND((C4-C21-C22-C23-C25-C28-C31)/(1+C24+D25+D28),0)</f>
        <v>0</v>
      </c>
      <c r="D32" s="998"/>
      <c r="E32" s="998"/>
      <c r="F32" s="998"/>
      <c r="G32" s="1000" t="s">
        <v>2520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3077</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50" t="s">
        <v>1403</v>
      </c>
      <c r="C6" s="1293" t="e">
        <f ca="1">ROUND(F6*F8*F7*(1-F9)/10000,0)</f>
        <v>#N/A</v>
      </c>
      <c r="D6" s="164" t="s">
        <v>3035</v>
      </c>
      <c r="E6" s="347" t="s">
        <v>1405</v>
      </c>
      <c r="F6" s="348" t="e">
        <f ca="1">INDIRECT("'数据-取费表'!u"&amp;$G$1)</f>
        <v>#N/A</v>
      </c>
      <c r="G6" s="1848"/>
      <c r="H6" s="1288" t="s">
        <v>1035</v>
      </c>
      <c r="I6" s="3150" t="s">
        <v>1403</v>
      </c>
      <c r="J6" s="346" t="e">
        <f ca="1">ROUND(M6*M8*M7*(1-M9)/10000,0)</f>
        <v>#N/A</v>
      </c>
      <c r="K6" s="164" t="s">
        <v>3034</v>
      </c>
      <c r="L6" s="347" t="s">
        <v>1405</v>
      </c>
      <c r="M6" s="348" t="e">
        <f ca="1">INDIRECT("'数据-取费表'!z"&amp;$G$1)</f>
        <v>#N/A</v>
      </c>
    </row>
    <row r="7" spans="1:37" ht="18" customHeight="1">
      <c r="A7" s="1292"/>
      <c r="B7" s="3151"/>
      <c r="C7" s="1294"/>
      <c r="D7" s="352"/>
      <c r="E7" s="2942" t="s">
        <v>1406</v>
      </c>
      <c r="F7" s="348" t="e">
        <f ca="1">IF(INDIRECT("'数据-取费表'!ah"&amp;$G$1)="",INDIRECT("'数据-取费表'!k"&amp;$G$1),INDIRECT("'数据-取费表'!ah"&amp;$G$1))</f>
        <v>#N/A</v>
      </c>
      <c r="G7" s="1848"/>
      <c r="H7" s="349"/>
      <c r="I7" s="3151"/>
      <c r="J7" s="351"/>
      <c r="K7" s="352"/>
      <c r="L7" s="347" t="s">
        <v>1406</v>
      </c>
      <c r="M7" s="348" t="e">
        <f ca="1">F7</f>
        <v>#N/A</v>
      </c>
    </row>
    <row r="8" spans="1:37" ht="18" customHeight="1">
      <c r="A8" s="349"/>
      <c r="B8" s="3151"/>
      <c r="C8" s="351"/>
      <c r="D8" s="352"/>
      <c r="E8" s="347" t="s">
        <v>1407</v>
      </c>
      <c r="F8" s="348" t="e">
        <f ca="1">INDIRECT("'数据-取费表'!ai"&amp;$G$1)</f>
        <v>#N/A</v>
      </c>
      <c r="G8" s="1848"/>
      <c r="H8" s="349"/>
      <c r="I8" s="3151"/>
      <c r="J8" s="351"/>
      <c r="K8" s="352"/>
      <c r="L8" s="347" t="s">
        <v>1407</v>
      </c>
      <c r="M8" s="348" t="e">
        <f ca="1">INDIRECT("'数据-取费表'!ai"&amp;$G$1)</f>
        <v>#N/A</v>
      </c>
    </row>
    <row r="9" spans="1:37" ht="18" customHeight="1">
      <c r="A9" s="349"/>
      <c r="B9" s="3152"/>
      <c r="C9" s="351"/>
      <c r="D9" s="352"/>
      <c r="E9" s="347" t="s">
        <v>1408</v>
      </c>
      <c r="F9" s="357" t="e">
        <f ca="1">INDIRECT("'数据-取费表'!w"&amp;$G$1)</f>
        <v>#N/A</v>
      </c>
      <c r="G9" s="1848"/>
      <c r="H9" s="349"/>
      <c r="I9" s="3152"/>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3044</v>
      </c>
      <c r="E10" s="358" t="s">
        <v>1410</v>
      </c>
      <c r="F10" s="1363" t="s">
        <v>3083</v>
      </c>
      <c r="G10" s="1848"/>
      <c r="H10" s="1288" t="s">
        <v>1039</v>
      </c>
      <c r="I10" s="1820" t="s">
        <v>1409</v>
      </c>
      <c r="J10" s="346" t="e">
        <f ca="1">ROUND(IF(M10="押一",J6/12*M11,IF(M10="押二",J6/12*2*M11,IF(M10="押三",J6/12*3*M11,J11*M11))),0)</f>
        <v>#N/A</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45" t="s">
        <v>1418</v>
      </c>
      <c r="E14" s="2944"/>
      <c r="F14" s="364"/>
      <c r="G14" s="1848"/>
      <c r="H14" s="1198" t="s">
        <v>1035</v>
      </c>
      <c r="I14" s="347" t="s">
        <v>1419</v>
      </c>
      <c r="J14" s="24" t="e">
        <f ca="1">C29</f>
        <v>#N/A</v>
      </c>
      <c r="K14" s="2941"/>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7"/>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0"/>
      <c r="F19" s="26"/>
      <c r="G19" s="1848"/>
      <c r="H19" s="1198" t="s">
        <v>1036</v>
      </c>
      <c r="I19" s="347" t="s">
        <v>1437</v>
      </c>
      <c r="J19" s="24" t="e">
        <f ca="1">IF(K19="按租金收入计税",ROUND(J5*M19,2),ROUND(C29*M19*0.7,2))</f>
        <v>#N/A</v>
      </c>
      <c r="K19" s="1825" t="s">
        <v>1438</v>
      </c>
      <c r="L19" s="347" t="s">
        <v>1422</v>
      </c>
      <c r="M19" s="367">
        <f>IF(K19="按租金收入计税",'数据-取费表'!B51,'数据-取费表'!B50)</f>
        <v>1.2E-2</v>
      </c>
    </row>
    <row r="20" spans="1:37" s="1855" customFormat="1" ht="18" customHeight="1">
      <c r="A20" s="1198" t="s">
        <v>1039</v>
      </c>
      <c r="B20" s="347" t="s">
        <v>1439</v>
      </c>
      <c r="C20" s="24" t="e">
        <f ca="1">ROUND(C19*F20,0)</f>
        <v>#N/A</v>
      </c>
      <c r="D20" s="369" t="s">
        <v>1440</v>
      </c>
      <c r="E20" s="347" t="s">
        <v>1422</v>
      </c>
      <c r="F20" s="367">
        <f>'数据-取费表'!B37</f>
        <v>0.02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t="e">
        <f ca="1">ROUND(J14*M22,1)</f>
        <v>#N/A</v>
      </c>
      <c r="K22" s="2946"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t="e">
        <f ca="1">ROUND(J13*M23,1)</f>
        <v>#N/A</v>
      </c>
      <c r="K23" s="2946" t="s">
        <v>1454</v>
      </c>
      <c r="L23" s="347" t="s">
        <v>1455</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t="e">
        <f ca="1">ROUND(J5*M24,1)</f>
        <v>#N/A</v>
      </c>
      <c r="K24" s="1339" t="s">
        <v>1459</v>
      </c>
      <c r="L24" s="1337" t="s">
        <v>1455</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7"/>
      <c r="F30" s="1291"/>
      <c r="G30" s="1848"/>
      <c r="H30" s="745"/>
      <c r="I30" s="746"/>
      <c r="J30" s="747"/>
      <c r="K30" s="748"/>
      <c r="L30" s="749"/>
      <c r="M30" s="750"/>
    </row>
    <row r="31" spans="1:37" ht="18" customHeight="1">
      <c r="A31" s="1198" t="s">
        <v>1035</v>
      </c>
      <c r="B31" s="347" t="s">
        <v>1429</v>
      </c>
      <c r="C31" s="24" t="e">
        <f ca="1">ROUND(IF(项目基本情况!B11="自然人",C5*F31,C32+C33+C34),1)</f>
        <v>#N/A</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3084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46"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46" t="s">
        <v>1454</v>
      </c>
      <c r="E37" s="347" t="s">
        <v>1455</v>
      </c>
      <c r="F37" s="376" t="e">
        <f ca="1">INDIRECT("'数据-取费表'!Al"&amp;$G$1)</f>
        <v>#N/A</v>
      </c>
      <c r="G37" s="1848"/>
      <c r="H37" s="1856"/>
      <c r="I37" s="1857"/>
      <c r="J37" s="1858"/>
      <c r="K37" s="751"/>
      <c r="L37" s="1856"/>
      <c r="M37" s="1856"/>
    </row>
    <row r="38" spans="1:18" ht="18" customHeight="1" thickBot="1">
      <c r="A38" s="1336" t="s">
        <v>1393</v>
      </c>
      <c r="B38" s="1337" t="s">
        <v>1439</v>
      </c>
      <c r="C38" s="1338" t="e">
        <f ca="1">ROUND(C5*F38,1)</f>
        <v>#N/A</v>
      </c>
      <c r="D38" s="1339" t="s">
        <v>1459</v>
      </c>
      <c r="E38" s="1337" t="s">
        <v>1455</v>
      </c>
      <c r="F38" s="1333" t="e">
        <f ca="1">INDIRECT("'数据-取费表'!Am"&amp;$G$1)</f>
        <v>#N/A</v>
      </c>
      <c r="G38" s="1848"/>
      <c r="H38" s="1856"/>
      <c r="I38" s="1857"/>
      <c r="J38" s="1858"/>
      <c r="K38" s="1862"/>
      <c r="L38" s="1856"/>
      <c r="M38" s="1856"/>
    </row>
    <row r="39" spans="1:18" ht="24.6" customHeight="1" thickTop="1">
      <c r="A39" s="1326" t="s">
        <v>1031</v>
      </c>
      <c r="B39" s="1341" t="s">
        <v>1483</v>
      </c>
      <c r="C39" s="355" t="e">
        <f ca="1">C5-C30</f>
        <v>#N/A</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3085</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2939" t="e">
        <f ca="1">C49+C53+C55</f>
        <v>#N/A</v>
      </c>
      <c r="D48" s="1359"/>
      <c r="E48" s="1360"/>
      <c r="F48" s="1178"/>
      <c r="G48" s="792"/>
      <c r="H48" s="793"/>
      <c r="I48" s="1884" t="s">
        <v>1530</v>
      </c>
      <c r="J48" s="1885" t="s">
        <v>3086</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3036</v>
      </c>
      <c r="E49" s="1827" t="s">
        <v>1491</v>
      </c>
      <c r="F49" s="1278"/>
      <c r="G49" s="1888"/>
      <c r="H49" s="793"/>
      <c r="I49" s="1884" t="s">
        <v>1534</v>
      </c>
      <c r="J49" s="1889"/>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50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50</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t="e">
        <f ca="1">IF(M47="住宅",J51,IF(D1="——",MIN(J51,L48),IF(D1="在建（套用方法）",MIN(J51,L48-'数据-取费表'!B24),IF(D1="土地（套用方法）",MIN(J51,L48-'数据-取费表'!B20)))))</f>
        <v>#N/A</v>
      </c>
      <c r="K53" s="3153" t="s">
        <v>1548</v>
      </c>
      <c r="L53" s="3154"/>
      <c r="O53" s="1881" t="s">
        <v>1046</v>
      </c>
      <c r="P53" s="1882" t="s">
        <v>1549</v>
      </c>
      <c r="Q53" s="1883" t="e">
        <f ca="1">Q47+Q48</f>
        <v>#N/A</v>
      </c>
      <c r="R53" s="1883" t="s">
        <v>1047</v>
      </c>
    </row>
    <row r="54" spans="1:18" s="1839" customFormat="1" ht="13.5" thickBot="1">
      <c r="A54" s="1403"/>
      <c r="B54" s="1822" t="s">
        <v>1388</v>
      </c>
      <c r="C54" s="1175"/>
      <c r="D54" s="1821"/>
      <c r="E54" s="2943"/>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3074</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1493</v>
      </c>
      <c r="C61" s="24" t="e">
        <f ca="1">IF(项目基本情况!B11="自然人","——",IF(D61="按租金收入计税",ROUND(C48*F61,2),IF(D61="按房产原值计税",ROUND(C57*F61*0.7,2),INDIRECT("'数据-取费表'!Aj"&amp;$G$1))))</f>
        <v>#N/A</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1496</v>
      </c>
      <c r="C62" s="25" t="e">
        <f ca="1">IF(项目基本情况!B11="自然人","——",ROUND(F62*F63/10000,2))</f>
        <v>#N/A</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#N/A</v>
      </c>
      <c r="R62" s="1883" t="s">
        <v>1047</v>
      </c>
    </row>
    <row r="63" spans="1:18" s="1839" customFormat="1" ht="13.5" thickBot="1">
      <c r="A63" s="372"/>
      <c r="B63" s="1172"/>
      <c r="C63" s="29"/>
      <c r="D63" s="1182"/>
      <c r="E63" s="1166" t="s">
        <v>1499</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t="e">
        <f ca="1">ROUND(C57*F64,1)</f>
        <v>#N/A</v>
      </c>
      <c r="D64" s="1180" t="s">
        <v>1502</v>
      </c>
      <c r="E64" s="1166" t="s">
        <v>1494</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1455</v>
      </c>
      <c r="F65" s="376" t="e">
        <f t="shared" ca="1" si="0"/>
        <v>#N/A</v>
      </c>
      <c r="I65" s="1926" t="s">
        <v>1579</v>
      </c>
      <c r="J65" s="1927">
        <v>40</v>
      </c>
      <c r="K65" s="1927">
        <v>30</v>
      </c>
      <c r="L65" s="1927">
        <v>50</v>
      </c>
      <c r="M65" s="1929">
        <v>0.02</v>
      </c>
      <c r="O65" s="1881" t="s">
        <v>1040</v>
      </c>
      <c r="P65" s="1882" t="s">
        <v>1580</v>
      </c>
      <c r="Q65" s="1883" t="e">
        <f ca="1">C40+J29</f>
        <v>#N/A</v>
      </c>
      <c r="R65" s="1883" t="s">
        <v>1529</v>
      </c>
    </row>
    <row r="66" spans="1:18" s="1839" customFormat="1" ht="16.5" thickBot="1">
      <c r="A66" s="1198" t="s">
        <v>1504</v>
      </c>
      <c r="B66" s="1166" t="s">
        <v>1439</v>
      </c>
      <c r="C66" s="24" t="e">
        <f ca="1">ROUND(C48*F66,1)</f>
        <v>#N/A</v>
      </c>
      <c r="D66" s="1180" t="s">
        <v>1505</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3076</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50" t="s">
        <v>1403</v>
      </c>
      <c r="C6" s="1293" t="e">
        <f ca="1">ROUND(F6*F8*F7*(1-F9)/10000,0)</f>
        <v>#N/A</v>
      </c>
      <c r="D6" s="164" t="s">
        <v>3035</v>
      </c>
      <c r="E6" s="347" t="s">
        <v>1405</v>
      </c>
      <c r="F6" s="348" t="e">
        <f ca="1">INDIRECT("'数据-取费表'!u"&amp;$G$1)</f>
        <v>#N/A</v>
      </c>
      <c r="G6" s="1848"/>
      <c r="H6" s="1288" t="s">
        <v>1035</v>
      </c>
      <c r="I6" s="3150" t="s">
        <v>1403</v>
      </c>
      <c r="J6" s="346" t="e">
        <f ca="1">ROUND(M6*M8*M7*(1-M9)/10000,0)</f>
        <v>#N/A</v>
      </c>
      <c r="K6" s="164" t="s">
        <v>3034</v>
      </c>
      <c r="L6" s="347" t="s">
        <v>1405</v>
      </c>
      <c r="M6" s="348" t="e">
        <f ca="1">INDIRECT("'数据-取费表'!z"&amp;$G$1)</f>
        <v>#N/A</v>
      </c>
    </row>
    <row r="7" spans="1:37" ht="18" customHeight="1">
      <c r="A7" s="1292"/>
      <c r="B7" s="3151"/>
      <c r="C7" s="1294"/>
      <c r="D7" s="352"/>
      <c r="E7" s="2942" t="s">
        <v>1406</v>
      </c>
      <c r="F7" s="348" t="e">
        <f ca="1">IF(INDIRECT("'数据-取费表'!ah"&amp;$G$1)="",INDIRECT("'数据-取费表'!k"&amp;$G$1),INDIRECT("'数据-取费表'!ah"&amp;$G$1))</f>
        <v>#N/A</v>
      </c>
      <c r="G7" s="1848"/>
      <c r="H7" s="349"/>
      <c r="I7" s="3151"/>
      <c r="J7" s="351"/>
      <c r="K7" s="352"/>
      <c r="L7" s="347" t="s">
        <v>1406</v>
      </c>
      <c r="M7" s="348" t="e">
        <f ca="1">F7</f>
        <v>#N/A</v>
      </c>
    </row>
    <row r="8" spans="1:37" ht="18" customHeight="1">
      <c r="A8" s="349"/>
      <c r="B8" s="3151"/>
      <c r="C8" s="351"/>
      <c r="D8" s="352"/>
      <c r="E8" s="347" t="s">
        <v>1407</v>
      </c>
      <c r="F8" s="348" t="e">
        <f ca="1">INDIRECT("'数据-取费表'!ai"&amp;$G$1)</f>
        <v>#N/A</v>
      </c>
      <c r="G8" s="1848"/>
      <c r="H8" s="349"/>
      <c r="I8" s="3151"/>
      <c r="J8" s="351"/>
      <c r="K8" s="352"/>
      <c r="L8" s="347" t="s">
        <v>1407</v>
      </c>
      <c r="M8" s="348" t="e">
        <f ca="1">INDIRECT("'数据-取费表'!ai"&amp;$G$1)</f>
        <v>#N/A</v>
      </c>
    </row>
    <row r="9" spans="1:37" ht="18" customHeight="1">
      <c r="A9" s="349"/>
      <c r="B9" s="3152"/>
      <c r="C9" s="351"/>
      <c r="D9" s="352"/>
      <c r="E9" s="347" t="s">
        <v>1408</v>
      </c>
      <c r="F9" s="357" t="e">
        <f ca="1">INDIRECT("'数据-取费表'!w"&amp;$G$1)</f>
        <v>#N/A</v>
      </c>
      <c r="G9" s="1848"/>
      <c r="H9" s="349"/>
      <c r="I9" s="3152"/>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3044</v>
      </c>
      <c r="E10" s="358" t="s">
        <v>1410</v>
      </c>
      <c r="F10" s="1363" t="s">
        <v>3083</v>
      </c>
      <c r="G10" s="1848"/>
      <c r="H10" s="1288" t="s">
        <v>1039</v>
      </c>
      <c r="I10" s="1820" t="s">
        <v>1409</v>
      </c>
      <c r="J10" s="346" t="e">
        <f ca="1">ROUND(IF(M10="押一",J6/12*M11,IF(M10="押二",J6/12*2*M11,IF(M10="押三",J6/12*3*M11,J11*M11))),0)</f>
        <v>#N/A</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45" t="s">
        <v>1418</v>
      </c>
      <c r="E14" s="2944"/>
      <c r="F14" s="364"/>
      <c r="G14" s="1848"/>
      <c r="H14" s="1198" t="s">
        <v>1035</v>
      </c>
      <c r="I14" s="347" t="s">
        <v>1419</v>
      </c>
      <c r="J14" s="24" t="e">
        <f ca="1">C29</f>
        <v>#N/A</v>
      </c>
      <c r="K14" s="2941"/>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7"/>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0"/>
      <c r="F19" s="26"/>
      <c r="G19" s="1848"/>
      <c r="H19" s="1198" t="s">
        <v>1036</v>
      </c>
      <c r="I19" s="347" t="s">
        <v>1437</v>
      </c>
      <c r="J19" s="24" t="e">
        <f ca="1">IF(K19="按租金收入计税",ROUND(J5*M19,2),ROUND(C29*M19*0.7,2))</f>
        <v>#N/A</v>
      </c>
      <c r="K19" s="1825" t="s">
        <v>1438</v>
      </c>
      <c r="L19" s="347" t="s">
        <v>1422</v>
      </c>
      <c r="M19" s="367">
        <f>IF(K19="按租金收入计税",'数据-取费表'!B51,'数据-取费表'!B50)</f>
        <v>1.2E-2</v>
      </c>
    </row>
    <row r="20" spans="1:37" s="1855" customFormat="1" ht="18" customHeight="1">
      <c r="A20" s="1198" t="s">
        <v>1039</v>
      </c>
      <c r="B20" s="347" t="s">
        <v>1439</v>
      </c>
      <c r="C20" s="24" t="e">
        <f ca="1">ROUND(C19*F20,0)</f>
        <v>#N/A</v>
      </c>
      <c r="D20" s="369" t="s">
        <v>1440</v>
      </c>
      <c r="E20" s="347" t="s">
        <v>1422</v>
      </c>
      <c r="F20" s="367">
        <f>'数据-取费表'!B37</f>
        <v>0.02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t="e">
        <f ca="1">ROUND(J14*M22,1)</f>
        <v>#N/A</v>
      </c>
      <c r="K22" s="2946"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t="e">
        <f ca="1">ROUND(J13*M23,1)</f>
        <v>#N/A</v>
      </c>
      <c r="K23" s="2946" t="s">
        <v>1454</v>
      </c>
      <c r="L23" s="347" t="s">
        <v>1455</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t="e">
        <f ca="1">ROUND(J5*M24,1)</f>
        <v>#N/A</v>
      </c>
      <c r="K24" s="1339" t="s">
        <v>1459</v>
      </c>
      <c r="L24" s="1337" t="s">
        <v>1455</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7"/>
      <c r="F30" s="1291"/>
      <c r="G30" s="1848"/>
      <c r="H30" s="745"/>
      <c r="I30" s="746"/>
      <c r="J30" s="747"/>
      <c r="K30" s="748"/>
      <c r="L30" s="749"/>
      <c r="M30" s="750"/>
    </row>
    <row r="31" spans="1:37" ht="18" customHeight="1">
      <c r="A31" s="1198" t="s">
        <v>1035</v>
      </c>
      <c r="B31" s="347" t="s">
        <v>1429</v>
      </c>
      <c r="C31" s="24" t="e">
        <f ca="1">ROUND(IF(项目基本情况!B11="自然人",C5*F31,C32+C33+C34),1)</f>
        <v>#N/A</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3084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46"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46" t="s">
        <v>1454</v>
      </c>
      <c r="E37" s="347" t="s">
        <v>1455</v>
      </c>
      <c r="F37" s="376" t="e">
        <f ca="1">INDIRECT("'数据-取费表'!Al"&amp;$G$1)</f>
        <v>#N/A</v>
      </c>
      <c r="G37" s="1848"/>
      <c r="H37" s="1856"/>
      <c r="I37" s="1857"/>
      <c r="J37" s="1858"/>
      <c r="K37" s="751"/>
      <c r="L37" s="1856"/>
      <c r="M37" s="1856"/>
    </row>
    <row r="38" spans="1:18" ht="18" customHeight="1" thickBot="1">
      <c r="A38" s="1336" t="s">
        <v>1393</v>
      </c>
      <c r="B38" s="1337" t="s">
        <v>1439</v>
      </c>
      <c r="C38" s="1338" t="e">
        <f ca="1">ROUND(C5*F38,1)</f>
        <v>#N/A</v>
      </c>
      <c r="D38" s="1339" t="s">
        <v>1459</v>
      </c>
      <c r="E38" s="1337" t="s">
        <v>1455</v>
      </c>
      <c r="F38" s="1333" t="e">
        <f ca="1">INDIRECT("'数据-取费表'!Am"&amp;$G$1)</f>
        <v>#N/A</v>
      </c>
      <c r="G38" s="1848"/>
      <c r="H38" s="1856"/>
      <c r="I38" s="1857"/>
      <c r="J38" s="1858"/>
      <c r="K38" s="1862"/>
      <c r="L38" s="1856"/>
      <c r="M38" s="1856"/>
    </row>
    <row r="39" spans="1:18" ht="24.6" customHeight="1" thickTop="1">
      <c r="A39" s="1326" t="s">
        <v>1031</v>
      </c>
      <c r="B39" s="1341" t="s">
        <v>1483</v>
      </c>
      <c r="C39" s="355" t="e">
        <f ca="1">C5-C30</f>
        <v>#N/A</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3085</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2939" t="e">
        <f ca="1">C49+C53+C55</f>
        <v>#N/A</v>
      </c>
      <c r="D48" s="1359"/>
      <c r="E48" s="1360"/>
      <c r="F48" s="1178"/>
      <c r="G48" s="792"/>
      <c r="H48" s="793"/>
      <c r="I48" s="1884" t="s">
        <v>1530</v>
      </c>
      <c r="J48" s="1885" t="s">
        <v>3086</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3036</v>
      </c>
      <c r="E49" s="1827" t="s">
        <v>1491</v>
      </c>
      <c r="F49" s="1278"/>
      <c r="G49" s="1888"/>
      <c r="H49" s="793"/>
      <c r="I49" s="1884" t="s">
        <v>1534</v>
      </c>
      <c r="J49" s="1889"/>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50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50</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t="e">
        <f ca="1">IF(M47="住宅",J51,IF(D1="——",MIN(J51,L48),IF(D1="在建（套用方法）",MIN(J51,L48-'数据-取费表'!B24),IF(D1="土地（套用方法）",MIN(J51,L48-'数据-取费表'!B20)))))</f>
        <v>#N/A</v>
      </c>
      <c r="K53" s="3153" t="s">
        <v>1548</v>
      </c>
      <c r="L53" s="3154"/>
      <c r="O53" s="1881" t="s">
        <v>1046</v>
      </c>
      <c r="P53" s="1882" t="s">
        <v>1549</v>
      </c>
      <c r="Q53" s="1883" t="e">
        <f ca="1">Q47+Q48</f>
        <v>#N/A</v>
      </c>
      <c r="R53" s="1883" t="s">
        <v>1047</v>
      </c>
    </row>
    <row r="54" spans="1:18" s="1839" customFormat="1" ht="13.5" thickBot="1">
      <c r="A54" s="1403"/>
      <c r="B54" s="1822" t="s">
        <v>1388</v>
      </c>
      <c r="C54" s="1175"/>
      <c r="D54" s="1821"/>
      <c r="E54" s="2943"/>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3074</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1493</v>
      </c>
      <c r="C61" s="24" t="e">
        <f ca="1">IF(项目基本情况!B11="自然人","——",IF(D61="按租金收入计税",ROUND(C48*F61,2),IF(D61="按房产原值计税",ROUND(C57*F61*0.7,2),INDIRECT("'数据-取费表'!Aj"&amp;$G$1))))</f>
        <v>#N/A</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1496</v>
      </c>
      <c r="C62" s="25" t="e">
        <f ca="1">IF(项目基本情况!B11="自然人","——",ROUND(F62*F63/10000,2))</f>
        <v>#N/A</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#N/A</v>
      </c>
      <c r="R62" s="1883" t="s">
        <v>1047</v>
      </c>
    </row>
    <row r="63" spans="1:18" s="1839" customFormat="1" ht="13.5" thickBot="1">
      <c r="A63" s="372"/>
      <c r="B63" s="1172"/>
      <c r="C63" s="29"/>
      <c r="D63" s="1182"/>
      <c r="E63" s="1166" t="s">
        <v>1499</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t="e">
        <f ca="1">ROUND(C57*F64,1)</f>
        <v>#N/A</v>
      </c>
      <c r="D64" s="1180" t="s">
        <v>1502</v>
      </c>
      <c r="E64" s="1166" t="s">
        <v>1494</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1455</v>
      </c>
      <c r="F65" s="376" t="e">
        <f t="shared" ca="1" si="0"/>
        <v>#N/A</v>
      </c>
      <c r="I65" s="1926" t="s">
        <v>1579</v>
      </c>
      <c r="J65" s="1927">
        <v>40</v>
      </c>
      <c r="K65" s="1927">
        <v>30</v>
      </c>
      <c r="L65" s="1927">
        <v>50</v>
      </c>
      <c r="M65" s="1929">
        <v>0.02</v>
      </c>
      <c r="O65" s="1881" t="s">
        <v>1040</v>
      </c>
      <c r="P65" s="1882" t="s">
        <v>1580</v>
      </c>
      <c r="Q65" s="1883" t="e">
        <f ca="1">C40+J29</f>
        <v>#N/A</v>
      </c>
      <c r="R65" s="1883" t="s">
        <v>1529</v>
      </c>
    </row>
    <row r="66" spans="1:18" s="1839" customFormat="1" ht="16.5" thickBot="1">
      <c r="A66" s="1198" t="s">
        <v>1504</v>
      </c>
      <c r="B66" s="1166" t="s">
        <v>1439</v>
      </c>
      <c r="C66" s="24" t="e">
        <f ca="1">ROUND(C48*F66,1)</f>
        <v>#N/A</v>
      </c>
      <c r="D66" s="1180" t="s">
        <v>1505</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3111</v>
      </c>
      <c r="D1" s="1817" t="s">
        <v>70</v>
      </c>
      <c r="E1" s="1818" t="s">
        <v>1387</v>
      </c>
      <c r="F1" s="1280">
        <f ca="1">J53</f>
        <v>40</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13128</v>
      </c>
      <c r="C2" s="1842" t="s">
        <v>1516</v>
      </c>
      <c r="D2" s="1842"/>
      <c r="E2" s="1843"/>
      <c r="F2" s="1844"/>
      <c r="G2" s="1845"/>
      <c r="H2" s="1837"/>
      <c r="I2" s="1837"/>
      <c r="J2" s="1837"/>
      <c r="K2" s="1838"/>
      <c r="L2" s="1837"/>
      <c r="M2" s="1837"/>
    </row>
    <row r="3" spans="1:37" ht="18" customHeight="1" thickBot="1">
      <c r="A3" s="1846" t="s">
        <v>1517</v>
      </c>
      <c r="B3" s="1847">
        <f ca="1">IF(ISERROR(B2*10000/F43),0,ROUND(B2*10000/F43,0))</f>
        <v>27903</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588</v>
      </c>
      <c r="D5" s="1819" t="s">
        <v>1402</v>
      </c>
      <c r="E5" s="1290"/>
      <c r="F5" s="1291"/>
      <c r="G5" s="1848"/>
      <c r="H5" s="344">
        <v>1</v>
      </c>
      <c r="I5" s="345" t="s">
        <v>1401</v>
      </c>
      <c r="J5" s="1289">
        <f ca="1">J6+J10+J12</f>
        <v>0</v>
      </c>
      <c r="K5" s="1819" t="s">
        <v>1402</v>
      </c>
      <c r="L5" s="1290"/>
      <c r="M5" s="1291"/>
    </row>
    <row r="6" spans="1:37" ht="18" customHeight="1">
      <c r="A6" s="1288" t="s">
        <v>1035</v>
      </c>
      <c r="B6" s="3150" t="s">
        <v>1403</v>
      </c>
      <c r="C6" s="1293">
        <f ca="1">ROUND(F6*F8*F7*(1-F9)/10000,0)</f>
        <v>587</v>
      </c>
      <c r="D6" s="164" t="s">
        <v>3035</v>
      </c>
      <c r="E6" s="347" t="s">
        <v>1405</v>
      </c>
      <c r="F6" s="348">
        <f ca="1">INDIRECT("'数据-取费表'!u"&amp;$G$1)</f>
        <v>3.6</v>
      </c>
      <c r="G6" s="1848"/>
      <c r="H6" s="1288" t="s">
        <v>1035</v>
      </c>
      <c r="I6" s="3150" t="s">
        <v>1403</v>
      </c>
      <c r="J6" s="346">
        <f ca="1">ROUND(M6*M8*M7*(1-M9)/10000,0)</f>
        <v>0</v>
      </c>
      <c r="K6" s="164" t="s">
        <v>3034</v>
      </c>
      <c r="L6" s="347" t="s">
        <v>1405</v>
      </c>
      <c r="M6" s="348">
        <f ca="1">INDIRECT("'数据-取费表'!z"&amp;$G$1)</f>
        <v>0</v>
      </c>
    </row>
    <row r="7" spans="1:37" ht="18" customHeight="1">
      <c r="A7" s="1292"/>
      <c r="B7" s="3151"/>
      <c r="C7" s="1294"/>
      <c r="D7" s="352"/>
      <c r="E7" s="2942" t="s">
        <v>1406</v>
      </c>
      <c r="F7" s="348">
        <f ca="1">IF(INDIRECT("'数据-取费表'!ah"&amp;$G$1)="",INDIRECT("'数据-取费表'!k"&amp;$G$1),INDIRECT("'数据-取费表'!ah"&amp;$G$1))</f>
        <v>4704.8599999999997</v>
      </c>
      <c r="G7" s="1848"/>
      <c r="H7" s="349"/>
      <c r="I7" s="3151"/>
      <c r="J7" s="351"/>
      <c r="K7" s="352"/>
      <c r="L7" s="347" t="s">
        <v>1406</v>
      </c>
      <c r="M7" s="348">
        <f ca="1">F7</f>
        <v>4704.8599999999997</v>
      </c>
    </row>
    <row r="8" spans="1:37" ht="18" customHeight="1">
      <c r="A8" s="349"/>
      <c r="B8" s="3151"/>
      <c r="C8" s="351"/>
      <c r="D8" s="352"/>
      <c r="E8" s="347" t="s">
        <v>1407</v>
      </c>
      <c r="F8" s="348">
        <f ca="1">INDIRECT("'数据-取费表'!ai"&amp;$G$1)</f>
        <v>365</v>
      </c>
      <c r="G8" s="1848"/>
      <c r="H8" s="349"/>
      <c r="I8" s="3151"/>
      <c r="J8" s="351"/>
      <c r="K8" s="352"/>
      <c r="L8" s="347" t="s">
        <v>1407</v>
      </c>
      <c r="M8" s="348">
        <f ca="1">INDIRECT("'数据-取费表'!ai"&amp;$G$1)</f>
        <v>365</v>
      </c>
    </row>
    <row r="9" spans="1:37" ht="18" customHeight="1">
      <c r="A9" s="349"/>
      <c r="B9" s="3152"/>
      <c r="C9" s="351"/>
      <c r="D9" s="352"/>
      <c r="E9" s="347" t="s">
        <v>1408</v>
      </c>
      <c r="F9" s="357">
        <f ca="1">INDIRECT("'数据-取费表'!w"&amp;$G$1)</f>
        <v>0.05</v>
      </c>
      <c r="G9" s="1848"/>
      <c r="H9" s="349"/>
      <c r="I9" s="3152"/>
      <c r="J9" s="351"/>
      <c r="K9" s="352"/>
      <c r="L9" s="358" t="s">
        <v>1408</v>
      </c>
      <c r="M9" s="359">
        <f ca="1">INDIRECT("'数据-取费表'!ab"&amp;$G$1)</f>
        <v>0</v>
      </c>
    </row>
    <row r="10" spans="1:37" ht="18" customHeight="1">
      <c r="A10" s="1288" t="s">
        <v>1039</v>
      </c>
      <c r="B10" s="1820" t="s">
        <v>1409</v>
      </c>
      <c r="C10" s="361">
        <f ca="1">ROUND(IF(F10="押一",C6/12*F11,IF(F10="押二",C6/12*2*F11,IF(F10="押三",C6/12*3*F11,C11*F11))),0)</f>
        <v>1</v>
      </c>
      <c r="D10" s="1821" t="s">
        <v>3044</v>
      </c>
      <c r="E10" s="358" t="s">
        <v>1410</v>
      </c>
      <c r="F10" s="1363" t="s">
        <v>3083</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1398</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1270</v>
      </c>
      <c r="D14" s="2945" t="s">
        <v>1418</v>
      </c>
      <c r="E14" s="2944"/>
      <c r="F14" s="364"/>
      <c r="G14" s="1848"/>
      <c r="H14" s="1198" t="s">
        <v>1035</v>
      </c>
      <c r="I14" s="347" t="s">
        <v>1419</v>
      </c>
      <c r="J14" s="24">
        <f ca="1">C29</f>
        <v>1839</v>
      </c>
      <c r="K14" s="2941"/>
      <c r="L14" s="976"/>
      <c r="M14" s="977"/>
    </row>
    <row r="15" spans="1:37" s="1855" customFormat="1" ht="18" customHeight="1" thickBot="1">
      <c r="A15" s="1198" t="s">
        <v>1036</v>
      </c>
      <c r="B15" s="347" t="s">
        <v>1420</v>
      </c>
      <c r="C15" s="24">
        <f ca="1">ROUND(C14*F15,0)</f>
        <v>38</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44</v>
      </c>
      <c r="K16" s="1334" t="s">
        <v>1425</v>
      </c>
      <c r="L16" s="2947"/>
      <c r="M16" s="1291"/>
    </row>
    <row r="17" spans="1:37" s="1855" customFormat="1" ht="18" customHeight="1">
      <c r="A17" s="1198" t="s">
        <v>1390</v>
      </c>
      <c r="B17" s="347" t="s">
        <v>1426</v>
      </c>
      <c r="C17" s="24">
        <f ca="1">ROUND(F17*(F43+INDIRECT("'数据-取费表'!S"&amp;$G$1))/10000,0)</f>
        <v>94</v>
      </c>
      <c r="D17" s="347" t="s">
        <v>1427</v>
      </c>
      <c r="E17" s="347" t="s">
        <v>1428</v>
      </c>
      <c r="F17" s="26">
        <f>'数据-取费表'!B35</f>
        <v>200</v>
      </c>
      <c r="G17" s="1851"/>
      <c r="H17" s="1198" t="s">
        <v>1035</v>
      </c>
      <c r="I17" s="347" t="s">
        <v>1429</v>
      </c>
      <c r="J17" s="24">
        <f ca="1">ROUND(IF(项目基本情况!B11="自然人",J5*M17,J18+J19+J20),1)</f>
        <v>16.3</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19</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1421</v>
      </c>
      <c r="D19" s="140" t="s">
        <v>1436</v>
      </c>
      <c r="E19" s="2940"/>
      <c r="F19" s="26"/>
      <c r="G19" s="1848"/>
      <c r="H19" s="1198" t="s">
        <v>1036</v>
      </c>
      <c r="I19" s="347" t="s">
        <v>1437</v>
      </c>
      <c r="J19" s="24">
        <f ca="1">IF(K19="按租金收入计税",ROUND(J5*M19,2),ROUND(C29*M19*0.7,2))</f>
        <v>15.45</v>
      </c>
      <c r="K19" s="1825" t="s">
        <v>1438</v>
      </c>
      <c r="L19" s="347" t="s">
        <v>1422</v>
      </c>
      <c r="M19" s="367">
        <f>IF(K19="按租金收入计税",'数据-取费表'!B51,'数据-取费表'!B50)</f>
        <v>1.2E-2</v>
      </c>
    </row>
    <row r="20" spans="1:37" s="1855" customFormat="1" ht="18" customHeight="1">
      <c r="A20" s="1198" t="s">
        <v>1039</v>
      </c>
      <c r="B20" s="347" t="s">
        <v>1439</v>
      </c>
      <c r="C20" s="24">
        <f ca="1">ROUND(C19*F20,0)</f>
        <v>28</v>
      </c>
      <c r="D20" s="369" t="s">
        <v>1440</v>
      </c>
      <c r="E20" s="347" t="s">
        <v>1422</v>
      </c>
      <c r="F20" s="367">
        <f>'数据-取费表'!B37</f>
        <v>0.02</v>
      </c>
      <c r="G20" s="1851"/>
      <c r="H20" s="1198" t="s">
        <v>1389</v>
      </c>
      <c r="I20" s="164" t="s">
        <v>1441</v>
      </c>
      <c r="J20" s="25">
        <f ca="1">ROUND(M20*M21/10000,2)</f>
        <v>0.89</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2957.47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27.6</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-44</v>
      </c>
      <c r="K25" s="1342" t="s">
        <v>1464</v>
      </c>
      <c r="L25" s="1343"/>
      <c r="M25" s="1344"/>
    </row>
    <row r="26" spans="1:37">
      <c r="A26" s="1198" t="s">
        <v>1034</v>
      </c>
      <c r="B26" s="347" t="s">
        <v>1465</v>
      </c>
      <c r="C26" s="24">
        <f ca="1">ROUND((C19+C20)*F26,0)</f>
        <v>217</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1839</v>
      </c>
      <c r="D29" s="1339"/>
      <c r="E29" s="1337"/>
      <c r="F29" s="1340"/>
      <c r="G29" s="1851"/>
      <c r="H29" s="380" t="s">
        <v>1033</v>
      </c>
      <c r="I29" s="381" t="s">
        <v>1479</v>
      </c>
      <c r="J29" s="382">
        <f ca="1">ROUND(J26/(1+F40)^F41,0)</f>
        <v>0</v>
      </c>
      <c r="K29" s="383" t="s">
        <v>1480</v>
      </c>
      <c r="L29" s="384"/>
      <c r="M29" s="385">
        <f ca="1">INDIRECT("'数据-取费表'!k"&amp;$G$1)</f>
        <v>4704.8599999999997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138</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102.8</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31.36</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70.56</v>
      </c>
      <c r="D33" s="1825" t="s">
        <v>3084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0.89</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2957.47</v>
      </c>
      <c r="G35" s="1848"/>
      <c r="H35" s="745"/>
      <c r="I35" s="1857"/>
      <c r="J35" s="1858"/>
      <c r="K35" s="1859"/>
      <c r="L35" s="1856"/>
      <c r="M35" s="1856"/>
    </row>
    <row r="36" spans="1:18" ht="18" customHeight="1">
      <c r="A36" s="1349" t="s">
        <v>1039</v>
      </c>
      <c r="B36" s="347" t="s">
        <v>1449</v>
      </c>
      <c r="C36" s="24">
        <f ca="1">ROUND(C29*F36,1)</f>
        <v>27.6</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2.1</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5.9</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450</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13128</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27903</v>
      </c>
      <c r="D43" s="383" t="s">
        <v>1488</v>
      </c>
      <c r="E43" s="384" t="s">
        <v>1489</v>
      </c>
      <c r="F43" s="385">
        <f ca="1">INDIRECT("'数据-取费表'!k"&amp;$G$1)</f>
        <v>4704.8599999999997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-16302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3085</v>
      </c>
      <c r="K47" s="1879" t="s">
        <v>1527</v>
      </c>
      <c r="L47" s="1880">
        <f ca="1">INDIRECT("'数据-取费表'!d"&amp;$G$1)</f>
        <v>40</v>
      </c>
      <c r="M47" s="1835" t="str">
        <f>IF(ISNUMBER(FIND("住宅",C1)),"住宅","非住宅")</f>
        <v>非住宅</v>
      </c>
      <c r="O47" s="1881" t="s">
        <v>1040</v>
      </c>
      <c r="P47" s="1882" t="s">
        <v>1528</v>
      </c>
      <c r="Q47" s="1883">
        <f ca="1">C40+J29</f>
        <v>13128</v>
      </c>
      <c r="R47" s="1883" t="s">
        <v>1529</v>
      </c>
    </row>
    <row r="48" spans="1:18" s="1839" customFormat="1" ht="28.5" thickBot="1">
      <c r="A48" s="1357" t="s">
        <v>1135</v>
      </c>
      <c r="B48" s="345" t="s">
        <v>1401</v>
      </c>
      <c r="C48" s="2939">
        <f ca="1">C49+C53+C55</f>
        <v>0</v>
      </c>
      <c r="D48" s="1359"/>
      <c r="E48" s="1360"/>
      <c r="F48" s="1178"/>
      <c r="G48" s="792"/>
      <c r="H48" s="793"/>
      <c r="I48" s="1884" t="s">
        <v>1530</v>
      </c>
      <c r="J48" s="1885" t="s">
        <v>3086</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1839</v>
      </c>
      <c r="R49" s="1883" t="s">
        <v>1529</v>
      </c>
    </row>
    <row r="50" spans="1:18" s="1839" customFormat="1" ht="13.5" thickBot="1">
      <c r="A50" s="1192"/>
      <c r="B50" s="1195"/>
      <c r="C50" s="1365"/>
      <c r="D50" s="1169"/>
      <c r="E50" s="1274" t="s">
        <v>1406</v>
      </c>
      <c r="F50" s="1275">
        <f ca="1">F7</f>
        <v>4704.8599999999997</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6094</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3" t="s">
        <v>1548</v>
      </c>
      <c r="L53" s="3154"/>
      <c r="O53" s="1881" t="s">
        <v>1046</v>
      </c>
      <c r="P53" s="1882" t="s">
        <v>1549</v>
      </c>
      <c r="Q53" s="1883">
        <f ca="1">Q47+Q48</f>
        <v>13128</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1398</v>
      </c>
      <c r="D56" s="1911"/>
      <c r="E56" s="1912"/>
      <c r="F56" s="1904"/>
      <c r="I56" s="1913" t="s">
        <v>1554</v>
      </c>
      <c r="J56" s="1914" t="s">
        <v>3074</v>
      </c>
      <c r="K56" s="1884" t="s">
        <v>1555</v>
      </c>
      <c r="L56" s="1887" t="str">
        <f ca="1">IF(L48&lt;J51,"——",L48-J53)</f>
        <v>——</v>
      </c>
      <c r="O56" s="1881" t="s">
        <v>1040</v>
      </c>
      <c r="P56" s="1882" t="s">
        <v>1528</v>
      </c>
      <c r="Q56" s="1883">
        <f ca="1">C40+J29</f>
        <v>13128</v>
      </c>
      <c r="R56" s="1883" t="s">
        <v>1529</v>
      </c>
    </row>
    <row r="57" spans="1:18" s="1839" customFormat="1" ht="24.75" thickBot="1">
      <c r="A57" s="1915"/>
      <c r="B57" s="1166" t="s">
        <v>1478</v>
      </c>
      <c r="C57" s="282">
        <f ca="1">C29</f>
        <v>1839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185</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155.4</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154.47999999999999</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0.89</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13128</v>
      </c>
      <c r="R62" s="1883" t="s">
        <v>1047</v>
      </c>
    </row>
    <row r="63" spans="1:18" s="1839" customFormat="1" ht="13.5" thickBot="1">
      <c r="A63" s="372"/>
      <c r="B63" s="1172"/>
      <c r="C63" s="29"/>
      <c r="D63" s="1182"/>
      <c r="E63" s="1166" t="s">
        <v>1499</v>
      </c>
      <c r="F63" s="348">
        <f t="shared" ca="1" si="0"/>
        <v>2957.47</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27.6</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2.1</v>
      </c>
      <c r="D65" s="1180" t="s">
        <v>1454</v>
      </c>
      <c r="E65" s="1166" t="s">
        <v>1455</v>
      </c>
      <c r="F65" s="376">
        <f t="shared" ca="1" si="0"/>
        <v>1.5E-3</v>
      </c>
      <c r="I65" s="1926" t="s">
        <v>1579</v>
      </c>
      <c r="J65" s="1927">
        <v>40</v>
      </c>
      <c r="K65" s="1927">
        <v>30</v>
      </c>
      <c r="L65" s="1927">
        <v>50</v>
      </c>
      <c r="M65" s="1929">
        <v>0.02</v>
      </c>
      <c r="O65" s="1881" t="s">
        <v>1040</v>
      </c>
      <c r="P65" s="1882" t="s">
        <v>1580</v>
      </c>
      <c r="Q65" s="1883">
        <f ca="1">C40+J29</f>
        <v>13128</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-185</v>
      </c>
      <c r="D67" s="1179" t="s">
        <v>1464</v>
      </c>
      <c r="E67" s="1184"/>
      <c r="F67" s="1185"/>
      <c r="O67" s="1891" t="s">
        <v>1042</v>
      </c>
      <c r="P67" s="1882" t="s">
        <v>1562</v>
      </c>
      <c r="Q67" s="1930">
        <f ca="1">L51</f>
        <v>6094</v>
      </c>
      <c r="R67" s="1883" t="s">
        <v>1582</v>
      </c>
    </row>
    <row r="68" spans="1:18" s="1839" customFormat="1" ht="16.5" thickBot="1">
      <c r="A68" s="1163" t="s">
        <v>1032</v>
      </c>
      <c r="B68" s="1164" t="s">
        <v>1485</v>
      </c>
      <c r="C68" s="346">
        <f ca="1">ROUND(C67*(1-((1+F70)/(1+F68))^F69)/(F68-F70),0)</f>
        <v>-3174</v>
      </c>
      <c r="D68" s="1181" t="s">
        <v>1469</v>
      </c>
      <c r="E68" s="1166" t="s">
        <v>1470</v>
      </c>
      <c r="F68" s="357">
        <f ca="1">F40</f>
        <v>0.05</v>
      </c>
      <c r="O68" s="1891" t="s">
        <v>1043</v>
      </c>
      <c r="P68" s="1931" t="s">
        <v>1583</v>
      </c>
      <c r="Q68" s="1883">
        <f ca="1">ROUND(Q69-Q70*Q71,0)</f>
        <v>331</v>
      </c>
      <c r="R68" s="1883" t="s">
        <v>1051</v>
      </c>
    </row>
    <row r="69" spans="1:18" s="1839" customFormat="1" ht="13.5" thickBot="1">
      <c r="A69" s="1167"/>
      <c r="B69" s="1168"/>
      <c r="C69" s="351"/>
      <c r="D69" s="1186" t="s">
        <v>1473</v>
      </c>
      <c r="E69" s="1166" t="s">
        <v>1474</v>
      </c>
      <c r="F69" s="379">
        <f ca="1">F41</f>
        <v>40</v>
      </c>
      <c r="O69" s="1891" t="s">
        <v>1048</v>
      </c>
      <c r="P69" s="1931" t="s">
        <v>1584</v>
      </c>
      <c r="Q69" s="1883">
        <f ca="1">C39</f>
        <v>450</v>
      </c>
      <c r="R69" s="1883" t="s">
        <v>1529</v>
      </c>
    </row>
    <row r="70" spans="1:18" s="1839" customFormat="1" ht="13.5" thickBot="1">
      <c r="A70" s="1170"/>
      <c r="B70" s="1171"/>
      <c r="C70" s="355"/>
      <c r="D70" s="1182"/>
      <c r="E70" s="1166" t="s">
        <v>1477</v>
      </c>
      <c r="F70" s="1272"/>
      <c r="O70" s="1891" t="s">
        <v>1049</v>
      </c>
      <c r="P70" s="1931" t="s">
        <v>1585</v>
      </c>
      <c r="Q70" s="1883">
        <f ca="1">C13</f>
        <v>1398</v>
      </c>
      <c r="R70" s="1883" t="s">
        <v>1529</v>
      </c>
    </row>
    <row r="71" spans="1:18" s="1839" customFormat="1" ht="13.5" thickBot="1">
      <c r="A71" s="1187" t="s">
        <v>1033</v>
      </c>
      <c r="B71" s="1188" t="s">
        <v>1487</v>
      </c>
      <c r="C71" s="382">
        <f ca="1">ROUND(C68*10000/F71,0)</f>
        <v>-6746</v>
      </c>
      <c r="D71" s="1189" t="s">
        <v>1488</v>
      </c>
      <c r="E71" s="1190" t="s">
        <v>1489</v>
      </c>
      <c r="F71" s="385">
        <f ca="1">F43</f>
        <v>4704.8599999999997</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119</v>
      </c>
      <c r="D75" s="1839"/>
      <c r="E75" s="1839"/>
      <c r="F75" s="1839"/>
      <c r="K75" s="1865"/>
      <c r="L75" s="1839"/>
      <c r="O75" s="1881" t="s">
        <v>1046</v>
      </c>
      <c r="P75" s="1882" t="s">
        <v>1549</v>
      </c>
      <c r="Q75" s="1883">
        <f ca="1">Q65+Q66</f>
        <v>13128</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0.73599999999999999</v>
      </c>
    </row>
    <row r="80" spans="1:18">
      <c r="B80" s="386" t="s">
        <v>1511</v>
      </c>
      <c r="C80" s="318">
        <f ca="1">ROUND(C75/C39,3)</f>
        <v>0.26400000000000001</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3105</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150" t="s">
        <v>1403</v>
      </c>
      <c r="C6" s="1293" t="e">
        <f ca="1">ROUND(F6*F8*F7*(1-F9)/10000,0)</f>
        <v>#N/A</v>
      </c>
      <c r="D6" s="164" t="s">
        <v>3035</v>
      </c>
      <c r="E6" s="347" t="s">
        <v>1405</v>
      </c>
      <c r="F6" s="348" t="e">
        <f ca="1">INDIRECT("'数据-取费表'!u"&amp;$G$1)</f>
        <v>#N/A</v>
      </c>
      <c r="G6" s="1848"/>
      <c r="H6" s="1288" t="s">
        <v>1035</v>
      </c>
      <c r="I6" s="3150" t="s">
        <v>1403</v>
      </c>
      <c r="J6" s="346" t="e">
        <f ca="1">ROUND(M6*M8*M7*(1-M9)/10000,0)</f>
        <v>#N/A</v>
      </c>
      <c r="K6" s="164" t="s">
        <v>3034</v>
      </c>
      <c r="L6" s="347" t="s">
        <v>1405</v>
      </c>
      <c r="M6" s="348" t="e">
        <f ca="1">INDIRECT("'数据-取费表'!z"&amp;$G$1)</f>
        <v>#N/A</v>
      </c>
    </row>
    <row r="7" spans="1:37" ht="18" customHeight="1">
      <c r="A7" s="1292"/>
      <c r="B7" s="3151"/>
      <c r="C7" s="1294"/>
      <c r="D7" s="352"/>
      <c r="E7" s="1295" t="s">
        <v>1406</v>
      </c>
      <c r="F7" s="348" t="e">
        <f ca="1">IF(INDIRECT("'数据-取费表'!ah"&amp;$G$1)="",INDIRECT("'数据-取费表'!k"&amp;$G$1),INDIRECT("'数据-取费表'!ah"&amp;$G$1))</f>
        <v>#N/A</v>
      </c>
      <c r="G7" s="1848"/>
      <c r="H7" s="349"/>
      <c r="I7" s="3151"/>
      <c r="J7" s="351"/>
      <c r="K7" s="352"/>
      <c r="L7" s="347" t="s">
        <v>1406</v>
      </c>
      <c r="M7" s="348" t="e">
        <f ca="1">F7</f>
        <v>#N/A</v>
      </c>
    </row>
    <row r="8" spans="1:37" ht="18" customHeight="1">
      <c r="A8" s="349"/>
      <c r="B8" s="3151"/>
      <c r="C8" s="351"/>
      <c r="D8" s="352"/>
      <c r="E8" s="347" t="s">
        <v>1407</v>
      </c>
      <c r="F8" s="348" t="e">
        <f ca="1">INDIRECT("'数据-取费表'!ai"&amp;$G$1)</f>
        <v>#N/A</v>
      </c>
      <c r="G8" s="1848"/>
      <c r="H8" s="349"/>
      <c r="I8" s="3151"/>
      <c r="J8" s="351"/>
      <c r="K8" s="352"/>
      <c r="L8" s="347" t="s">
        <v>1407</v>
      </c>
      <c r="M8" s="348" t="e">
        <f ca="1">INDIRECT("'数据-取费表'!ai"&amp;$G$1)</f>
        <v>#N/A</v>
      </c>
    </row>
    <row r="9" spans="1:37" ht="18" customHeight="1">
      <c r="A9" s="349"/>
      <c r="B9" s="3152"/>
      <c r="C9" s="351"/>
      <c r="D9" s="352"/>
      <c r="E9" s="347" t="s">
        <v>1408</v>
      </c>
      <c r="F9" s="357" t="e">
        <f ca="1">INDIRECT("'数据-取费表'!w"&amp;$G$1)</f>
        <v>#N/A</v>
      </c>
      <c r="G9" s="1848"/>
      <c r="H9" s="349"/>
      <c r="I9" s="3152"/>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3044</v>
      </c>
      <c r="E10" s="358" t="s">
        <v>1410</v>
      </c>
      <c r="F10" s="1363" t="s">
        <v>3083</v>
      </c>
      <c r="G10" s="1848"/>
      <c r="H10" s="1288" t="s">
        <v>1039</v>
      </c>
      <c r="I10" s="1820" t="s">
        <v>1409</v>
      </c>
      <c r="J10" s="346" t="e">
        <f ca="1">ROUND(IF(M10="押一",J6/12*M11,IF(M10="押二",J6/12*2*M11,IF(M10="押三",J6/12*3*M11,J11*M11))),0)</f>
        <v>#N/A</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1797" t="s">
        <v>1418</v>
      </c>
      <c r="E14" s="1791"/>
      <c r="F14" s="364"/>
      <c r="G14" s="1848"/>
      <c r="H14" s="1198" t="s">
        <v>1035</v>
      </c>
      <c r="I14" s="347" t="s">
        <v>1419</v>
      </c>
      <c r="J14" s="24" t="e">
        <f ca="1">C29</f>
        <v>#N/A</v>
      </c>
      <c r="K14" s="15"/>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1335"/>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1815"/>
      <c r="F19" s="26"/>
      <c r="G19" s="1848"/>
      <c r="H19" s="1198" t="s">
        <v>1036</v>
      </c>
      <c r="I19" s="347" t="s">
        <v>1437</v>
      </c>
      <c r="J19" s="24" t="e">
        <f ca="1">IF(K19="按租金收入计税",ROUND(J5*M19,2),ROUND(C29*M19*0.7,2))</f>
        <v>#N/A</v>
      </c>
      <c r="K19" s="1825" t="s">
        <v>1438</v>
      </c>
      <c r="L19" s="347" t="s">
        <v>1422</v>
      </c>
      <c r="M19" s="367">
        <f>IF(K19="按租金收入计税",'数据-取费表'!B51,'数据-取费表'!B50)</f>
        <v>1.2E-2</v>
      </c>
    </row>
    <row r="20" spans="1:37" s="1855" customFormat="1" ht="18" customHeight="1">
      <c r="A20" s="1198" t="s">
        <v>1039</v>
      </c>
      <c r="B20" s="347" t="s">
        <v>1439</v>
      </c>
      <c r="C20" s="24" t="e">
        <f ca="1">ROUND(C19*F20,0)</f>
        <v>#N/A</v>
      </c>
      <c r="D20" s="369" t="s">
        <v>1440</v>
      </c>
      <c r="E20" s="347" t="s">
        <v>1422</v>
      </c>
      <c r="F20" s="367">
        <f>'数据-取费表'!B37</f>
        <v>0.02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t="e">
        <f ca="1">ROUND(J14*M22,1)</f>
        <v>#N/A</v>
      </c>
      <c r="K22" s="1795"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t="e">
        <f ca="1">ROUND(J13*M23,1)</f>
        <v>#N/A</v>
      </c>
      <c r="K23" s="1795" t="s">
        <v>1454</v>
      </c>
      <c r="L23" s="347" t="s">
        <v>1455</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t="e">
        <f ca="1">ROUND(J5*M24,1)</f>
        <v>#N/A</v>
      </c>
      <c r="K24" s="1339" t="s">
        <v>1459</v>
      </c>
      <c r="L24" s="1337" t="s">
        <v>1455</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1335"/>
      <c r="F30" s="1291"/>
      <c r="G30" s="1848"/>
      <c r="H30" s="745"/>
      <c r="I30" s="746"/>
      <c r="J30" s="747"/>
      <c r="K30" s="748"/>
      <c r="L30" s="749"/>
      <c r="M30" s="750"/>
    </row>
    <row r="31" spans="1:37" ht="18" customHeight="1">
      <c r="A31" s="1198" t="s">
        <v>1035</v>
      </c>
      <c r="B31" s="347" t="s">
        <v>1429</v>
      </c>
      <c r="C31" s="24" t="e">
        <f ca="1">ROUND(IF(项目基本情况!B11="自然人",C5*F31,C32+C33+C34),1)</f>
        <v>#N/A</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3084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1795"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1795" t="s">
        <v>1454</v>
      </c>
      <c r="E37" s="347" t="s">
        <v>1455</v>
      </c>
      <c r="F37" s="376" t="e">
        <f ca="1">INDIRECT("'数据-取费表'!Al"&amp;$G$1)</f>
        <v>#N/A</v>
      </c>
      <c r="G37" s="1848"/>
      <c r="H37" s="1856"/>
      <c r="I37" s="1857"/>
      <c r="J37" s="1858"/>
      <c r="K37" s="751"/>
      <c r="L37" s="1856"/>
      <c r="M37" s="1856"/>
    </row>
    <row r="38" spans="1:18" ht="18" customHeight="1" thickBot="1">
      <c r="A38" s="1336" t="s">
        <v>1393</v>
      </c>
      <c r="B38" s="1337" t="s">
        <v>1439</v>
      </c>
      <c r="C38" s="1338" t="e">
        <f ca="1">ROUND(C5*F38,1)</f>
        <v>#N/A</v>
      </c>
      <c r="D38" s="1339" t="s">
        <v>1459</v>
      </c>
      <c r="E38" s="1337" t="s">
        <v>1455</v>
      </c>
      <c r="F38" s="1333" t="e">
        <f ca="1">INDIRECT("'数据-取费表'!Am"&amp;$G$1)</f>
        <v>#N/A</v>
      </c>
      <c r="G38" s="1848"/>
      <c r="H38" s="1856"/>
      <c r="I38" s="1857"/>
      <c r="J38" s="1858"/>
      <c r="K38" s="1862"/>
      <c r="L38" s="1856"/>
      <c r="M38" s="1856"/>
    </row>
    <row r="39" spans="1:18" ht="24.6" customHeight="1" thickTop="1">
      <c r="A39" s="1326" t="s">
        <v>1031</v>
      </c>
      <c r="B39" s="1341" t="s">
        <v>1483</v>
      </c>
      <c r="C39" s="355" t="e">
        <f ca="1">C5-C30</f>
        <v>#N/A</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3085</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7" t="s">
        <v>1135</v>
      </c>
      <c r="B48" s="345" t="s">
        <v>1401</v>
      </c>
      <c r="C48" s="1814" t="e">
        <f ca="1">C49+C53+C55</f>
        <v>#N/A</v>
      </c>
      <c r="D48" s="1359"/>
      <c r="E48" s="1360"/>
      <c r="F48" s="1178"/>
      <c r="G48" s="792"/>
      <c r="H48" s="793"/>
      <c r="I48" s="1884" t="s">
        <v>1530</v>
      </c>
      <c r="J48" s="1885" t="s">
        <v>3086</v>
      </c>
      <c r="K48" s="1886" t="s">
        <v>1531</v>
      </c>
      <c r="L48" s="1887" t="e">
        <f ca="1">INDIRECT("'数据-取费表'!f"&amp;$G$1)</f>
        <v>#N/A</v>
      </c>
      <c r="O48" s="1881" t="s">
        <v>1041</v>
      </c>
      <c r="P48" s="1882" t="s">
        <v>1532</v>
      </c>
      <c r="Q48" s="1883" t="e">
        <f ca="1">J60</f>
        <v>#N/A</v>
      </c>
      <c r="R48" s="1883" t="s">
        <v>1533</v>
      </c>
    </row>
    <row r="49" spans="1:18" s="1839" customFormat="1" ht="13.5" thickBot="1">
      <c r="A49" s="1191" t="s">
        <v>1136</v>
      </c>
      <c r="B49" s="1826" t="s">
        <v>1490</v>
      </c>
      <c r="C49" s="1361" t="e">
        <f ca="1">ROUND(F49*F51*F50*(1-F52)/10000,0)</f>
        <v>#N/A</v>
      </c>
      <c r="D49" s="1273" t="s">
        <v>3036</v>
      </c>
      <c r="E49" s="1827" t="s">
        <v>1491</v>
      </c>
      <c r="F49" s="1278"/>
      <c r="G49" s="1888"/>
      <c r="H49" s="793"/>
      <c r="I49" s="1884" t="s">
        <v>1534</v>
      </c>
      <c r="J49" s="1889"/>
      <c r="K49" s="1886" t="s">
        <v>1535</v>
      </c>
      <c r="L49" s="1890"/>
      <c r="O49" s="1891" t="s">
        <v>1042</v>
      </c>
      <c r="P49" s="1882" t="s">
        <v>1536</v>
      </c>
      <c r="Q49" s="1883" t="e">
        <f ca="1">C29</f>
        <v>#N/A</v>
      </c>
      <c r="R49" s="1883" t="s">
        <v>1529</v>
      </c>
    </row>
    <row r="50" spans="1:18" s="1839" customFormat="1" ht="13.5" thickBot="1">
      <c r="A50" s="1192"/>
      <c r="B50" s="1195"/>
      <c r="C50" s="1365"/>
      <c r="D50" s="1169"/>
      <c r="E50" s="1274" t="s">
        <v>1406</v>
      </c>
      <c r="F50" s="1275" t="e">
        <f ca="1">F7</f>
        <v>#N/A</v>
      </c>
      <c r="H50" s="793"/>
      <c r="I50" s="1884" t="s">
        <v>1537</v>
      </c>
      <c r="J50" s="1892">
        <f>SUMPRODUCT((I63:I65=J47)*(J62:L62=J48)*(J63:L65))</f>
        <v>50</v>
      </c>
      <c r="K50" s="1886" t="s">
        <v>1538</v>
      </c>
      <c r="L50" s="1890"/>
      <c r="M50" s="1893"/>
      <c r="O50" s="1891" t="s">
        <v>1043</v>
      </c>
      <c r="P50" s="1882" t="s">
        <v>1539</v>
      </c>
      <c r="Q50" s="1894" t="e">
        <f ca="1">J58</f>
        <v>#N/A</v>
      </c>
      <c r="R50" s="1883"/>
    </row>
    <row r="51" spans="1:18" s="1839" customFormat="1" ht="13.5" thickBot="1">
      <c r="A51" s="1193"/>
      <c r="B51" s="1195"/>
      <c r="C51" s="1196"/>
      <c r="D51" s="1169"/>
      <c r="E51" s="1197" t="s">
        <v>1407</v>
      </c>
      <c r="F51" s="348" t="e">
        <f ca="1">F8</f>
        <v>#N/A</v>
      </c>
      <c r="I51" s="1895" t="s">
        <v>1540</v>
      </c>
      <c r="J51" s="1896">
        <f>IF(J49="",J50,J49+J50-YEAR('数据-取费表'!B2))</f>
        <v>50</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t="e">
        <f ca="1">J53</f>
        <v>#N/A</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t="e">
        <f ca="1">IF(M47="住宅",J51,IF(D1="——",MIN(J51,L48),IF(D1="在建（套用方法）",MIN(J51,L48-'数据-取费表'!B24),IF(D1="土地（套用方法）",MIN(J51,L48-'数据-取费表'!B20)))))</f>
        <v>#N/A</v>
      </c>
      <c r="K53" s="3153" t="s">
        <v>1548</v>
      </c>
      <c r="L53" s="3154"/>
      <c r="O53" s="1881" t="s">
        <v>1046</v>
      </c>
      <c r="P53" s="1882" t="s">
        <v>1549</v>
      </c>
      <c r="Q53" s="1883" t="e">
        <f ca="1">Q47+Q48</f>
        <v>#N/A</v>
      </c>
      <c r="R53" s="1883" t="s">
        <v>1047</v>
      </c>
    </row>
    <row r="54" spans="1:18" s="1839" customFormat="1" ht="13.5" thickBot="1">
      <c r="A54" s="1403"/>
      <c r="B54" s="1822" t="s">
        <v>1388</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3">
        <v>2</v>
      </c>
      <c r="B56" s="1174" t="s">
        <v>1414</v>
      </c>
      <c r="C56" s="276" t="e">
        <f ca="1">C13</f>
        <v>#N/A</v>
      </c>
      <c r="D56" s="1911"/>
      <c r="E56" s="1912"/>
      <c r="F56" s="1904"/>
      <c r="I56" s="1913" t="s">
        <v>1554</v>
      </c>
      <c r="J56" s="1914" t="s">
        <v>3074</v>
      </c>
      <c r="K56" s="1884" t="s">
        <v>1555</v>
      </c>
      <c r="L56" s="1887" t="e">
        <f ca="1">IF(L48&lt;J51,"——",L48-J53)</f>
        <v>#N/A</v>
      </c>
      <c r="O56" s="1881" t="s">
        <v>1040</v>
      </c>
      <c r="P56" s="1882" t="s">
        <v>1528</v>
      </c>
      <c r="Q56" s="1883" t="e">
        <f ca="1">C40+J29</f>
        <v>#N/A</v>
      </c>
      <c r="R56" s="1883" t="s">
        <v>1529</v>
      </c>
    </row>
    <row r="57" spans="1:18" s="1839" customFormat="1" ht="24.75"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198" t="s">
        <v>1492</v>
      </c>
      <c r="B61" s="1166" t="s">
        <v>1493</v>
      </c>
      <c r="C61" s="24" t="e">
        <f ca="1">IF(项目基本情况!B11="自然人","——",IF(D61="按租金收入计税",ROUND(C48*F61,2),IF(D61="按房产原值计税",ROUND(C57*F61*0.7,2),INDIRECT("'数据-取费表'!Aj"&amp;$G$1))))</f>
        <v>#N/A</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5" thickBot="1">
      <c r="A62" s="1198" t="s">
        <v>1495</v>
      </c>
      <c r="B62" s="1165" t="s">
        <v>1496</v>
      </c>
      <c r="C62" s="25" t="e">
        <f ca="1">IF(项目基本情况!B11="自然人","——",ROUND(F62*F63/10000,2))</f>
        <v>#N/A</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#N/A</v>
      </c>
      <c r="R62" s="1883" t="s">
        <v>1047</v>
      </c>
    </row>
    <row r="63" spans="1:18" s="1839" customFormat="1" ht="13.5" thickBot="1">
      <c r="A63" s="372"/>
      <c r="B63" s="1172"/>
      <c r="C63" s="29"/>
      <c r="D63" s="1182"/>
      <c r="E63" s="1166" t="s">
        <v>1499</v>
      </c>
      <c r="F63" s="348" t="e">
        <f t="shared" ca="1" si="0"/>
        <v>#N/A</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t="e">
        <f ca="1">ROUND(C57*F64,1)</f>
        <v>#N/A</v>
      </c>
      <c r="D64" s="1180" t="s">
        <v>1502</v>
      </c>
      <c r="E64" s="1166" t="s">
        <v>1494</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t="e">
        <f ca="1">ROUND(C56*F65,1)</f>
        <v>#N/A</v>
      </c>
      <c r="D65" s="1180" t="s">
        <v>1454</v>
      </c>
      <c r="E65" s="1166" t="s">
        <v>1455</v>
      </c>
      <c r="F65" s="376" t="e">
        <f t="shared" ca="1" si="0"/>
        <v>#N/A</v>
      </c>
      <c r="I65" s="1926" t="s">
        <v>1579</v>
      </c>
      <c r="J65" s="1927">
        <v>40</v>
      </c>
      <c r="K65" s="1927">
        <v>30</v>
      </c>
      <c r="L65" s="1927">
        <v>50</v>
      </c>
      <c r="M65" s="1929">
        <v>0.02</v>
      </c>
      <c r="O65" s="1881" t="s">
        <v>1040</v>
      </c>
      <c r="P65" s="1882" t="s">
        <v>1580</v>
      </c>
      <c r="Q65" s="1883" t="e">
        <f ca="1">C40+J29</f>
        <v>#N/A</v>
      </c>
      <c r="R65" s="1883" t="s">
        <v>1529</v>
      </c>
    </row>
    <row r="66" spans="1:18" s="1839" customFormat="1" ht="16.5" thickBot="1">
      <c r="A66" s="1198" t="s">
        <v>1504</v>
      </c>
      <c r="B66" s="1166" t="s">
        <v>1439</v>
      </c>
      <c r="C66" s="24" t="e">
        <f ca="1">ROUND(C48*F66,1)</f>
        <v>#N/A</v>
      </c>
      <c r="D66" s="1180" t="s">
        <v>1505</v>
      </c>
      <c r="E66" s="1166" t="s">
        <v>1422</v>
      </c>
      <c r="F66" s="357" t="e">
        <f t="shared" ca="1" si="0"/>
        <v>#N/A</v>
      </c>
      <c r="O66" s="1881" t="s">
        <v>1041</v>
      </c>
      <c r="P66" s="1882" t="s">
        <v>1558</v>
      </c>
      <c r="Q66" s="1883" t="e">
        <f ca="1">L60</f>
        <v>#N/A</v>
      </c>
      <c r="R66" s="1883" t="s">
        <v>1581</v>
      </c>
    </row>
    <row r="67" spans="1:18" s="1839" customFormat="1" ht="16.5"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5"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5"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5" thickBot="1">
      <c r="A70" s="1170"/>
      <c r="B70" s="1171"/>
      <c r="C70" s="355"/>
      <c r="D70" s="1182"/>
      <c r="E70" s="1166" t="s">
        <v>1477</v>
      </c>
      <c r="F70" s="1272"/>
      <c r="O70" s="1891" t="s">
        <v>1049</v>
      </c>
      <c r="P70" s="1931" t="s">
        <v>1585</v>
      </c>
      <c r="Q70" s="1883" t="e">
        <f ca="1">C13</f>
        <v>#N/A</v>
      </c>
      <c r="R70" s="1883" t="s">
        <v>1529</v>
      </c>
    </row>
    <row r="71" spans="1:18" s="1839" customFormat="1" ht="13.5"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#N/A</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5"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50" t="s">
        <v>1403</v>
      </c>
      <c r="C6" s="1293">
        <f ca="1">ROUND(F6*F8*F7*(1-F9),0)</f>
        <v>0</v>
      </c>
      <c r="D6" s="164" t="s">
        <v>3032</v>
      </c>
      <c r="E6" s="347" t="s">
        <v>1405</v>
      </c>
      <c r="F6" s="348">
        <f ca="1">INDIRECT("'数据-取费表'!u"&amp;$G$1)</f>
        <v>0</v>
      </c>
      <c r="G6" s="1848"/>
      <c r="H6" s="1288" t="s">
        <v>1035</v>
      </c>
      <c r="I6" s="3150" t="s">
        <v>1403</v>
      </c>
      <c r="J6" s="346">
        <f ca="1">ROUND(M6*M8*M7*(1-M9),0)</f>
        <v>0</v>
      </c>
      <c r="K6" s="1831" t="s">
        <v>3033</v>
      </c>
      <c r="L6" s="347" t="s">
        <v>1405</v>
      </c>
      <c r="M6" s="348">
        <f ca="1">INDIRECT("'数据-取费表'!z"&amp;$G$1)</f>
        <v>0</v>
      </c>
    </row>
    <row r="7" spans="1:37" ht="18" customHeight="1">
      <c r="A7" s="1292"/>
      <c r="B7" s="3151"/>
      <c r="C7" s="1294"/>
      <c r="D7" s="352"/>
      <c r="E7" s="1295" t="s">
        <v>1406</v>
      </c>
      <c r="F7" s="348">
        <f ca="1">IF(INDIRECT("'数据-取费表'!ah"&amp;$G$1)="",INDIRECT("'数据-取费表'!k"&amp;$G$1),INDIRECT("'数据-取费表'!ah"&amp;$G$1))</f>
        <v>0</v>
      </c>
      <c r="G7" s="1848"/>
      <c r="H7" s="349"/>
      <c r="I7" s="3151"/>
      <c r="J7" s="351"/>
      <c r="K7" s="352"/>
      <c r="L7" s="347" t="s">
        <v>1406</v>
      </c>
      <c r="M7" s="348">
        <f ca="1">F7</f>
        <v>0</v>
      </c>
    </row>
    <row r="8" spans="1:37" ht="18" customHeight="1">
      <c r="A8" s="349"/>
      <c r="B8" s="3151"/>
      <c r="C8" s="351"/>
      <c r="D8" s="352"/>
      <c r="E8" s="347" t="s">
        <v>1407</v>
      </c>
      <c r="F8" s="348">
        <f ca="1">INDIRECT("'数据-取费表'!ai"&amp;$G$1)</f>
        <v>0</v>
      </c>
      <c r="G8" s="1848"/>
      <c r="H8" s="349"/>
      <c r="I8" s="3151"/>
      <c r="J8" s="351"/>
      <c r="K8" s="352"/>
      <c r="L8" s="347" t="s">
        <v>1407</v>
      </c>
      <c r="M8" s="348">
        <f ca="1">INDIRECT("'数据-取费表'!ai"&amp;$G$1)</f>
        <v>0</v>
      </c>
    </row>
    <row r="9" spans="1:37" ht="18" customHeight="1">
      <c r="A9" s="349"/>
      <c r="B9" s="3152"/>
      <c r="C9" s="351"/>
      <c r="D9" s="352"/>
      <c r="E9" s="347" t="s">
        <v>1408</v>
      </c>
      <c r="F9" s="357">
        <f ca="1">INDIRECT("'数据-取费表'!w"&amp;$G$1)</f>
        <v>0</v>
      </c>
      <c r="G9" s="1848"/>
      <c r="H9" s="349"/>
      <c r="I9" s="3152"/>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3043</v>
      </c>
      <c r="E10" s="358" t="s">
        <v>1410</v>
      </c>
      <c r="F10" s="1363"/>
      <c r="G10" s="1848"/>
      <c r="H10" s="1288" t="s">
        <v>1039</v>
      </c>
      <c r="I10" s="1820" t="s">
        <v>1409</v>
      </c>
      <c r="J10" s="346">
        <f ca="1">ROUND(IF(M10="押一",J6/12*M11,IF(M10="押二",J6/12*2*M11,IF(M10="押三",J6/12*3*M11,J11*M11))),0)</f>
        <v>0</v>
      </c>
      <c r="K10" s="1832" t="s">
        <v>3045</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3046</v>
      </c>
      <c r="E53" s="358" t="s">
        <v>1410</v>
      </c>
      <c r="F53" s="1363"/>
      <c r="I53" s="1902" t="s">
        <v>1547</v>
      </c>
      <c r="J53" s="1903" t="b">
        <f>IF(M47="住宅",J51,IF(D1="——",MIN(J51,L48),IF(D1="在建（套用方法）",MIN(J51,L48-'数据-取费表'!B24),IF(D1="土地（套用方法）",MIN(J51,L48-'数据-取费表'!B20)))))</f>
        <v>0</v>
      </c>
      <c r="K53" s="3153" t="s">
        <v>1548</v>
      </c>
      <c r="L53" s="3154"/>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2528</v>
      </c>
      <c r="B1" s="2559"/>
      <c r="C1" s="2559"/>
      <c r="D1" s="2559"/>
      <c r="E1" s="2560"/>
    </row>
    <row r="2" spans="1:6" ht="15.75">
      <c r="A2" s="2561" t="s">
        <v>2329</v>
      </c>
      <c r="B2" s="2562">
        <f ca="1">SUMIF(B6:B13,"&lt;&gt;#ref!",B6:B13)</f>
        <v>13128</v>
      </c>
      <c r="C2" s="2563" t="s">
        <v>2521</v>
      </c>
      <c r="D2" s="2564" t="s">
        <v>2522</v>
      </c>
      <c r="E2" s="2565">
        <f>SUM(E6:E13)</f>
        <v>4704.8599999999997</v>
      </c>
    </row>
    <row r="3" spans="1:6" ht="15.75">
      <c r="A3" s="2561" t="s">
        <v>1395</v>
      </c>
      <c r="B3" s="2562">
        <f ca="1">ROUND(B2*10000/E2,0)</f>
        <v>27903</v>
      </c>
      <c r="C3" s="2563" t="s">
        <v>2529</v>
      </c>
      <c r="D3" s="2566"/>
      <c r="E3" s="2567"/>
    </row>
    <row r="4" spans="1:6" ht="15.75">
      <c r="A4" s="2568"/>
      <c r="B4" s="2566"/>
      <c r="C4" s="2566"/>
      <c r="D4" s="2566"/>
      <c r="E4" s="2567"/>
    </row>
    <row r="5" spans="1:6" ht="15">
      <c r="A5" s="2569" t="s">
        <v>2523</v>
      </c>
      <c r="B5" s="3155" t="s">
        <v>2524</v>
      </c>
      <c r="C5" s="3155"/>
      <c r="D5" s="2570"/>
      <c r="E5" s="2571" t="s">
        <v>2525</v>
      </c>
      <c r="F5" s="2572" t="s">
        <v>2526</v>
      </c>
    </row>
    <row r="6" spans="1:6">
      <c r="A6" s="2573" t="str">
        <f>'数据-取费表'!AN6</f>
        <v>收益法</v>
      </c>
      <c r="B6" s="2572">
        <f ca="1">IF(F6="是",'数据-取费表'!AO6,0)</f>
        <v>13128</v>
      </c>
      <c r="C6" s="2563" t="s">
        <v>2521</v>
      </c>
      <c r="D6" s="2566"/>
      <c r="E6" s="2574">
        <f>IF(OR(A6=0,F6="否"),0,'数据-取费表'!K6+'数据-取费表'!S6)</f>
        <v>4704.8599999999997</v>
      </c>
      <c r="F6" s="2575" t="s">
        <v>2527</v>
      </c>
    </row>
    <row r="7" spans="1:6">
      <c r="A7" s="2573">
        <f>'数据-取费表'!AN7</f>
        <v>0</v>
      </c>
      <c r="B7" s="2572" t="e">
        <f ca="1">IF(F7="是",'数据-取费表'!AO7,0)</f>
        <v>#REF!</v>
      </c>
      <c r="C7" s="2563" t="s">
        <v>2521</v>
      </c>
      <c r="D7" s="2566"/>
      <c r="E7" s="2574">
        <f>IF(OR(A7=0,F7="否"),0,'数据-取费表'!K7+'数据-取费表'!S7)</f>
        <v>0</v>
      </c>
      <c r="F7" s="2575" t="s">
        <v>2527</v>
      </c>
    </row>
    <row r="8" spans="1:6">
      <c r="A8" s="2573">
        <f>'数据-取费表'!AN8</f>
        <v>0</v>
      </c>
      <c r="B8" s="2572" t="e">
        <f ca="1">IF(F8="是",'数据-取费表'!AO8,0)</f>
        <v>#REF!</v>
      </c>
      <c r="C8" s="2563" t="s">
        <v>2521</v>
      </c>
      <c r="D8" s="2566"/>
      <c r="E8" s="2574">
        <f>IF(OR(A8=0,F8="否"),0,'数据-取费表'!K8+'数据-取费表'!S8)</f>
        <v>0</v>
      </c>
      <c r="F8" s="2575" t="s">
        <v>2527</v>
      </c>
    </row>
    <row r="9" spans="1:6">
      <c r="A9" s="2573">
        <f>'数据-取费表'!AN9</f>
        <v>0</v>
      </c>
      <c r="B9" s="2572" t="e">
        <f ca="1">IF(F9="是",'数据-取费表'!AO9,0)</f>
        <v>#REF!</v>
      </c>
      <c r="C9" s="2563" t="s">
        <v>2521</v>
      </c>
      <c r="D9" s="2566"/>
      <c r="E9" s="2574">
        <f>IF(OR(A9=0,F9="否"),0,'数据-取费表'!K9+'数据-取费表'!S9)</f>
        <v>0</v>
      </c>
      <c r="F9" s="2575" t="s">
        <v>2527</v>
      </c>
    </row>
    <row r="10" spans="1:6">
      <c r="A10" s="2573">
        <f>'数据-取费表'!AN10</f>
        <v>0</v>
      </c>
      <c r="B10" s="2572" t="e">
        <f ca="1">IF(F10="是",'数据-取费表'!AO10,0)</f>
        <v>#REF!</v>
      </c>
      <c r="C10" s="2563" t="s">
        <v>2521</v>
      </c>
      <c r="D10" s="2566"/>
      <c r="E10" s="2574">
        <f>IF(OR(A10=0,F10="否"),0,'数据-取费表'!K10+'数据-取费表'!S10)</f>
        <v>0</v>
      </c>
      <c r="F10" s="2575" t="s">
        <v>2527</v>
      </c>
    </row>
    <row r="11" spans="1:6">
      <c r="A11" s="2573">
        <f>'数据-取费表'!AN11</f>
        <v>0</v>
      </c>
      <c r="B11" s="2572" t="e">
        <f ca="1">IF(F11="是",'数据-取费表'!AO11,0)</f>
        <v>#REF!</v>
      </c>
      <c r="C11" s="2563" t="s">
        <v>2521</v>
      </c>
      <c r="D11" s="2566"/>
      <c r="E11" s="2574">
        <f>IF(OR(A11=0,F11="否"),0,'数据-取费表'!K11+'数据-取费表'!S11)</f>
        <v>0</v>
      </c>
      <c r="F11" s="2575" t="s">
        <v>2527</v>
      </c>
    </row>
    <row r="12" spans="1:6">
      <c r="A12" s="2573">
        <f>'数据-取费表'!AN12</f>
        <v>0</v>
      </c>
      <c r="B12" s="2572" t="e">
        <f ca="1">IF(F12="是",'数据-取费表'!AO12,0)</f>
        <v>#REF!</v>
      </c>
      <c r="C12" s="2563" t="s">
        <v>2521</v>
      </c>
      <c r="D12" s="2566"/>
      <c r="E12" s="2574">
        <f>IF(OR(A12=0,F12="否"),0,'数据-取费表'!K12+'数据-取费表'!S12)</f>
        <v>0</v>
      </c>
      <c r="F12" s="2575" t="s">
        <v>2527</v>
      </c>
    </row>
    <row r="13" spans="1:6" ht="15" thickBot="1">
      <c r="A13" s="2576">
        <f>'数据-取费表'!AN13</f>
        <v>0</v>
      </c>
      <c r="B13" s="2572" t="e">
        <f ca="1">IF(F13="是",'数据-取费表'!AO13,0)</f>
        <v>#REF!</v>
      </c>
      <c r="C13" s="2577" t="s">
        <v>2521</v>
      </c>
      <c r="D13" s="2578"/>
      <c r="E13" s="2574">
        <f>IF(OR(A13=0,F13="否"),0,'数据-取费表'!K13+'数据-取费表'!S13)</f>
        <v>0</v>
      </c>
      <c r="F13" s="2575"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6" t="s">
        <v>1076</v>
      </c>
      <c r="B1" s="3157"/>
      <c r="C1" s="3158"/>
      <c r="D1" s="3159">
        <f>SUM(I10,I15,I20,I21,I23)</f>
        <v>0</v>
      </c>
      <c r="E1" s="3159"/>
      <c r="F1" s="3159"/>
      <c r="G1" s="3159"/>
      <c r="H1" s="3159"/>
      <c r="I1" s="3160"/>
    </row>
    <row r="2" spans="1:9">
      <c r="A2" s="3161" t="s">
        <v>1077</v>
      </c>
      <c r="B2" s="3162" t="s">
        <v>1078</v>
      </c>
      <c r="C2" s="3162"/>
      <c r="D2" s="1298" t="s">
        <v>1079</v>
      </c>
      <c r="E2" s="1298" t="s">
        <v>1080</v>
      </c>
      <c r="F2" s="1298" t="s">
        <v>1081</v>
      </c>
      <c r="G2" s="1298" t="s">
        <v>1082</v>
      </c>
      <c r="H2" s="1298" t="s">
        <v>1083</v>
      </c>
      <c r="I2" s="1299" t="s">
        <v>1084</v>
      </c>
    </row>
    <row r="3" spans="1:9">
      <c r="A3" s="3161"/>
      <c r="B3" s="3162" t="s">
        <v>1085</v>
      </c>
      <c r="C3" s="3162"/>
      <c r="D3" s="1300"/>
      <c r="E3" s="1298"/>
      <c r="F3" s="1301"/>
      <c r="G3" s="1301"/>
      <c r="H3" s="1302"/>
      <c r="I3" s="1303">
        <f>ROUND(D3*E3*F3*G3*H3/10000,0)</f>
        <v>0</v>
      </c>
    </row>
    <row r="4" spans="1:9">
      <c r="A4" s="3161"/>
      <c r="B4" s="3162" t="s">
        <v>1086</v>
      </c>
      <c r="C4" s="3162"/>
      <c r="D4" s="1300"/>
      <c r="E4" s="1298"/>
      <c r="F4" s="1301"/>
      <c r="G4" s="1301"/>
      <c r="H4" s="1302"/>
      <c r="I4" s="1303">
        <f t="shared" ref="I4:I9" si="0">ROUND(D4*E4*F4*G4*H4/10000,0)</f>
        <v>0</v>
      </c>
    </row>
    <row r="5" spans="1:9">
      <c r="A5" s="3161"/>
      <c r="B5" s="3162" t="s">
        <v>1087</v>
      </c>
      <c r="C5" s="3162"/>
      <c r="D5" s="1300"/>
      <c r="E5" s="1298"/>
      <c r="F5" s="1301"/>
      <c r="G5" s="1301"/>
      <c r="H5" s="1302"/>
      <c r="I5" s="1303">
        <f t="shared" si="0"/>
        <v>0</v>
      </c>
    </row>
    <row r="6" spans="1:9">
      <c r="A6" s="3161"/>
      <c r="B6" s="3162" t="s">
        <v>1088</v>
      </c>
      <c r="C6" s="3162"/>
      <c r="D6" s="1300"/>
      <c r="E6" s="1298"/>
      <c r="F6" s="1301"/>
      <c r="G6" s="1301"/>
      <c r="H6" s="1302"/>
      <c r="I6" s="1303">
        <f t="shared" si="0"/>
        <v>0</v>
      </c>
    </row>
    <row r="7" spans="1:9">
      <c r="A7" s="3161"/>
      <c r="B7" s="3162" t="s">
        <v>1089</v>
      </c>
      <c r="C7" s="3162"/>
      <c r="D7" s="1300"/>
      <c r="E7" s="1298"/>
      <c r="F7" s="1301"/>
      <c r="G7" s="1301"/>
      <c r="H7" s="1302"/>
      <c r="I7" s="1303">
        <f t="shared" si="0"/>
        <v>0</v>
      </c>
    </row>
    <row r="8" spans="1:9">
      <c r="A8" s="3161"/>
      <c r="B8" s="3162" t="s">
        <v>1090</v>
      </c>
      <c r="C8" s="3162"/>
      <c r="D8" s="1300"/>
      <c r="E8" s="1298"/>
      <c r="F8" s="1301"/>
      <c r="G8" s="1301"/>
      <c r="H8" s="1302"/>
      <c r="I8" s="1303">
        <f t="shared" si="0"/>
        <v>0</v>
      </c>
    </row>
    <row r="9" spans="1:9">
      <c r="A9" s="3161"/>
      <c r="B9" s="3162" t="s">
        <v>1091</v>
      </c>
      <c r="C9" s="3162"/>
      <c r="D9" s="1300"/>
      <c r="E9" s="1298"/>
      <c r="F9" s="1301"/>
      <c r="G9" s="1301"/>
      <c r="H9" s="1302"/>
      <c r="I9" s="1303">
        <f t="shared" si="0"/>
        <v>0</v>
      </c>
    </row>
    <row r="10" spans="1:9">
      <c r="A10" s="3161"/>
      <c r="B10" s="3163" t="s">
        <v>1092</v>
      </c>
      <c r="C10" s="3163"/>
      <c r="D10" s="1304"/>
      <c r="E10" s="1304" t="e">
        <f>ROUND(D1*10000/D10/H9,0)</f>
        <v>#DIV/0!</v>
      </c>
      <c r="F10" s="1305"/>
      <c r="G10" s="1305"/>
      <c r="H10" s="1306"/>
      <c r="I10" s="1307">
        <f>SUM(I3:I9)</f>
        <v>0</v>
      </c>
    </row>
    <row r="11" spans="1:9" ht="14.25">
      <c r="A11" s="3161" t="s">
        <v>1093</v>
      </c>
      <c r="B11" s="3162" t="s">
        <v>1094</v>
      </c>
      <c r="C11" s="3162"/>
      <c r="D11" s="1300" t="s">
        <v>1095</v>
      </c>
      <c r="E11" s="1300" t="s">
        <v>1096</v>
      </c>
      <c r="F11" s="1301" t="s">
        <v>1097</v>
      </c>
      <c r="G11" s="1301" t="s">
        <v>1083</v>
      </c>
      <c r="H11" s="1308" t="s">
        <v>1098</v>
      </c>
      <c r="I11" s="1299" t="s">
        <v>1084</v>
      </c>
    </row>
    <row r="12" spans="1:9">
      <c r="A12" s="3161"/>
      <c r="B12" s="3162" t="s">
        <v>1099</v>
      </c>
      <c r="C12" s="3162"/>
      <c r="D12" s="1300"/>
      <c r="E12" s="1300"/>
      <c r="F12" s="1301"/>
      <c r="G12" s="1302"/>
      <c r="H12" s="1309"/>
      <c r="I12" s="1299">
        <f>ROUND(D12*E12*F12*G12/10000,0)</f>
        <v>0</v>
      </c>
    </row>
    <row r="13" spans="1:9">
      <c r="A13" s="3161"/>
      <c r="B13" s="3162" t="s">
        <v>1100</v>
      </c>
      <c r="C13" s="3162"/>
      <c r="D13" s="1300"/>
      <c r="E13" s="1300"/>
      <c r="F13" s="1301"/>
      <c r="G13" s="1302"/>
      <c r="H13" s="1309"/>
      <c r="I13" s="1299">
        <f>ROUND(D13*E13*F13*G13/10000,0)</f>
        <v>0</v>
      </c>
    </row>
    <row r="14" spans="1:9">
      <c r="A14" s="3161"/>
      <c r="B14" s="3162" t="s">
        <v>1101</v>
      </c>
      <c r="C14" s="3162"/>
      <c r="D14" s="1300"/>
      <c r="E14" s="1300"/>
      <c r="F14" s="1301"/>
      <c r="G14" s="1302"/>
      <c r="H14" s="1309"/>
      <c r="I14" s="1299">
        <f>ROUND(D14*E14*F14*G14/10000,0)</f>
        <v>0</v>
      </c>
    </row>
    <row r="15" spans="1:9">
      <c r="A15" s="3161"/>
      <c r="B15" s="3163" t="s">
        <v>1092</v>
      </c>
      <c r="C15" s="3163"/>
      <c r="D15" s="1304"/>
      <c r="E15" s="1304">
        <f>SUM(E12:E14)</f>
        <v>0</v>
      </c>
      <c r="F15" s="1305"/>
      <c r="G15" s="1302"/>
      <c r="H15" s="1309"/>
      <c r="I15" s="1310">
        <f>SUM(I12:I14)</f>
        <v>0</v>
      </c>
    </row>
    <row r="16" spans="1:9" ht="24">
      <c r="A16" s="3161" t="s">
        <v>1102</v>
      </c>
      <c r="B16" s="3162" t="s">
        <v>1103</v>
      </c>
      <c r="C16" s="3162"/>
      <c r="D16" s="1300" t="s">
        <v>1079</v>
      </c>
      <c r="E16" s="1311" t="s">
        <v>1104</v>
      </c>
      <c r="F16" s="1301" t="s">
        <v>1105</v>
      </c>
      <c r="G16" s="1302" t="s">
        <v>1083</v>
      </c>
      <c r="H16" s="1308" t="s">
        <v>1098</v>
      </c>
      <c r="I16" s="1299" t="s">
        <v>1084</v>
      </c>
    </row>
    <row r="17" spans="1:9" ht="14.25">
      <c r="A17" s="3161"/>
      <c r="B17" s="3162" t="s">
        <v>1106</v>
      </c>
      <c r="C17" s="3162"/>
      <c r="D17" s="1300"/>
      <c r="E17" s="1300"/>
      <c r="F17" s="1301"/>
      <c r="G17" s="1302"/>
      <c r="H17" s="1312"/>
      <c r="I17" s="1313">
        <f>ROUND(D17*E17*F17*G17/10000,0)</f>
        <v>0</v>
      </c>
    </row>
    <row r="18" spans="1:9" ht="14.25">
      <c r="A18" s="3161"/>
      <c r="B18" s="3162" t="s">
        <v>1107</v>
      </c>
      <c r="C18" s="3162"/>
      <c r="D18" s="1300"/>
      <c r="E18" s="1300"/>
      <c r="F18" s="1301"/>
      <c r="G18" s="1302"/>
      <c r="H18" s="1312"/>
      <c r="I18" s="1313">
        <f>ROUND(D18*E18*F18*G18/10000,0)</f>
        <v>0</v>
      </c>
    </row>
    <row r="19" spans="1:9" ht="14.25">
      <c r="A19" s="3161"/>
      <c r="B19" s="3162" t="s">
        <v>1108</v>
      </c>
      <c r="C19" s="3162"/>
      <c r="D19" s="1300"/>
      <c r="E19" s="1300"/>
      <c r="F19" s="1301"/>
      <c r="G19" s="1302"/>
      <c r="H19" s="1312"/>
      <c r="I19" s="1313">
        <f>ROUND(D19*E19*F19*G19/10000,0)</f>
        <v>0</v>
      </c>
    </row>
    <row r="20" spans="1:9">
      <c r="A20" s="3161"/>
      <c r="B20" s="3163" t="s">
        <v>1092</v>
      </c>
      <c r="C20" s="3163"/>
      <c r="D20" s="1304">
        <f>SUM(D17:D19)</f>
        <v>0</v>
      </c>
      <c r="E20" s="1304"/>
      <c r="F20" s="1305"/>
      <c r="G20" s="1302"/>
      <c r="H20" s="1309"/>
      <c r="I20" s="1310">
        <f>SUM(I17:I19)</f>
        <v>0</v>
      </c>
    </row>
    <row r="21" spans="1:9">
      <c r="A21" s="3161" t="s">
        <v>1109</v>
      </c>
      <c r="B21" s="3165"/>
      <c r="C21" s="3165"/>
      <c r="D21" s="3165"/>
      <c r="E21" s="3165"/>
      <c r="F21" s="3165"/>
      <c r="G21" s="3165"/>
      <c r="H21" s="1762">
        <v>0.1</v>
      </c>
      <c r="I21" s="1307">
        <f>ROUND(I10*H21,0)</f>
        <v>0</v>
      </c>
    </row>
    <row r="22" spans="1:9" ht="14.25">
      <c r="A22" s="3166" t="s">
        <v>1110</v>
      </c>
      <c r="B22" s="3167"/>
      <c r="C22" s="3168"/>
      <c r="D22" s="1314" t="s">
        <v>1111</v>
      </c>
      <c r="E22" s="1314" t="s">
        <v>1112</v>
      </c>
      <c r="F22" s="1315" t="s">
        <v>1113</v>
      </c>
      <c r="G22" s="1315" t="s">
        <v>1114</v>
      </c>
      <c r="H22" s="1308" t="s">
        <v>1115</v>
      </c>
      <c r="I22" s="1299" t="s">
        <v>1116</v>
      </c>
    </row>
    <row r="23" spans="1:9" ht="14.25" thickBot="1">
      <c r="A23" s="3169"/>
      <c r="B23" s="3170"/>
      <c r="C23" s="3171"/>
      <c r="D23" s="1316"/>
      <c r="E23" s="1316"/>
      <c r="F23" s="1316"/>
      <c r="G23" s="1317"/>
      <c r="H23" s="1318"/>
      <c r="I23" s="1319">
        <f>ROUND(E23*D23*F23*(1-G23)/10000,0)</f>
        <v>0</v>
      </c>
    </row>
    <row r="26" spans="1:9">
      <c r="A26" s="1320" t="s">
        <v>1117</v>
      </c>
      <c r="B26" s="1320"/>
      <c r="C26" s="1320"/>
      <c r="D26" s="1320"/>
      <c r="E26" s="3172">
        <f>C27-C30-C31-C32</f>
        <v>0</v>
      </c>
      <c r="F26" s="3172"/>
      <c r="G26" s="3172"/>
      <c r="H26" s="1734" t="s">
        <v>1340</v>
      </c>
    </row>
    <row r="27" spans="1:9">
      <c r="A27" s="1321">
        <v>1</v>
      </c>
      <c r="B27" s="1322" t="s">
        <v>1118</v>
      </c>
      <c r="C27" s="1322">
        <f>C28+C29</f>
        <v>0</v>
      </c>
      <c r="D27" s="1322"/>
      <c r="E27" s="3173"/>
      <c r="F27" s="3173"/>
      <c r="G27" s="3173"/>
    </row>
    <row r="28" spans="1:9">
      <c r="A28" s="1323" t="s">
        <v>1119</v>
      </c>
      <c r="B28" s="1322" t="s">
        <v>1120</v>
      </c>
      <c r="C28" s="1322"/>
      <c r="D28" s="1322"/>
      <c r="E28" s="3173"/>
      <c r="F28" s="3173"/>
      <c r="G28" s="3173"/>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64"/>
      <c r="F32" s="3164"/>
      <c r="G32" s="3164"/>
    </row>
    <row r="33" spans="1:7" hidden="1">
      <c r="A33" s="3174" t="s">
        <v>1129</v>
      </c>
      <c r="B33" s="3175"/>
      <c r="C33" s="3175"/>
      <c r="D33" s="3176"/>
      <c r="E33" s="3172"/>
      <c r="F33" s="3172"/>
      <c r="G33" s="3172"/>
    </row>
    <row r="34" spans="1:7" hidden="1">
      <c r="A34" s="1325">
        <v>1</v>
      </c>
      <c r="B34" s="1322" t="s">
        <v>1130</v>
      </c>
      <c r="C34" s="1322"/>
      <c r="D34" s="1322"/>
      <c r="E34" s="3173"/>
      <c r="F34" s="3173"/>
      <c r="G34" s="3173"/>
    </row>
    <row r="35" spans="1:7" hidden="1">
      <c r="A35" s="1325">
        <v>2</v>
      </c>
      <c r="B35" s="1322" t="s">
        <v>1131</v>
      </c>
      <c r="C35" s="1322"/>
      <c r="D35" s="1322"/>
      <c r="E35" s="3173"/>
      <c r="F35" s="3173"/>
      <c r="G35" s="3173"/>
    </row>
    <row r="36" spans="1:7" hidden="1">
      <c r="A36" s="1325">
        <v>3</v>
      </c>
      <c r="B36" s="1322" t="s">
        <v>1132</v>
      </c>
      <c r="C36" s="1322"/>
      <c r="D36" s="1322"/>
      <c r="E36" s="3173"/>
      <c r="F36" s="3173"/>
      <c r="G36" s="3173"/>
    </row>
    <row r="37" spans="1:7" hidden="1">
      <c r="A37" s="1325">
        <v>4</v>
      </c>
      <c r="B37" s="1322" t="s">
        <v>1133</v>
      </c>
      <c r="C37" s="1322"/>
      <c r="D37" s="1322"/>
      <c r="E37" s="3173"/>
      <c r="F37" s="3173"/>
      <c r="G37" s="3173"/>
    </row>
    <row r="38" spans="1:7" hidden="1">
      <c r="A38" s="3174" t="s">
        <v>1134</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北京市朝阳区管庄农工商联合公司：</v>
      </c>
    </row>
    <row r="4" spans="1:1" ht="36">
      <c r="A4" s="1945" t="str">
        <f>"受贵公司委托，我公司对"&amp;项目基本情况!S1&amp;"进行了预评估。"</f>
        <v>受贵公司委托，我公司对北京市朝阳区建国路管庄6号房地产抵押价值进行了预评估。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估价对象为北京市朝阳区建国路管庄6号房地产，为北京市朝阳区管庄农工商联合公司所有。根据《国有土地使用证》[]，估价对象（分摊）出让国有建设用地使用权面积为2957.47平方米，建筑面积为4704.86平方米。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为估价委托人在向北京农商银行总行商务中心区支行办理贷款手续过程中，确定房地产抵押贷款额度提供参考依据而评估房地产抵押价值。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2018年5月18日（评估专业人员实地查勘之日）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本次估价的“房地产价值”是指在正常市场情况下，在价值时点2018年5月18日，估价对象规划用途为，土地取得方式为划拨，假定未设立法定优先受偿款下的房地产市场价值。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1609</v>
      </c>
    </row>
    <row r="24" spans="1:1" ht="18">
      <c r="A24" s="1952" t="str">
        <f>"本次评估采用的主估价方法为"&amp;结果表!K4&amp;"和"&amp;结果表!L4&amp;"。"</f>
        <v>本次评估采用的主估价方法为成本法和收益法。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2531</v>
      </c>
      <c r="C1" s="1631" t="s">
        <v>2532</v>
      </c>
      <c r="D1" s="1618"/>
      <c r="E1" s="2580"/>
      <c r="F1" s="2581" t="s">
        <v>2533</v>
      </c>
      <c r="G1" s="1628" t="s">
        <v>2534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3"/>
      <c r="D2" s="1362" t="e">
        <f ca="1">SUMIF(INDIRECT("'"&amp;F2&amp;"'"&amp;"!A:A"),"承租人权益价值",INDIRECT("'"&amp;F2&amp;"'"&amp;"!c:c"))</f>
        <v>#REF!</v>
      </c>
      <c r="E2" s="2584" t="s">
        <v>2535</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2536</v>
      </c>
      <c r="D3" s="399">
        <f>IF(D1="",'数据-汇总表'!E3,SUMIF('数据-汇总表'!$C19:$C33,D1,'数据-汇总表'!$E19:$E33))</f>
        <v>4704.8599999999997</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1" t="s">
        <v>2537</v>
      </c>
      <c r="B4" s="402"/>
      <c r="C4" s="3195" t="s">
        <v>2538</v>
      </c>
      <c r="D4" s="3196"/>
      <c r="E4" s="3197" t="s">
        <v>2539</v>
      </c>
      <c r="F4" s="3198"/>
      <c r="G4" s="3195" t="s">
        <v>2540</v>
      </c>
      <c r="H4" s="3196"/>
      <c r="I4" s="3195" t="s">
        <v>2541</v>
      </c>
      <c r="J4" s="3196"/>
      <c r="K4" s="2593" t="s">
        <v>2542</v>
      </c>
      <c r="L4" s="1127"/>
      <c r="M4" s="1128"/>
      <c r="N4" s="1128"/>
      <c r="O4" s="1128"/>
      <c r="P4" s="3199" t="s">
        <v>2543</v>
      </c>
      <c r="Q4" s="3200"/>
      <c r="R4" s="3182" t="s">
        <v>2539</v>
      </c>
      <c r="S4" s="3183"/>
      <c r="T4" s="3182" t="s">
        <v>2540</v>
      </c>
      <c r="U4" s="3183"/>
      <c r="V4" s="3207" t="s">
        <v>2541</v>
      </c>
      <c r="W4" s="3207"/>
      <c r="X4" s="1810"/>
      <c r="Y4" s="3182" t="s">
        <v>2543</v>
      </c>
      <c r="Z4" s="3183"/>
      <c r="AA4" s="3177" t="s">
        <v>2539</v>
      </c>
      <c r="AB4" s="3177" t="s">
        <v>2540</v>
      </c>
      <c r="AC4" s="3177" t="s">
        <v>2541</v>
      </c>
    </row>
    <row r="5" spans="1:29" ht="15">
      <c r="A5" s="404"/>
      <c r="B5" s="405"/>
      <c r="C5" s="3188" t="s">
        <v>2544</v>
      </c>
      <c r="D5" s="3189"/>
      <c r="E5" s="3186" t="s">
        <v>2545</v>
      </c>
      <c r="F5" s="3187"/>
      <c r="G5" s="3188" t="s">
        <v>2546</v>
      </c>
      <c r="H5" s="3189"/>
      <c r="I5" s="3188" t="s">
        <v>2547</v>
      </c>
      <c r="J5" s="3189"/>
      <c r="K5" s="2594"/>
      <c r="L5" s="1127"/>
      <c r="M5" s="1128"/>
      <c r="N5" s="1128"/>
      <c r="O5" s="1128"/>
      <c r="P5" s="3201"/>
      <c r="Q5" s="3202"/>
      <c r="R5" s="3184"/>
      <c r="S5" s="3185"/>
      <c r="T5" s="3184"/>
      <c r="U5" s="3185"/>
      <c r="V5" s="3207"/>
      <c r="W5" s="3207"/>
      <c r="X5" s="1810"/>
      <c r="Y5" s="3184"/>
      <c r="Z5" s="3185"/>
      <c r="AA5" s="3178"/>
      <c r="AB5" s="3178"/>
      <c r="AC5" s="3178"/>
    </row>
    <row r="6" spans="1:29" ht="15.75" thickBot="1">
      <c r="A6" s="406"/>
      <c r="B6" s="407"/>
      <c r="C6" s="3190" t="s">
        <v>2548</v>
      </c>
      <c r="D6" s="3191"/>
      <c r="E6" s="3192" t="s">
        <v>2548</v>
      </c>
      <c r="F6" s="3193"/>
      <c r="G6" s="3190" t="s">
        <v>2548</v>
      </c>
      <c r="H6" s="3191"/>
      <c r="I6" s="3190" t="s">
        <v>2548</v>
      </c>
      <c r="J6" s="3191"/>
      <c r="K6" s="2594" t="s">
        <v>2549</v>
      </c>
      <c r="L6" s="1127"/>
      <c r="M6" s="1128"/>
      <c r="N6" s="1128"/>
      <c r="O6" s="1128"/>
      <c r="P6" s="3203"/>
      <c r="Q6" s="3204"/>
      <c r="R6" s="3184"/>
      <c r="S6" s="3185"/>
      <c r="T6" s="3205"/>
      <c r="U6" s="3206"/>
      <c r="V6" s="3207"/>
      <c r="W6" s="3207"/>
      <c r="X6" s="1810"/>
      <c r="Y6" s="3205"/>
      <c r="Z6" s="3206"/>
      <c r="AA6" s="3179"/>
      <c r="AB6" s="3179"/>
      <c r="AC6" s="3179"/>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180" t="s">
        <v>2551</v>
      </c>
      <c r="Q7" s="3208"/>
      <c r="R7" s="770" t="s">
        <v>23</v>
      </c>
      <c r="S7" s="771">
        <f t="shared" ref="S7:S15" si="0">F7</f>
        <v>0</v>
      </c>
      <c r="T7" s="770" t="s">
        <v>23</v>
      </c>
      <c r="U7" s="771">
        <f t="shared" ref="U7:U15" si="1">H7</f>
        <v>0</v>
      </c>
      <c r="V7" s="770" t="s">
        <v>23</v>
      </c>
      <c r="W7" s="771">
        <f t="shared" ref="W7:W15" si="2">J7</f>
        <v>0</v>
      </c>
      <c r="X7" s="772"/>
      <c r="Y7" s="3180" t="s">
        <v>2551</v>
      </c>
      <c r="Z7" s="3181"/>
      <c r="AA7" s="773" t="e">
        <f>D7/F7</f>
        <v>#DIV/0!</v>
      </c>
      <c r="AB7" s="773" t="e">
        <f>D7/H7</f>
        <v>#DIV/0!</v>
      </c>
      <c r="AC7" s="773" t="e">
        <f>D7/J7</f>
        <v>#DIV/0!</v>
      </c>
    </row>
    <row r="8" spans="1:29" s="117" customFormat="1" ht="15.75" thickBot="1">
      <c r="A8" s="408" t="s">
        <v>2552</v>
      </c>
      <c r="B8" s="409"/>
      <c r="C8" s="414" t="s">
        <v>2553</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180" t="s">
        <v>2554</v>
      </c>
      <c r="Q8" s="3181"/>
      <c r="R8" s="770" t="s">
        <v>23</v>
      </c>
      <c r="S8" s="771">
        <f t="shared" si="0"/>
        <v>0</v>
      </c>
      <c r="T8" s="770" t="s">
        <v>23</v>
      </c>
      <c r="U8" s="771">
        <f t="shared" si="1"/>
        <v>0</v>
      </c>
      <c r="V8" s="770" t="s">
        <v>23</v>
      </c>
      <c r="W8" s="771">
        <f t="shared" si="2"/>
        <v>0</v>
      </c>
      <c r="X8" s="772"/>
      <c r="Y8" s="3180" t="s">
        <v>2554</v>
      </c>
      <c r="Z8" s="318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194" t="s">
        <v>2557</v>
      </c>
      <c r="Q9" s="1792" t="str">
        <f t="shared" ref="Q9:Q15" si="6">B9</f>
        <v>用途</v>
      </c>
      <c r="R9" s="770" t="s">
        <v>17</v>
      </c>
      <c r="S9" s="771">
        <f t="shared" si="0"/>
        <v>100</v>
      </c>
      <c r="T9" s="770" t="s">
        <v>17</v>
      </c>
      <c r="U9" s="771">
        <f t="shared" si="1"/>
        <v>100</v>
      </c>
      <c r="V9" s="770" t="s">
        <v>17</v>
      </c>
      <c r="W9" s="771">
        <f t="shared" si="2"/>
        <v>100</v>
      </c>
      <c r="X9" s="772"/>
      <c r="Y9" s="302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94"/>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94"/>
      <c r="Q11" s="1792"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194"/>
      <c r="Q12" s="1792">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194"/>
      <c r="Q13" s="1792">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194"/>
      <c r="Q14" s="1792">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2561</v>
      </c>
      <c r="B15" s="69" t="s">
        <v>2086</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21" t="s">
        <v>2562</v>
      </c>
      <c r="Q15" s="1807" t="str">
        <f t="shared" si="6"/>
        <v>居住社区成熟度</v>
      </c>
      <c r="R15" s="774" t="s">
        <v>21</v>
      </c>
      <c r="S15" s="775">
        <f t="shared" si="0"/>
        <v>100</v>
      </c>
      <c r="T15" s="774" t="s">
        <v>21</v>
      </c>
      <c r="U15" s="775">
        <f t="shared" si="1"/>
        <v>100</v>
      </c>
      <c r="V15" s="774" t="s">
        <v>21</v>
      </c>
      <c r="W15" s="775">
        <f t="shared" si="2"/>
        <v>100</v>
      </c>
      <c r="X15" s="1810"/>
      <c r="Y15" s="3214" t="s">
        <v>2562</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7"/>
      <c r="M16" s="1128"/>
      <c r="N16" s="1128"/>
      <c r="O16" s="1128"/>
      <c r="P16" s="3222"/>
      <c r="Q16" s="1807"/>
      <c r="R16" s="774"/>
      <c r="S16" s="775"/>
      <c r="T16" s="774"/>
      <c r="U16" s="775"/>
      <c r="V16" s="774"/>
      <c r="W16" s="775"/>
      <c r="X16" s="1810"/>
      <c r="Y16" s="3215"/>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22"/>
      <c r="Q17" s="1807" t="str">
        <f>B17</f>
        <v>交通便捷度</v>
      </c>
      <c r="R17" s="774" t="s">
        <v>21</v>
      </c>
      <c r="S17" s="775">
        <f>F17</f>
        <v>100</v>
      </c>
      <c r="T17" s="774" t="s">
        <v>21</v>
      </c>
      <c r="U17" s="775">
        <f>H17</f>
        <v>100</v>
      </c>
      <c r="V17" s="774" t="s">
        <v>21</v>
      </c>
      <c r="W17" s="775">
        <f>J17</f>
        <v>100</v>
      </c>
      <c r="X17" s="1810"/>
      <c r="Y17" s="3215"/>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7"/>
      <c r="M18" s="1128"/>
      <c r="N18" s="1128"/>
      <c r="O18" s="1128"/>
      <c r="P18" s="3222"/>
      <c r="Q18" s="1807"/>
      <c r="R18" s="774"/>
      <c r="S18" s="775"/>
      <c r="T18" s="774"/>
      <c r="U18" s="775"/>
      <c r="V18" s="774"/>
      <c r="W18" s="775"/>
      <c r="X18" s="1810"/>
      <c r="Y18" s="3215"/>
      <c r="Z18" s="1811"/>
      <c r="AA18" s="1808">
        <v>1</v>
      </c>
      <c r="AB18" s="1808">
        <v>1</v>
      </c>
      <c r="AC18" s="1808">
        <v>1</v>
      </c>
    </row>
    <row r="19" spans="1:29" ht="42.75">
      <c r="A19" s="428"/>
      <c r="B19" s="451" t="s">
        <v>2096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22"/>
      <c r="Q19" s="1807" t="str">
        <f>B19</f>
        <v>公共配套设施</v>
      </c>
      <c r="R19" s="774" t="s">
        <v>21</v>
      </c>
      <c r="S19" s="775">
        <f>F19</f>
        <v>100</v>
      </c>
      <c r="T19" s="774" t="s">
        <v>21</v>
      </c>
      <c r="U19" s="775">
        <f>H19</f>
        <v>100</v>
      </c>
      <c r="V19" s="774" t="s">
        <v>21</v>
      </c>
      <c r="W19" s="775">
        <f>J19</f>
        <v>100</v>
      </c>
      <c r="X19" s="1810"/>
      <c r="Y19" s="3215"/>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7"/>
      <c r="M20" s="1128"/>
      <c r="N20" s="1128"/>
      <c r="O20" s="1128"/>
      <c r="P20" s="3222"/>
      <c r="Q20" s="1807"/>
      <c r="R20" s="774"/>
      <c r="S20" s="775"/>
      <c r="T20" s="774"/>
      <c r="U20" s="775"/>
      <c r="V20" s="774"/>
      <c r="W20" s="775"/>
      <c r="X20" s="1810"/>
      <c r="Y20" s="3215"/>
      <c r="Z20" s="1811"/>
      <c r="AA20" s="1808">
        <v>1</v>
      </c>
      <c r="AB20" s="1808">
        <v>1</v>
      </c>
      <c r="AC20" s="1808">
        <v>1</v>
      </c>
    </row>
    <row r="21" spans="1:29" ht="28.5">
      <c r="A21" s="428"/>
      <c r="B21" s="1381" t="s">
        <v>2099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22"/>
      <c r="Q21" s="1807" t="str">
        <f>B21</f>
        <v>基础设施水平</v>
      </c>
      <c r="R21" s="774" t="s">
        <v>17</v>
      </c>
      <c r="S21" s="775">
        <f>F21</f>
        <v>100</v>
      </c>
      <c r="T21" s="774" t="s">
        <v>17</v>
      </c>
      <c r="U21" s="775">
        <f>H21</f>
        <v>100</v>
      </c>
      <c r="V21" s="774" t="s">
        <v>17</v>
      </c>
      <c r="W21" s="775">
        <f>J21</f>
        <v>100</v>
      </c>
      <c r="X21" s="1810"/>
      <c r="Y21" s="3215"/>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8"/>
      <c r="G22" s="2608"/>
      <c r="H22" s="448"/>
      <c r="I22" s="447"/>
      <c r="J22" s="448"/>
      <c r="K22" s="2609"/>
      <c r="L22" s="1137"/>
      <c r="M22" s="1128"/>
      <c r="N22" s="1128"/>
      <c r="O22" s="1128"/>
      <c r="P22" s="3222"/>
      <c r="Q22" s="1807"/>
      <c r="R22" s="774"/>
      <c r="S22" s="775"/>
      <c r="T22" s="774"/>
      <c r="U22" s="775"/>
      <c r="V22" s="774"/>
      <c r="W22" s="775"/>
      <c r="X22" s="1810"/>
      <c r="Y22" s="3215"/>
      <c r="Z22" s="1811"/>
      <c r="AA22" s="1808">
        <v>1</v>
      </c>
      <c r="AB22" s="1808">
        <v>1</v>
      </c>
      <c r="AC22" s="1808">
        <v>1</v>
      </c>
    </row>
    <row r="23" spans="1:29" ht="57">
      <c r="A23" s="428"/>
      <c r="B23" s="451" t="s">
        <v>2103</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22"/>
      <c r="Q23" s="1807" t="str">
        <f>B23</f>
        <v>自然及人文环境</v>
      </c>
      <c r="R23" s="774" t="s">
        <v>21</v>
      </c>
      <c r="S23" s="775">
        <f>F23</f>
        <v>100</v>
      </c>
      <c r="T23" s="774" t="s">
        <v>21</v>
      </c>
      <c r="U23" s="775">
        <f>H23</f>
        <v>100</v>
      </c>
      <c r="V23" s="774" t="s">
        <v>21</v>
      </c>
      <c r="W23" s="775">
        <f>J23</f>
        <v>100</v>
      </c>
      <c r="X23" s="1810"/>
      <c r="Y23" s="3215"/>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7"/>
      <c r="M24" s="1128"/>
      <c r="N24" s="1128"/>
      <c r="O24" s="1128"/>
      <c r="P24" s="3222"/>
      <c r="Q24" s="1807"/>
      <c r="R24" s="774"/>
      <c r="S24" s="775"/>
      <c r="T24" s="774"/>
      <c r="U24" s="775"/>
      <c r="V24" s="774"/>
      <c r="W24" s="775"/>
      <c r="X24" s="1810"/>
      <c r="Y24" s="3215"/>
      <c r="Z24" s="1811"/>
      <c r="AA24" s="1808">
        <v>1</v>
      </c>
      <c r="AB24" s="1808">
        <v>1</v>
      </c>
      <c r="AC24" s="1808">
        <v>1</v>
      </c>
    </row>
    <row r="25" spans="1:29" ht="15">
      <c r="A25" s="428"/>
      <c r="B25" s="422" t="s">
        <v>2563</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222"/>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15"/>
      <c r="Z25" s="1811" t="str">
        <f>Q25</f>
        <v>楼层-1</v>
      </c>
      <c r="AA25" s="1808">
        <f t="shared" ref="AA25:AA46" si="15">D25/F25</f>
        <v>1</v>
      </c>
      <c r="AB25" s="1808">
        <f t="shared" ref="AB25:AB46" si="16">D25/H25</f>
        <v>1</v>
      </c>
      <c r="AC25" s="1808">
        <f t="shared" ref="AC25:AC46" si="17">D25/J25</f>
        <v>1</v>
      </c>
    </row>
    <row r="26" spans="1:29" ht="15">
      <c r="A26" s="428"/>
      <c r="B26" s="422" t="s">
        <v>2564</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222"/>
      <c r="Q26" s="1807" t="str">
        <f t="shared" si="11"/>
        <v>朝向</v>
      </c>
      <c r="R26" s="774" t="s">
        <v>21</v>
      </c>
      <c r="S26" s="775">
        <f t="shared" si="12"/>
        <v>100</v>
      </c>
      <c r="T26" s="774" t="s">
        <v>21</v>
      </c>
      <c r="U26" s="775">
        <f t="shared" si="13"/>
        <v>100</v>
      </c>
      <c r="V26" s="774" t="s">
        <v>21</v>
      </c>
      <c r="W26" s="775">
        <f t="shared" si="14"/>
        <v>100</v>
      </c>
      <c r="X26" s="1810"/>
      <c r="Y26" s="3215"/>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222"/>
      <c r="Q27" s="1792">
        <f t="shared" si="11"/>
        <v>111</v>
      </c>
      <c r="R27" s="770" t="s">
        <v>21</v>
      </c>
      <c r="S27" s="771">
        <f t="shared" si="12"/>
        <v>100</v>
      </c>
      <c r="T27" s="770" t="s">
        <v>21</v>
      </c>
      <c r="U27" s="771">
        <f t="shared" si="13"/>
        <v>100</v>
      </c>
      <c r="V27" s="770" t="s">
        <v>21</v>
      </c>
      <c r="W27" s="771">
        <f t="shared" si="14"/>
        <v>100</v>
      </c>
      <c r="X27" s="772"/>
      <c r="Y27" s="3215"/>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222"/>
      <c r="Q28" s="1807">
        <f t="shared" si="11"/>
        <v>111</v>
      </c>
      <c r="R28" s="774" t="s">
        <v>21</v>
      </c>
      <c r="S28" s="775">
        <f t="shared" si="12"/>
        <v>100</v>
      </c>
      <c r="T28" s="774" t="s">
        <v>21</v>
      </c>
      <c r="U28" s="775">
        <f t="shared" si="13"/>
        <v>100</v>
      </c>
      <c r="V28" s="774" t="s">
        <v>21</v>
      </c>
      <c r="W28" s="775">
        <f t="shared" si="14"/>
        <v>100</v>
      </c>
      <c r="X28" s="1810"/>
      <c r="Y28" s="3215"/>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222"/>
      <c r="Q29" s="1807">
        <f t="shared" si="11"/>
        <v>111</v>
      </c>
      <c r="R29" s="774" t="s">
        <v>21</v>
      </c>
      <c r="S29" s="775">
        <f t="shared" si="12"/>
        <v>100</v>
      </c>
      <c r="T29" s="774" t="s">
        <v>21</v>
      </c>
      <c r="U29" s="775">
        <f t="shared" si="13"/>
        <v>100</v>
      </c>
      <c r="V29" s="774" t="s">
        <v>21</v>
      </c>
      <c r="W29" s="775">
        <f t="shared" si="14"/>
        <v>100</v>
      </c>
      <c r="X29" s="1810"/>
      <c r="Y29" s="3215"/>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222"/>
      <c r="Q30" s="1807">
        <f t="shared" si="11"/>
        <v>111</v>
      </c>
      <c r="R30" s="774" t="s">
        <v>21</v>
      </c>
      <c r="S30" s="775">
        <f t="shared" si="12"/>
        <v>100</v>
      </c>
      <c r="T30" s="774" t="s">
        <v>21</v>
      </c>
      <c r="U30" s="775">
        <f t="shared" si="13"/>
        <v>100</v>
      </c>
      <c r="V30" s="774" t="s">
        <v>21</v>
      </c>
      <c r="W30" s="775">
        <f t="shared" si="14"/>
        <v>100</v>
      </c>
      <c r="X30" s="1810"/>
      <c r="Y30" s="3215"/>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222"/>
      <c r="Q31" s="1807">
        <f t="shared" si="11"/>
        <v>111</v>
      </c>
      <c r="R31" s="774" t="s">
        <v>21</v>
      </c>
      <c r="S31" s="775">
        <f t="shared" si="12"/>
        <v>100</v>
      </c>
      <c r="T31" s="774" t="s">
        <v>21</v>
      </c>
      <c r="U31" s="775">
        <f t="shared" si="13"/>
        <v>100</v>
      </c>
      <c r="V31" s="774" t="s">
        <v>21</v>
      </c>
      <c r="W31" s="775">
        <f t="shared" si="14"/>
        <v>100</v>
      </c>
      <c r="X31" s="1810"/>
      <c r="Y31" s="3215"/>
      <c r="Z31" s="1811">
        <f t="shared" si="18"/>
        <v>111</v>
      </c>
      <c r="AA31" s="1808">
        <f t="shared" si="15"/>
        <v>1</v>
      </c>
      <c r="AB31" s="1808">
        <f t="shared" si="16"/>
        <v>1</v>
      </c>
      <c r="AC31" s="1808">
        <f t="shared" si="17"/>
        <v>1</v>
      </c>
    </row>
    <row r="32" spans="1:29" ht="15">
      <c r="A32" s="440" t="s">
        <v>2565</v>
      </c>
      <c r="B32" s="71" t="s">
        <v>2566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216" t="s">
        <v>2567</v>
      </c>
      <c r="Q32" s="1807" t="str">
        <f t="shared" si="11"/>
        <v>建筑类型</v>
      </c>
      <c r="R32" s="774" t="s">
        <v>21</v>
      </c>
      <c r="S32" s="775">
        <f t="shared" si="12"/>
        <v>100</v>
      </c>
      <c r="T32" s="774" t="s">
        <v>21</v>
      </c>
      <c r="U32" s="775">
        <f t="shared" si="13"/>
        <v>100</v>
      </c>
      <c r="V32" s="774" t="s">
        <v>21</v>
      </c>
      <c r="W32" s="775">
        <f t="shared" si="14"/>
        <v>100</v>
      </c>
      <c r="X32" s="1810"/>
      <c r="Y32" s="3219" t="s">
        <v>2567</v>
      </c>
      <c r="Z32" s="1811" t="str">
        <f t="shared" si="18"/>
        <v>建筑类型</v>
      </c>
      <c r="AA32" s="1808">
        <f t="shared" si="15"/>
        <v>1</v>
      </c>
      <c r="AB32" s="1808">
        <f t="shared" si="16"/>
        <v>1</v>
      </c>
      <c r="AC32" s="1808">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08" t="e">
        <f t="shared" si="15"/>
        <v>#N/A</v>
      </c>
      <c r="AB33" s="1808" t="e">
        <f t="shared" si="16"/>
        <v>#N/A</v>
      </c>
      <c r="AC33" s="1808" t="e">
        <f t="shared" si="17"/>
        <v>#N/A</v>
      </c>
    </row>
    <row r="34" spans="1:29" ht="15">
      <c r="A34" s="472"/>
      <c r="B34" s="422" t="s">
        <v>2569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217"/>
      <c r="Q34" s="1807" t="str">
        <f t="shared" si="11"/>
        <v>建筑结构</v>
      </c>
      <c r="R34" s="774" t="s">
        <v>21</v>
      </c>
      <c r="S34" s="775">
        <f t="shared" si="12"/>
        <v>100</v>
      </c>
      <c r="T34" s="774" t="s">
        <v>21</v>
      </c>
      <c r="U34" s="775">
        <f t="shared" si="13"/>
        <v>100</v>
      </c>
      <c r="V34" s="774" t="s">
        <v>21</v>
      </c>
      <c r="W34" s="775">
        <f t="shared" si="14"/>
        <v>100</v>
      </c>
      <c r="X34" s="1810"/>
      <c r="Y34" s="3219"/>
      <c r="Z34" s="1811" t="str">
        <f t="shared" si="18"/>
        <v>建筑结构</v>
      </c>
      <c r="AA34" s="1808">
        <f t="shared" si="15"/>
        <v>1</v>
      </c>
      <c r="AB34" s="1808">
        <f t="shared" si="16"/>
        <v>1</v>
      </c>
      <c r="AC34" s="1808">
        <f t="shared" si="17"/>
        <v>1</v>
      </c>
    </row>
    <row r="35" spans="1:29" ht="15">
      <c r="A35" s="472"/>
      <c r="B35" s="422" t="s">
        <v>2570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217"/>
      <c r="Q35" s="1807" t="str">
        <f t="shared" si="11"/>
        <v>建筑品质</v>
      </c>
      <c r="R35" s="774" t="s">
        <v>21</v>
      </c>
      <c r="S35" s="775">
        <f t="shared" si="12"/>
        <v>100</v>
      </c>
      <c r="T35" s="774" t="s">
        <v>21</v>
      </c>
      <c r="U35" s="775">
        <f t="shared" si="13"/>
        <v>100</v>
      </c>
      <c r="V35" s="774" t="s">
        <v>21</v>
      </c>
      <c r="W35" s="775">
        <f t="shared" si="14"/>
        <v>100</v>
      </c>
      <c r="X35" s="1810"/>
      <c r="Y35" s="3219"/>
      <c r="Z35" s="1811" t="str">
        <f t="shared" si="18"/>
        <v>建筑品质</v>
      </c>
      <c r="AA35" s="1808">
        <f t="shared" si="15"/>
        <v>1</v>
      </c>
      <c r="AB35" s="1808">
        <f t="shared" si="16"/>
        <v>1</v>
      </c>
      <c r="AC35" s="1808">
        <f t="shared" si="17"/>
        <v>1</v>
      </c>
    </row>
    <row r="36" spans="1:29" ht="15">
      <c r="A36" s="472"/>
      <c r="B36" s="422" t="s">
        <v>2571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217"/>
      <c r="Q36" s="1807" t="str">
        <f t="shared" si="11"/>
        <v>公共部分装修</v>
      </c>
      <c r="R36" s="774" t="s">
        <v>21</v>
      </c>
      <c r="S36" s="775">
        <f t="shared" si="12"/>
        <v>100</v>
      </c>
      <c r="T36" s="774" t="s">
        <v>21</v>
      </c>
      <c r="U36" s="775">
        <f t="shared" si="13"/>
        <v>100</v>
      </c>
      <c r="V36" s="774" t="s">
        <v>21</v>
      </c>
      <c r="W36" s="775">
        <f t="shared" si="14"/>
        <v>100</v>
      </c>
      <c r="X36" s="1810"/>
      <c r="Y36" s="3219"/>
      <c r="Z36" s="1811" t="str">
        <f t="shared" si="18"/>
        <v>公共部分装修</v>
      </c>
      <c r="AA36" s="1808">
        <f t="shared" si="15"/>
        <v>1</v>
      </c>
      <c r="AB36" s="1808">
        <f t="shared" si="16"/>
        <v>1</v>
      </c>
      <c r="AC36" s="1808">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17"/>
      <c r="Q37" s="1792"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2573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217" t="s">
        <v>2567</v>
      </c>
      <c r="Q38" s="1807" t="str">
        <f t="shared" si="11"/>
        <v>物业管理</v>
      </c>
      <c r="R38" s="774" t="s">
        <v>21</v>
      </c>
      <c r="S38" s="775">
        <f t="shared" si="12"/>
        <v>100</v>
      </c>
      <c r="T38" s="774" t="s">
        <v>21</v>
      </c>
      <c r="U38" s="775">
        <f t="shared" si="13"/>
        <v>100</v>
      </c>
      <c r="V38" s="774" t="s">
        <v>21</v>
      </c>
      <c r="W38" s="775">
        <f t="shared" si="14"/>
        <v>100</v>
      </c>
      <c r="X38" s="1810"/>
      <c r="Y38" s="3219" t="s">
        <v>2567</v>
      </c>
      <c r="Z38" s="1811" t="str">
        <f t="shared" si="18"/>
        <v>物业管理</v>
      </c>
      <c r="AA38" s="1808">
        <f t="shared" si="15"/>
        <v>1</v>
      </c>
      <c r="AB38" s="1808">
        <f t="shared" si="16"/>
        <v>1</v>
      </c>
      <c r="AC38" s="1808">
        <f t="shared" si="17"/>
        <v>1</v>
      </c>
    </row>
    <row r="39" spans="1:29" ht="15">
      <c r="A39" s="472"/>
      <c r="B39" s="422" t="s">
        <v>2574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217"/>
      <c r="Q39" s="1807" t="str">
        <f t="shared" si="11"/>
        <v>市政基础设施</v>
      </c>
      <c r="R39" s="774" t="s">
        <v>21</v>
      </c>
      <c r="S39" s="775">
        <f t="shared" si="12"/>
        <v>100</v>
      </c>
      <c r="T39" s="774" t="s">
        <v>21</v>
      </c>
      <c r="U39" s="775">
        <f t="shared" si="13"/>
        <v>100</v>
      </c>
      <c r="V39" s="774" t="s">
        <v>21</v>
      </c>
      <c r="W39" s="775">
        <f t="shared" si="14"/>
        <v>100</v>
      </c>
      <c r="X39" s="1810"/>
      <c r="Y39" s="3219"/>
      <c r="Z39" s="1811" t="str">
        <f t="shared" si="18"/>
        <v>市政基础设施</v>
      </c>
      <c r="AA39" s="1808">
        <f t="shared" si="15"/>
        <v>1</v>
      </c>
      <c r="AB39" s="1808">
        <f t="shared" si="16"/>
        <v>1</v>
      </c>
      <c r="AC39" s="1808">
        <f t="shared" si="17"/>
        <v>1</v>
      </c>
    </row>
    <row r="40" spans="1:29" ht="15">
      <c r="A40" s="472"/>
      <c r="B40" s="422" t="s">
        <v>2575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217"/>
      <c r="Q40" s="1807" t="str">
        <f t="shared" si="11"/>
        <v>房型</v>
      </c>
      <c r="R40" s="774" t="s">
        <v>21</v>
      </c>
      <c r="S40" s="775">
        <f t="shared" si="12"/>
        <v>100</v>
      </c>
      <c r="T40" s="774" t="s">
        <v>21</v>
      </c>
      <c r="U40" s="775">
        <f t="shared" si="13"/>
        <v>100</v>
      </c>
      <c r="V40" s="774" t="s">
        <v>21</v>
      </c>
      <c r="W40" s="775">
        <f t="shared" si="14"/>
        <v>100</v>
      </c>
      <c r="X40" s="1810"/>
      <c r="Y40" s="3219"/>
      <c r="Z40" s="1811" t="str">
        <f t="shared" si="18"/>
        <v>房型</v>
      </c>
      <c r="AA40" s="1808">
        <f t="shared" si="15"/>
        <v>1</v>
      </c>
      <c r="AB40" s="1808">
        <f t="shared" si="16"/>
        <v>1</v>
      </c>
      <c r="AC40" s="1808">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08">
        <f t="shared" si="15"/>
        <v>1</v>
      </c>
      <c r="AB41" s="1808">
        <f t="shared" si="16"/>
        <v>1</v>
      </c>
      <c r="AC41" s="1808">
        <f t="shared" si="17"/>
        <v>1</v>
      </c>
    </row>
    <row r="42" spans="1:29" ht="15">
      <c r="A42" s="472"/>
      <c r="B42" s="422" t="s">
        <v>2577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217"/>
      <c r="Q42" s="1807" t="str">
        <f t="shared" si="11"/>
        <v>内部装修</v>
      </c>
      <c r="R42" s="774" t="s">
        <v>21</v>
      </c>
      <c r="S42" s="775">
        <f t="shared" si="12"/>
        <v>100</v>
      </c>
      <c r="T42" s="774" t="s">
        <v>21</v>
      </c>
      <c r="U42" s="775">
        <f t="shared" si="13"/>
        <v>100</v>
      </c>
      <c r="V42" s="774" t="s">
        <v>21</v>
      </c>
      <c r="W42" s="775">
        <f t="shared" si="14"/>
        <v>100</v>
      </c>
      <c r="X42" s="1810"/>
      <c r="Y42" s="3219"/>
      <c r="Z42" s="1811" t="str">
        <f t="shared" si="18"/>
        <v>内部装修</v>
      </c>
      <c r="AA42" s="1808">
        <f t="shared" si="15"/>
        <v>1</v>
      </c>
      <c r="AB42" s="1808">
        <f t="shared" si="16"/>
        <v>1</v>
      </c>
      <c r="AC42" s="1808">
        <f t="shared" si="17"/>
        <v>1</v>
      </c>
    </row>
    <row r="43" spans="1:29" ht="15">
      <c r="A43" s="472"/>
      <c r="B43" s="422" t="s">
        <v>2578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217"/>
      <c r="Q43" s="1807" t="str">
        <f t="shared" si="11"/>
        <v>内部装修维护情况</v>
      </c>
      <c r="R43" s="774" t="s">
        <v>21</v>
      </c>
      <c r="S43" s="775">
        <f t="shared" si="12"/>
        <v>100</v>
      </c>
      <c r="T43" s="774" t="s">
        <v>21</v>
      </c>
      <c r="U43" s="775">
        <f t="shared" si="13"/>
        <v>100</v>
      </c>
      <c r="V43" s="774" t="s">
        <v>21</v>
      </c>
      <c r="W43" s="775">
        <f t="shared" si="14"/>
        <v>100</v>
      </c>
      <c r="X43" s="1810"/>
      <c r="Y43" s="3219"/>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217"/>
      <c r="Q44" s="1792">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217"/>
      <c r="Q45" s="1807">
        <f t="shared" si="11"/>
        <v>111</v>
      </c>
      <c r="R45" s="774" t="s">
        <v>21</v>
      </c>
      <c r="S45" s="775">
        <f t="shared" si="12"/>
        <v>100</v>
      </c>
      <c r="T45" s="774" t="s">
        <v>21</v>
      </c>
      <c r="U45" s="775">
        <f t="shared" si="13"/>
        <v>100</v>
      </c>
      <c r="V45" s="774" t="s">
        <v>21</v>
      </c>
      <c r="W45" s="775">
        <f t="shared" si="14"/>
        <v>100</v>
      </c>
      <c r="X45" s="1810"/>
      <c r="Y45" s="3219"/>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218"/>
      <c r="Q46" s="1807">
        <f t="shared" si="11"/>
        <v>111</v>
      </c>
      <c r="R46" s="774" t="s">
        <v>20</v>
      </c>
      <c r="S46" s="775">
        <f t="shared" si="12"/>
        <v>100</v>
      </c>
      <c r="T46" s="774" t="s">
        <v>20</v>
      </c>
      <c r="U46" s="775">
        <f t="shared" si="13"/>
        <v>100</v>
      </c>
      <c r="V46" s="774" t="s">
        <v>20</v>
      </c>
      <c r="W46" s="775">
        <f t="shared" si="14"/>
        <v>100</v>
      </c>
      <c r="X46" s="1810"/>
      <c r="Y46" s="3220"/>
      <c r="Z46" s="1811">
        <f t="shared" si="18"/>
        <v>111</v>
      </c>
      <c r="AA46" s="1808">
        <f t="shared" si="15"/>
        <v>1</v>
      </c>
      <c r="AB46" s="1808">
        <f t="shared" si="16"/>
        <v>1</v>
      </c>
      <c r="AC46" s="1808">
        <f t="shared" si="17"/>
        <v>1</v>
      </c>
    </row>
    <row r="47" spans="1:29" ht="15">
      <c r="A47" s="479" t="s">
        <v>2579</v>
      </c>
      <c r="B47" s="480"/>
      <c r="C47" s="1404" t="s">
        <v>19</v>
      </c>
      <c r="D47" s="1405"/>
      <c r="E47" s="1406"/>
      <c r="F47" s="1407"/>
      <c r="G47" s="1408"/>
      <c r="H47" s="1409"/>
      <c r="I47" s="1406"/>
      <c r="J47" s="1409"/>
      <c r="K47" s="2618"/>
      <c r="L47" s="1140"/>
      <c r="M47" s="1141"/>
      <c r="N47" s="1128"/>
      <c r="O47" s="1141"/>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2580</v>
      </c>
      <c r="B48" s="487"/>
      <c r="C48" s="1410" t="e">
        <f>R49</f>
        <v>#DIV/0!</v>
      </c>
      <c r="D48" s="1411"/>
      <c r="E48" s="1412" t="e">
        <f>R48</f>
        <v>#DIV/0!</v>
      </c>
      <c r="F48" s="1412"/>
      <c r="G48" s="1410" t="e">
        <f>T48</f>
        <v>#DIV/0!</v>
      </c>
      <c r="H48" s="1411"/>
      <c r="I48" s="1412" t="e">
        <f>V48</f>
        <v>#DIV/0!</v>
      </c>
      <c r="J48" s="1411"/>
      <c r="K48" s="2619"/>
      <c r="L48" s="1140"/>
      <c r="M48" s="1141"/>
      <c r="N48" s="1141"/>
      <c r="O48" s="1141"/>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2581</v>
      </c>
      <c r="B49" s="493"/>
      <c r="C49" s="1413" t="e">
        <f>R49</f>
        <v>#DIV/0!</v>
      </c>
      <c r="D49" s="1414"/>
      <c r="E49" s="1414"/>
      <c r="F49" s="1414"/>
      <c r="G49" s="1414"/>
      <c r="H49" s="1414"/>
      <c r="I49" s="1414"/>
      <c r="J49" s="1414"/>
      <c r="K49" s="2620"/>
      <c r="L49" s="1140"/>
      <c r="M49" s="1141"/>
      <c r="N49" s="1141"/>
      <c r="O49" s="1141"/>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3" t="s">
        <v>2585</v>
      </c>
      <c r="B57" s="759"/>
      <c r="C57" s="764"/>
      <c r="D57" s="764"/>
      <c r="E57" s="764"/>
      <c r="F57" s="765"/>
      <c r="G57" s="765"/>
      <c r="H57" s="764"/>
      <c r="I57" s="764"/>
      <c r="J57" s="764"/>
      <c r="K57" s="1157"/>
      <c r="L57" s="1158"/>
      <c r="M57" s="1156"/>
      <c r="N57" s="1156"/>
      <c r="O57" s="1156"/>
      <c r="P57" s="2623"/>
      <c r="Q57" s="504"/>
    </row>
    <row r="58" spans="1:29" s="508" customFormat="1" ht="15">
      <c r="A58" s="505" t="s">
        <v>2586</v>
      </c>
      <c r="B58" s="506"/>
      <c r="C58" s="1573" t="str">
        <f>YEAR(C7)&amp;"-"&amp;MONTH(C7)</f>
        <v>2018-5</v>
      </c>
      <c r="D58" s="1572">
        <f>EDATE(C58,-1)</f>
        <v>43191</v>
      </c>
      <c r="E58" s="1572">
        <f>EDATE(D58,-1)</f>
        <v>43160</v>
      </c>
      <c r="F58" s="1572">
        <f t="shared" ref="F58:O58" si="19">EDATE(E58,-1)</f>
        <v>43132</v>
      </c>
      <c r="G58" s="1572">
        <f t="shared" si="19"/>
        <v>43101</v>
      </c>
      <c r="H58" s="1572">
        <f t="shared" si="19"/>
        <v>43070</v>
      </c>
      <c r="I58" s="1572">
        <f t="shared" si="19"/>
        <v>43040</v>
      </c>
      <c r="J58" s="1572">
        <f t="shared" si="19"/>
        <v>43009</v>
      </c>
      <c r="K58" s="1572">
        <f t="shared" si="19"/>
        <v>42979</v>
      </c>
      <c r="L58" s="1572">
        <f t="shared" si="19"/>
        <v>42948</v>
      </c>
      <c r="M58" s="1572">
        <f t="shared" si="19"/>
        <v>42917</v>
      </c>
      <c r="N58" s="1572">
        <f t="shared" si="19"/>
        <v>42887</v>
      </c>
      <c r="O58" s="1572">
        <f t="shared" si="19"/>
        <v>42856</v>
      </c>
      <c r="P58" s="1567"/>
    </row>
    <row r="59" spans="1:29" s="117" customFormat="1" ht="15">
      <c r="A59" s="509"/>
      <c r="B59" s="2624"/>
      <c r="C59" s="1570">
        <v>100</v>
      </c>
      <c r="D59" s="511"/>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2588</v>
      </c>
      <c r="B61" s="510"/>
      <c r="C61" s="522" t="s">
        <v>2589</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2099</v>
      </c>
      <c r="C82" s="539" t="s">
        <v>2606</v>
      </c>
      <c r="D82" s="539" t="s">
        <v>2607</v>
      </c>
      <c r="E82" s="539" t="s">
        <v>2608</v>
      </c>
      <c r="F82" s="539" t="s">
        <v>2609</v>
      </c>
      <c r="G82" s="539" t="s">
        <v>2610</v>
      </c>
      <c r="H82" s="539"/>
      <c r="I82" s="539"/>
      <c r="J82" s="539"/>
      <c r="K82" s="539"/>
      <c r="L82" s="539"/>
      <c r="M82" s="1379"/>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2612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2613</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2565</v>
      </c>
      <c r="B100" s="528" t="s">
        <v>2614</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2617</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2618</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2619</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2620</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2621</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2576</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2624</v>
      </c>
    </row>
    <row r="137" spans="1:17" ht="15">
      <c r="B137" s="2635" t="s">
        <v>2625</v>
      </c>
      <c r="C137" s="2636"/>
      <c r="D137" s="2636"/>
      <c r="E137" s="2636"/>
      <c r="F137" s="2636"/>
      <c r="G137" s="2637"/>
      <c r="H137" s="2638"/>
      <c r="I137" s="2639" t="s">
        <v>2626</v>
      </c>
      <c r="J137" s="2636"/>
      <c r="K137" s="2640"/>
    </row>
    <row r="138" spans="1:17" ht="15">
      <c r="B138" s="2641"/>
      <c r="C138" s="146" t="s">
        <v>2627</v>
      </c>
      <c r="D138" s="146" t="s">
        <v>2628</v>
      </c>
      <c r="E138" s="2642" t="s">
        <v>2629</v>
      </c>
      <c r="F138" s="2643" t="s">
        <v>2630</v>
      </c>
      <c r="G138" s="146" t="s">
        <v>2628</v>
      </c>
      <c r="H138" s="147" t="s">
        <v>2629</v>
      </c>
      <c r="I138" s="2644"/>
      <c r="J138" s="146" t="s">
        <v>2631</v>
      </c>
      <c r="K138" s="147" t="s">
        <v>2632</v>
      </c>
    </row>
    <row r="139" spans="1:17" ht="15">
      <c r="B139" s="1081">
        <v>6</v>
      </c>
      <c r="C139" s="1082">
        <v>96</v>
      </c>
      <c r="D139" s="2645" t="s">
        <v>2633</v>
      </c>
      <c r="E139" s="1083">
        <v>100</v>
      </c>
      <c r="F139" s="1084">
        <v>102.5</v>
      </c>
      <c r="G139" s="2645" t="s">
        <v>2633</v>
      </c>
      <c r="H139" s="1085">
        <v>105</v>
      </c>
      <c r="I139" s="2646" t="s">
        <v>2634</v>
      </c>
      <c r="J139" s="1082">
        <v>20</v>
      </c>
      <c r="K139" s="1086">
        <f>C145/(J139-2)</f>
        <v>4.0555555555555553E-3</v>
      </c>
    </row>
    <row r="140" spans="1:17" ht="15">
      <c r="B140" s="1087">
        <v>5</v>
      </c>
      <c r="C140" s="1088">
        <v>100</v>
      </c>
      <c r="D140" s="1088"/>
      <c r="E140" s="1089"/>
      <c r="F140" s="1090">
        <v>102</v>
      </c>
      <c r="G140" s="1088"/>
      <c r="H140" s="1091"/>
      <c r="I140" s="2647" t="s">
        <v>2635</v>
      </c>
      <c r="J140" s="315">
        <f>ROUNDUP((J139-1)/2,0)</f>
        <v>10</v>
      </c>
      <c r="K140" s="1092">
        <v>100</v>
      </c>
    </row>
    <row r="141" spans="1:17" ht="15">
      <c r="B141" s="1087">
        <v>4</v>
      </c>
      <c r="C141" s="1088">
        <v>102</v>
      </c>
      <c r="D141" s="1088"/>
      <c r="E141" s="1089"/>
      <c r="F141" s="1090">
        <v>101.5</v>
      </c>
      <c r="G141" s="1088"/>
      <c r="H141" s="1091"/>
      <c r="I141" s="2647" t="s">
        <v>2636</v>
      </c>
      <c r="J141" s="315">
        <v>1</v>
      </c>
      <c r="K141" s="1093">
        <f>ROUND(100+(J141-J140)*K139*100,1)</f>
        <v>96.4</v>
      </c>
    </row>
    <row r="142" spans="1:17" ht="15">
      <c r="B142" s="1087">
        <v>3</v>
      </c>
      <c r="C142" s="1088">
        <v>103</v>
      </c>
      <c r="D142" s="1088"/>
      <c r="E142" s="1089"/>
      <c r="F142" s="1090">
        <v>101</v>
      </c>
      <c r="G142" s="1088"/>
      <c r="H142" s="1091"/>
      <c r="I142" s="2647" t="s">
        <v>2637</v>
      </c>
      <c r="J142" s="315">
        <f>J139</f>
        <v>20</v>
      </c>
      <c r="K142" s="1094">
        <v>95</v>
      </c>
    </row>
    <row r="143" spans="1:17" ht="15">
      <c r="B143" s="1087">
        <v>2</v>
      </c>
      <c r="C143" s="1088">
        <v>100</v>
      </c>
      <c r="D143" s="1088"/>
      <c r="E143" s="1089"/>
      <c r="F143" s="1090">
        <v>100.5</v>
      </c>
      <c r="G143" s="1088"/>
      <c r="H143" s="1091"/>
      <c r="I143" s="2647" t="s">
        <v>2638</v>
      </c>
      <c r="J143" s="1088">
        <v>15</v>
      </c>
      <c r="K143" s="1093">
        <f>ROUND(100+(J143-J140)*K139*100,1)</f>
        <v>102</v>
      </c>
    </row>
    <row r="144" spans="1:17" ht="15">
      <c r="B144" s="1087">
        <v>1</v>
      </c>
      <c r="C144" s="1088">
        <v>98</v>
      </c>
      <c r="D144" s="2648" t="s">
        <v>2639</v>
      </c>
      <c r="E144" s="1089">
        <v>102</v>
      </c>
      <c r="F144" s="1095">
        <v>100</v>
      </c>
      <c r="G144" s="2648" t="s">
        <v>2639</v>
      </c>
      <c r="H144" s="1091">
        <v>105</v>
      </c>
      <c r="I144" s="2647" t="s">
        <v>2638</v>
      </c>
      <c r="J144" s="1088">
        <v>18</v>
      </c>
      <c r="K144" s="1093">
        <f>ROUND(100+(J144-J140)*K139*100,1)</f>
        <v>103.2</v>
      </c>
    </row>
    <row r="145" spans="2:11" ht="15.75" thickBot="1">
      <c r="B145" s="2649" t="s">
        <v>2640</v>
      </c>
      <c r="C145" s="1096">
        <f>ROUND(MAX(C139:C144)/MIN(C139:C144)-1,3)</f>
        <v>7.2999999999999995E-2</v>
      </c>
      <c r="D145" s="1097"/>
      <c r="E145" s="1097"/>
      <c r="F145" s="2650" t="s">
        <v>2641</v>
      </c>
      <c r="G145" s="2651"/>
      <c r="H145" s="2652"/>
      <c r="I145" s="2653" t="s">
        <v>2638</v>
      </c>
      <c r="J145" s="1098">
        <v>8</v>
      </c>
      <c r="K145" s="1099">
        <f>ROUND(100+(J145-J140)*K139*100,1)</f>
        <v>99.2</v>
      </c>
    </row>
    <row r="147" spans="2:11">
      <c r="B147" s="2634" t="s">
        <v>2642</v>
      </c>
    </row>
    <row r="148" spans="2:11">
      <c r="B148" s="2634"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2644</v>
      </c>
      <c r="C1" s="1631" t="s">
        <v>2532</v>
      </c>
      <c r="D1" s="1618"/>
      <c r="E1" s="2654"/>
      <c r="F1" s="2581"/>
      <c r="G1" s="1628" t="s">
        <v>2645</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8" customFormat="1" ht="28.5" customHeight="1" thickTop="1">
      <c r="A2" s="1614" t="s">
        <v>2329</v>
      </c>
      <c r="B2" s="1415" t="e">
        <f ca="1">IF(C2="——",ROUND(C49*D3/10000,0),ROUND(C49*D3/10000,0)-D2)</f>
        <v>#DIV/0!</v>
      </c>
      <c r="C2" s="2583"/>
      <c r="D2" s="1362" t="e">
        <f ca="1">SUMIF(INDIRECT("'"&amp;F2&amp;"'"&amp;"!A:A"),"承租人权益价值",INDIRECT("'"&amp;F2&amp;"'"&amp;"!c:c"))</f>
        <v>#REF!</v>
      </c>
      <c r="E2" s="2584" t="s">
        <v>2330</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2331</v>
      </c>
      <c r="B3" s="609" t="e">
        <f ca="1">IF(C2="——",C49,ROUND(B2*10000/D3,0))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182" t="s">
        <v>2649</v>
      </c>
      <c r="S4" s="3183"/>
      <c r="T4" s="3182" t="s">
        <v>2650</v>
      </c>
      <c r="U4" s="3183"/>
      <c r="V4" s="3207" t="s">
        <v>2651</v>
      </c>
      <c r="W4" s="3207"/>
      <c r="X4" s="1810"/>
      <c r="Y4" s="3182" t="s">
        <v>2653</v>
      </c>
      <c r="Z4" s="3183"/>
      <c r="AA4" s="3177" t="s">
        <v>2649</v>
      </c>
      <c r="AB4" s="3207" t="s">
        <v>2650</v>
      </c>
      <c r="AC4" s="3177" t="s">
        <v>2651</v>
      </c>
    </row>
    <row r="5" spans="1:29" ht="15">
      <c r="A5" s="404"/>
      <c r="B5" s="405"/>
      <c r="C5" s="3188" t="s">
        <v>2544</v>
      </c>
      <c r="D5" s="3189"/>
      <c r="E5" s="3186" t="s">
        <v>2545</v>
      </c>
      <c r="F5" s="3187"/>
      <c r="G5" s="3188" t="s">
        <v>2546</v>
      </c>
      <c r="H5" s="3189"/>
      <c r="I5" s="3188" t="s">
        <v>2547</v>
      </c>
      <c r="J5" s="3189"/>
      <c r="K5" s="610"/>
      <c r="L5" s="1127"/>
      <c r="M5" s="1128"/>
      <c r="N5" s="1128"/>
      <c r="O5" s="1128"/>
      <c r="P5" s="3201"/>
      <c r="Q5" s="3202"/>
      <c r="R5" s="3184"/>
      <c r="S5" s="3185"/>
      <c r="T5" s="3184"/>
      <c r="U5" s="3185"/>
      <c r="V5" s="3207"/>
      <c r="W5" s="3207"/>
      <c r="X5" s="1810"/>
      <c r="Y5" s="3184"/>
      <c r="Z5" s="3185"/>
      <c r="AA5" s="3178"/>
      <c r="AB5" s="3207"/>
      <c r="AC5" s="3178"/>
    </row>
    <row r="6" spans="1:29" ht="15.75" thickBot="1">
      <c r="A6" s="406"/>
      <c r="B6" s="407"/>
      <c r="C6" s="3190" t="s">
        <v>2548</v>
      </c>
      <c r="D6" s="3191"/>
      <c r="E6" s="3192" t="s">
        <v>2548</v>
      </c>
      <c r="F6" s="3193"/>
      <c r="G6" s="3190" t="s">
        <v>2548</v>
      </c>
      <c r="H6" s="3191"/>
      <c r="I6" s="3190" t="s">
        <v>2548</v>
      </c>
      <c r="J6" s="3191"/>
      <c r="K6" s="610" t="s">
        <v>2549</v>
      </c>
      <c r="L6" s="1127"/>
      <c r="M6" s="1128"/>
      <c r="N6" s="1128"/>
      <c r="O6" s="1128"/>
      <c r="P6" s="3203"/>
      <c r="Q6" s="3204"/>
      <c r="R6" s="3184"/>
      <c r="S6" s="3185"/>
      <c r="T6" s="3205"/>
      <c r="U6" s="3206"/>
      <c r="V6" s="3207"/>
      <c r="W6" s="3207"/>
      <c r="X6" s="1810"/>
      <c r="Y6" s="3205"/>
      <c r="Z6" s="3206"/>
      <c r="AA6" s="3179"/>
      <c r="AB6" s="3207"/>
      <c r="AC6" s="3179"/>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80" t="s">
        <v>2551</v>
      </c>
      <c r="Q7" s="3208"/>
      <c r="R7" s="770" t="s">
        <v>17</v>
      </c>
      <c r="S7" s="771">
        <f t="shared" ref="S7:S15" si="0">F7</f>
        <v>0</v>
      </c>
      <c r="T7" s="770" t="s">
        <v>17</v>
      </c>
      <c r="U7" s="771">
        <f t="shared" ref="U7:U15" si="1">H7</f>
        <v>0</v>
      </c>
      <c r="V7" s="770" t="s">
        <v>17</v>
      </c>
      <c r="W7" s="771">
        <f t="shared" ref="W7:W15" si="2">J7</f>
        <v>0</v>
      </c>
      <c r="X7" s="772"/>
      <c r="Y7" s="3180" t="s">
        <v>2551</v>
      </c>
      <c r="Z7" s="318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80" t="s">
        <v>2554</v>
      </c>
      <c r="Q8" s="3181"/>
      <c r="R8" s="770" t="s">
        <v>17</v>
      </c>
      <c r="S8" s="771">
        <f t="shared" si="0"/>
        <v>0</v>
      </c>
      <c r="T8" s="770" t="s">
        <v>17</v>
      </c>
      <c r="U8" s="771">
        <f t="shared" si="1"/>
        <v>0</v>
      </c>
      <c r="V8" s="770" t="s">
        <v>17</v>
      </c>
      <c r="W8" s="771">
        <f t="shared" si="2"/>
        <v>0</v>
      </c>
      <c r="X8" s="772"/>
      <c r="Y8" s="3180" t="s">
        <v>2554</v>
      </c>
      <c r="Z8" s="318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4" t="s">
        <v>2557</v>
      </c>
      <c r="Q9" s="1792" t="str">
        <f t="shared" ref="Q9:Q15" si="6">B9</f>
        <v>用途</v>
      </c>
      <c r="R9" s="770" t="s">
        <v>17</v>
      </c>
      <c r="S9" s="771">
        <f t="shared" si="0"/>
        <v>100</v>
      </c>
      <c r="T9" s="770" t="s">
        <v>17</v>
      </c>
      <c r="U9" s="771">
        <f t="shared" si="1"/>
        <v>100</v>
      </c>
      <c r="V9" s="770" t="s">
        <v>17</v>
      </c>
      <c r="W9" s="771">
        <f t="shared" si="2"/>
        <v>100</v>
      </c>
      <c r="X9" s="772"/>
      <c r="Y9" s="302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4"/>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4"/>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4"/>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4"/>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4"/>
      <c r="Q14" s="1792">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2561</v>
      </c>
      <c r="B15" s="69" t="s">
        <v>2655</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21" t="s">
        <v>2562</v>
      </c>
      <c r="Q15" s="1807" t="str">
        <f t="shared" si="6"/>
        <v>商业繁华度</v>
      </c>
      <c r="R15" s="774" t="s">
        <v>17</v>
      </c>
      <c r="S15" s="775">
        <f t="shared" si="0"/>
        <v>100</v>
      </c>
      <c r="T15" s="774" t="s">
        <v>17</v>
      </c>
      <c r="U15" s="775">
        <f t="shared" si="1"/>
        <v>100</v>
      </c>
      <c r="V15" s="774" t="s">
        <v>17</v>
      </c>
      <c r="W15" s="775">
        <f t="shared" si="2"/>
        <v>100</v>
      </c>
      <c r="X15" s="1810"/>
      <c r="Y15" s="3214" t="s">
        <v>2562</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22"/>
      <c r="Q16" s="1807"/>
      <c r="R16" s="774"/>
      <c r="S16" s="775"/>
      <c r="T16" s="774"/>
      <c r="U16" s="775"/>
      <c r="V16" s="774"/>
      <c r="W16" s="775"/>
      <c r="X16" s="1810"/>
      <c r="Y16" s="3215"/>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22"/>
      <c r="Q17" s="1807" t="str">
        <f>B17</f>
        <v>交通便捷度</v>
      </c>
      <c r="R17" s="774" t="s">
        <v>17</v>
      </c>
      <c r="S17" s="775">
        <f>F17</f>
        <v>100</v>
      </c>
      <c r="T17" s="774" t="s">
        <v>17</v>
      </c>
      <c r="U17" s="775">
        <f>H17</f>
        <v>100</v>
      </c>
      <c r="V17" s="774" t="s">
        <v>17</v>
      </c>
      <c r="W17" s="775">
        <f>J17</f>
        <v>100</v>
      </c>
      <c r="X17" s="1810"/>
      <c r="Y17" s="3215"/>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28"/>
      <c r="P18" s="3222"/>
      <c r="Q18" s="1807"/>
      <c r="R18" s="774"/>
      <c r="S18" s="775"/>
      <c r="T18" s="774"/>
      <c r="U18" s="775"/>
      <c r="V18" s="774"/>
      <c r="W18" s="775"/>
      <c r="X18" s="1810"/>
      <c r="Y18" s="3215"/>
      <c r="Z18" s="1811"/>
      <c r="AA18" s="1808">
        <v>1</v>
      </c>
      <c r="AB18" s="1808">
        <v>1</v>
      </c>
      <c r="AC18" s="1808">
        <v>1</v>
      </c>
    </row>
    <row r="19" spans="1:29" ht="42.75">
      <c r="A19" s="428"/>
      <c r="B19" s="451" t="s">
        <v>2656</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22"/>
      <c r="Q19" s="1807" t="str">
        <f>B19</f>
        <v>公共配套设施</v>
      </c>
      <c r="R19" s="774" t="s">
        <v>17</v>
      </c>
      <c r="S19" s="775">
        <f>F19</f>
        <v>100</v>
      </c>
      <c r="T19" s="774" t="s">
        <v>17</v>
      </c>
      <c r="U19" s="775">
        <f>H19</f>
        <v>100</v>
      </c>
      <c r="V19" s="774" t="s">
        <v>17</v>
      </c>
      <c r="W19" s="775">
        <f>J19</f>
        <v>100</v>
      </c>
      <c r="X19" s="1810"/>
      <c r="Y19" s="3215"/>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28"/>
      <c r="P20" s="3222"/>
      <c r="Q20" s="1807"/>
      <c r="R20" s="774"/>
      <c r="S20" s="775"/>
      <c r="T20" s="774"/>
      <c r="U20" s="775"/>
      <c r="V20" s="774"/>
      <c r="W20" s="775"/>
      <c r="X20" s="1810"/>
      <c r="Y20" s="3215"/>
      <c r="Z20" s="1811"/>
      <c r="AA20" s="1808">
        <v>1</v>
      </c>
      <c r="AB20" s="1808">
        <v>1</v>
      </c>
      <c r="AC20" s="1808">
        <v>1</v>
      </c>
    </row>
    <row r="21" spans="1:29" ht="28.5">
      <c r="A21" s="428"/>
      <c r="B21" s="1381" t="s">
        <v>2657</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22"/>
      <c r="Q21" s="1807" t="str">
        <f>B21</f>
        <v>基础设施水平</v>
      </c>
      <c r="R21" s="774" t="s">
        <v>17</v>
      </c>
      <c r="S21" s="775">
        <f>F21</f>
        <v>100</v>
      </c>
      <c r="T21" s="774" t="s">
        <v>17</v>
      </c>
      <c r="U21" s="775">
        <f>H21</f>
        <v>100</v>
      </c>
      <c r="V21" s="774" t="s">
        <v>17</v>
      </c>
      <c r="W21" s="775">
        <f>J21</f>
        <v>100</v>
      </c>
      <c r="X21" s="1810"/>
      <c r="Y21" s="3215"/>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28"/>
      <c r="P22" s="3222"/>
      <c r="Q22" s="1807"/>
      <c r="R22" s="774"/>
      <c r="S22" s="775"/>
      <c r="T22" s="774"/>
      <c r="U22" s="775"/>
      <c r="V22" s="774"/>
      <c r="W22" s="775"/>
      <c r="X22" s="1810"/>
      <c r="Y22" s="3215"/>
      <c r="Z22" s="1811"/>
      <c r="AA22" s="1808">
        <v>1</v>
      </c>
      <c r="AB22" s="1808">
        <v>1</v>
      </c>
      <c r="AC22" s="1808">
        <v>1</v>
      </c>
    </row>
    <row r="23" spans="1:29" ht="57">
      <c r="A23" s="428"/>
      <c r="B23" s="451" t="s">
        <v>2103</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22"/>
      <c r="Q23" s="1807" t="str">
        <f>B23</f>
        <v>自然及人文环境</v>
      </c>
      <c r="R23" s="774" t="s">
        <v>17</v>
      </c>
      <c r="S23" s="775">
        <f>F23</f>
        <v>100</v>
      </c>
      <c r="T23" s="774" t="s">
        <v>17</v>
      </c>
      <c r="U23" s="775">
        <f>H23</f>
        <v>100</v>
      </c>
      <c r="V23" s="774" t="s">
        <v>17</v>
      </c>
      <c r="W23" s="775">
        <f>J23</f>
        <v>100</v>
      </c>
      <c r="X23" s="1810"/>
      <c r="Y23" s="3215"/>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7"/>
      <c r="M24" s="1128"/>
      <c r="N24" s="1128"/>
      <c r="O24" s="1128"/>
      <c r="P24" s="3222"/>
      <c r="Q24" s="1807"/>
      <c r="R24" s="774"/>
      <c r="S24" s="775"/>
      <c r="T24" s="774"/>
      <c r="U24" s="775"/>
      <c r="V24" s="774"/>
      <c r="W24" s="775"/>
      <c r="X24" s="1810"/>
      <c r="Y24" s="3215"/>
      <c r="Z24" s="1811"/>
      <c r="AA24" s="1808">
        <v>1</v>
      </c>
      <c r="AB24" s="1808">
        <v>1</v>
      </c>
      <c r="AC24" s="1808">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22"/>
      <c r="Q25" s="1807" t="str">
        <f t="shared" ref="Q25:Q46" si="11">B25</f>
        <v>临街状况</v>
      </c>
      <c r="R25" s="774" t="s">
        <v>17</v>
      </c>
      <c r="S25" s="775">
        <f>F25</f>
        <v>100</v>
      </c>
      <c r="T25" s="774" t="s">
        <v>17</v>
      </c>
      <c r="U25" s="775">
        <f>H25</f>
        <v>100</v>
      </c>
      <c r="V25" s="774" t="s">
        <v>17</v>
      </c>
      <c r="W25" s="775">
        <f>J25</f>
        <v>100</v>
      </c>
      <c r="X25" s="1810"/>
      <c r="Y25" s="3215"/>
      <c r="Z25" s="1811" t="str">
        <f>Q25</f>
        <v>临街状况</v>
      </c>
      <c r="AA25" s="1808">
        <f t="shared" si="3"/>
        <v>1</v>
      </c>
      <c r="AB25" s="1808">
        <f t="shared" si="4"/>
        <v>1</v>
      </c>
      <c r="AC25" s="1808">
        <f t="shared" si="5"/>
        <v>1</v>
      </c>
    </row>
    <row r="26" spans="1:29" ht="15">
      <c r="A26" s="428"/>
      <c r="B26" s="1383" t="s">
        <v>2659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22"/>
      <c r="Q26" s="1807" t="str">
        <f t="shared" si="11"/>
        <v>平面位置/可视性</v>
      </c>
      <c r="R26" s="774" t="s">
        <v>17</v>
      </c>
      <c r="S26" s="775">
        <f>F26</f>
        <v>100</v>
      </c>
      <c r="T26" s="774" t="s">
        <v>17</v>
      </c>
      <c r="U26" s="775">
        <f>H26</f>
        <v>100</v>
      </c>
      <c r="V26" s="774" t="s">
        <v>17</v>
      </c>
      <c r="W26" s="775">
        <f>J26</f>
        <v>100</v>
      </c>
      <c r="X26" s="1810"/>
      <c r="Y26" s="3215"/>
      <c r="Z26" s="1811" t="str">
        <f>Q26</f>
        <v>平面位置/可视性</v>
      </c>
      <c r="AA26" s="1808">
        <f t="shared" si="3"/>
        <v>1</v>
      </c>
      <c r="AB26" s="1808">
        <f t="shared" si="4"/>
        <v>1</v>
      </c>
      <c r="AC26" s="1808">
        <f t="shared" si="5"/>
        <v>1</v>
      </c>
    </row>
    <row r="27" spans="1:29" s="117" customFormat="1" ht="15">
      <c r="A27" s="431"/>
      <c r="B27" s="451" t="s">
        <v>2660</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222"/>
      <c r="Q27" s="1792" t="str">
        <f t="shared" si="11"/>
        <v>人流量</v>
      </c>
      <c r="R27" s="770" t="s">
        <v>17</v>
      </c>
      <c r="S27" s="771">
        <f>F27</f>
        <v>100</v>
      </c>
      <c r="T27" s="770" t="s">
        <v>17</v>
      </c>
      <c r="U27" s="771">
        <f>H27</f>
        <v>100</v>
      </c>
      <c r="V27" s="770" t="s">
        <v>17</v>
      </c>
      <c r="W27" s="771">
        <f>J27</f>
        <v>100</v>
      </c>
      <c r="X27" s="772"/>
      <c r="Y27" s="3215"/>
      <c r="Z27" s="55" t="str">
        <f>Q27</f>
        <v>人流量</v>
      </c>
      <c r="AA27" s="1808">
        <f>D27/F27</f>
        <v>1</v>
      </c>
      <c r="AB27" s="1808">
        <f>D27/H27</f>
        <v>1</v>
      </c>
      <c r="AC27" s="1808">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22"/>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15"/>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22"/>
      <c r="Q29" s="1807">
        <f t="shared" si="11"/>
        <v>111</v>
      </c>
      <c r="R29" s="774" t="s">
        <v>17</v>
      </c>
      <c r="S29" s="775">
        <f t="shared" si="12"/>
        <v>100</v>
      </c>
      <c r="T29" s="774" t="s">
        <v>17</v>
      </c>
      <c r="U29" s="775">
        <f t="shared" si="13"/>
        <v>100</v>
      </c>
      <c r="V29" s="774" t="s">
        <v>17</v>
      </c>
      <c r="W29" s="775">
        <f t="shared" si="14"/>
        <v>100</v>
      </c>
      <c r="X29" s="1810"/>
      <c r="Y29" s="3215"/>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22"/>
      <c r="Q30" s="1807">
        <f t="shared" si="11"/>
        <v>111</v>
      </c>
      <c r="R30" s="774" t="s">
        <v>17</v>
      </c>
      <c r="S30" s="775">
        <f t="shared" si="12"/>
        <v>100</v>
      </c>
      <c r="T30" s="774" t="s">
        <v>17</v>
      </c>
      <c r="U30" s="775">
        <f t="shared" si="13"/>
        <v>100</v>
      </c>
      <c r="V30" s="774" t="s">
        <v>17</v>
      </c>
      <c r="W30" s="775">
        <f t="shared" si="14"/>
        <v>100</v>
      </c>
      <c r="X30" s="1810"/>
      <c r="Y30" s="3215"/>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22"/>
      <c r="Q31" s="1807">
        <f t="shared" si="11"/>
        <v>111</v>
      </c>
      <c r="R31" s="774" t="s">
        <v>17</v>
      </c>
      <c r="S31" s="775">
        <f t="shared" si="12"/>
        <v>100</v>
      </c>
      <c r="T31" s="774" t="s">
        <v>17</v>
      </c>
      <c r="U31" s="775">
        <f t="shared" si="13"/>
        <v>100</v>
      </c>
      <c r="V31" s="774" t="s">
        <v>17</v>
      </c>
      <c r="W31" s="775">
        <f t="shared" si="14"/>
        <v>100</v>
      </c>
      <c r="X31" s="1810"/>
      <c r="Y31" s="3215"/>
      <c r="Z31" s="1811">
        <f t="shared" si="15"/>
        <v>111</v>
      </c>
      <c r="AA31" s="1808">
        <f t="shared" si="3"/>
        <v>1</v>
      </c>
      <c r="AB31" s="1808">
        <f t="shared" si="4"/>
        <v>1</v>
      </c>
      <c r="AC31" s="1808">
        <f t="shared" si="5"/>
        <v>1</v>
      </c>
    </row>
    <row r="32" spans="1:29" ht="15">
      <c r="A32" s="440" t="s">
        <v>2565</v>
      </c>
      <c r="B32" s="71" t="s">
        <v>2662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216" t="s">
        <v>2567</v>
      </c>
      <c r="Q32" s="1807" t="str">
        <f t="shared" si="11"/>
        <v>商业类型</v>
      </c>
      <c r="R32" s="774" t="s">
        <v>17</v>
      </c>
      <c r="S32" s="775">
        <f t="shared" si="12"/>
        <v>100</v>
      </c>
      <c r="T32" s="774" t="s">
        <v>17</v>
      </c>
      <c r="U32" s="775">
        <f t="shared" si="13"/>
        <v>100</v>
      </c>
      <c r="V32" s="774" t="s">
        <v>17</v>
      </c>
      <c r="W32" s="775">
        <f t="shared" si="14"/>
        <v>100</v>
      </c>
      <c r="X32" s="1810"/>
      <c r="Y32" s="3219" t="s">
        <v>2567</v>
      </c>
      <c r="Z32" s="1811" t="str">
        <f t="shared" si="15"/>
        <v>商业类型</v>
      </c>
      <c r="AA32" s="1808">
        <f t="shared" si="3"/>
        <v>1</v>
      </c>
      <c r="AB32" s="1808">
        <f t="shared" si="4"/>
        <v>1</v>
      </c>
      <c r="AC32" s="1808">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08" t="e">
        <f t="shared" si="3"/>
        <v>#N/A</v>
      </c>
      <c r="AB33" s="1808" t="e">
        <f t="shared" si="4"/>
        <v>#N/A</v>
      </c>
      <c r="AC33" s="1808" t="e">
        <f t="shared" si="5"/>
        <v>#N/A</v>
      </c>
    </row>
    <row r="34" spans="1:29" ht="15">
      <c r="A34" s="472"/>
      <c r="B34" s="422" t="s">
        <v>2569</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217"/>
      <c r="Q34" s="1807" t="str">
        <f t="shared" si="11"/>
        <v>建筑结构</v>
      </c>
      <c r="R34" s="774" t="s">
        <v>17</v>
      </c>
      <c r="S34" s="775">
        <f t="shared" si="12"/>
        <v>100</v>
      </c>
      <c r="T34" s="774" t="s">
        <v>17</v>
      </c>
      <c r="U34" s="775">
        <f t="shared" si="13"/>
        <v>100</v>
      </c>
      <c r="V34" s="774" t="s">
        <v>17</v>
      </c>
      <c r="W34" s="775">
        <f t="shared" si="14"/>
        <v>100</v>
      </c>
      <c r="X34" s="1810"/>
      <c r="Y34" s="3219"/>
      <c r="Z34" s="1811" t="str">
        <f t="shared" si="15"/>
        <v>建筑结构</v>
      </c>
      <c r="AA34" s="1808">
        <f t="shared" si="3"/>
        <v>1</v>
      </c>
      <c r="AB34" s="1808">
        <f t="shared" si="4"/>
        <v>1</v>
      </c>
      <c r="AC34" s="1808">
        <f t="shared" si="5"/>
        <v>1</v>
      </c>
    </row>
    <row r="35" spans="1:29" ht="15">
      <c r="A35" s="472"/>
      <c r="B35" s="422" t="s">
        <v>2663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217"/>
      <c r="Q35" s="1807" t="str">
        <f t="shared" si="11"/>
        <v>公共部分装修</v>
      </c>
      <c r="R35" s="774" t="s">
        <v>17</v>
      </c>
      <c r="S35" s="775">
        <f t="shared" si="12"/>
        <v>100</v>
      </c>
      <c r="T35" s="774" t="s">
        <v>17</v>
      </c>
      <c r="U35" s="775">
        <f t="shared" si="13"/>
        <v>100</v>
      </c>
      <c r="V35" s="774" t="s">
        <v>17</v>
      </c>
      <c r="W35" s="775">
        <f t="shared" si="14"/>
        <v>100</v>
      </c>
      <c r="X35" s="1810"/>
      <c r="Y35" s="3219"/>
      <c r="Z35" s="1811" t="str">
        <f t="shared" si="15"/>
        <v>公共部分装修</v>
      </c>
      <c r="AA35" s="1808">
        <f t="shared" si="3"/>
        <v>1</v>
      </c>
      <c r="AB35" s="1808">
        <f t="shared" si="4"/>
        <v>1</v>
      </c>
      <c r="AC35" s="1808">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17"/>
      <c r="Q36" s="1807" t="str">
        <f t="shared" si="11"/>
        <v>成新度</v>
      </c>
      <c r="R36" s="774" t="s">
        <v>17</v>
      </c>
      <c r="S36" s="775" t="e">
        <f t="shared" si="12"/>
        <v>#N/A</v>
      </c>
      <c r="T36" s="774" t="s">
        <v>17</v>
      </c>
      <c r="U36" s="775" t="e">
        <f t="shared" si="13"/>
        <v>#N/A</v>
      </c>
      <c r="V36" s="774" t="s">
        <v>17</v>
      </c>
      <c r="W36" s="775" t="e">
        <f t="shared" si="14"/>
        <v>#N/A</v>
      </c>
      <c r="X36" s="1810"/>
      <c r="Y36" s="3219"/>
      <c r="Z36" s="1811" t="str">
        <f t="shared" si="15"/>
        <v>成新度</v>
      </c>
      <c r="AA36" s="1808" t="e">
        <f t="shared" si="3"/>
        <v>#N/A</v>
      </c>
      <c r="AB36" s="1808" t="e">
        <f t="shared" si="4"/>
        <v>#N/A</v>
      </c>
      <c r="AC36" s="1808" t="e">
        <f t="shared" si="5"/>
        <v>#N/A</v>
      </c>
    </row>
    <row r="37" spans="1:29" s="117" customFormat="1" ht="15">
      <c r="A37" s="473"/>
      <c r="B37" s="422" t="s">
        <v>2665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217"/>
      <c r="Q37" s="1792"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217" t="s">
        <v>2567</v>
      </c>
      <c r="Q38" s="1807" t="str">
        <f t="shared" si="11"/>
        <v>业态</v>
      </c>
      <c r="R38" s="774" t="s">
        <v>17</v>
      </c>
      <c r="S38" s="775">
        <f t="shared" si="12"/>
        <v>100</v>
      </c>
      <c r="T38" s="774" t="s">
        <v>17</v>
      </c>
      <c r="U38" s="775">
        <f t="shared" si="13"/>
        <v>100</v>
      </c>
      <c r="V38" s="774" t="s">
        <v>17</v>
      </c>
      <c r="W38" s="775">
        <f t="shared" si="14"/>
        <v>100</v>
      </c>
      <c r="X38" s="1810"/>
      <c r="Y38" s="3219" t="s">
        <v>2567</v>
      </c>
      <c r="Z38" s="1811" t="str">
        <f t="shared" si="15"/>
        <v>业态</v>
      </c>
      <c r="AA38" s="1808">
        <f t="shared" si="3"/>
        <v>1</v>
      </c>
      <c r="AB38" s="1808">
        <f t="shared" si="4"/>
        <v>1</v>
      </c>
      <c r="AC38" s="1808">
        <f t="shared" si="5"/>
        <v>1</v>
      </c>
    </row>
    <row r="39" spans="1:29" ht="15">
      <c r="A39" s="472"/>
      <c r="B39" s="422" t="s">
        <v>2667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217"/>
      <c r="Q39" s="1807" t="str">
        <f t="shared" si="11"/>
        <v>层高</v>
      </c>
      <c r="R39" s="774" t="s">
        <v>17</v>
      </c>
      <c r="S39" s="775">
        <f t="shared" si="12"/>
        <v>100</v>
      </c>
      <c r="T39" s="774" t="s">
        <v>17</v>
      </c>
      <c r="U39" s="775">
        <f t="shared" si="13"/>
        <v>100</v>
      </c>
      <c r="V39" s="774" t="s">
        <v>17</v>
      </c>
      <c r="W39" s="775">
        <f t="shared" si="14"/>
        <v>100</v>
      </c>
      <c r="X39" s="1810"/>
      <c r="Y39" s="3219"/>
      <c r="Z39" s="1811" t="str">
        <f t="shared" si="15"/>
        <v>层高</v>
      </c>
      <c r="AA39" s="1808">
        <f t="shared" si="3"/>
        <v>1</v>
      </c>
      <c r="AB39" s="1808">
        <f t="shared" si="4"/>
        <v>1</v>
      </c>
      <c r="AC39" s="1808">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17"/>
      <c r="Q40" s="1807" t="str">
        <f t="shared" si="11"/>
        <v>单套建筑面积</v>
      </c>
      <c r="R40" s="774" t="s">
        <v>17</v>
      </c>
      <c r="S40" s="775">
        <f t="shared" si="12"/>
        <v>100</v>
      </c>
      <c r="T40" s="774" t="s">
        <v>17</v>
      </c>
      <c r="U40" s="775">
        <f t="shared" si="13"/>
        <v>100</v>
      </c>
      <c r="V40" s="774" t="s">
        <v>17</v>
      </c>
      <c r="W40" s="775">
        <f t="shared" si="14"/>
        <v>100</v>
      </c>
      <c r="X40" s="1810"/>
      <c r="Y40" s="3219"/>
      <c r="Z40" s="1811" t="str">
        <f t="shared" si="15"/>
        <v>单套建筑面积</v>
      </c>
      <c r="AA40" s="1808">
        <f t="shared" si="3"/>
        <v>1</v>
      </c>
      <c r="AB40" s="1808">
        <f t="shared" si="4"/>
        <v>1</v>
      </c>
      <c r="AC40" s="1808">
        <f t="shared" si="5"/>
        <v>1</v>
      </c>
    </row>
    <row r="41" spans="1:29" s="471" customFormat="1" ht="15">
      <c r="A41" s="468"/>
      <c r="B41" s="1809"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08">
        <f t="shared" si="3"/>
        <v>1</v>
      </c>
      <c r="AB41" s="1808">
        <f t="shared" si="4"/>
        <v>1</v>
      </c>
      <c r="AC41" s="1808">
        <f t="shared" si="5"/>
        <v>1</v>
      </c>
    </row>
    <row r="42" spans="1:29" ht="15">
      <c r="A42" s="472"/>
      <c r="B42" s="422" t="s">
        <v>2670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217"/>
      <c r="Q42" s="1807" t="str">
        <f t="shared" si="11"/>
        <v>内部装修</v>
      </c>
      <c r="R42" s="774" t="s">
        <v>17</v>
      </c>
      <c r="S42" s="775">
        <f t="shared" si="12"/>
        <v>100</v>
      </c>
      <c r="T42" s="774" t="s">
        <v>17</v>
      </c>
      <c r="U42" s="775">
        <f t="shared" si="13"/>
        <v>100</v>
      </c>
      <c r="V42" s="774" t="s">
        <v>17</v>
      </c>
      <c r="W42" s="775">
        <f t="shared" si="14"/>
        <v>100</v>
      </c>
      <c r="X42" s="1810"/>
      <c r="Y42" s="3219"/>
      <c r="Z42" s="1811" t="str">
        <f t="shared" si="15"/>
        <v>内部装修</v>
      </c>
      <c r="AA42" s="1808">
        <f t="shared" si="3"/>
        <v>1</v>
      </c>
      <c r="AB42" s="1808">
        <f t="shared" si="4"/>
        <v>1</v>
      </c>
      <c r="AC42" s="1808">
        <f t="shared" si="5"/>
        <v>1</v>
      </c>
    </row>
    <row r="43" spans="1:29" ht="15">
      <c r="A43" s="472"/>
      <c r="B43" s="422" t="s">
        <v>2578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217"/>
      <c r="Q43" s="1807" t="str">
        <f t="shared" si="11"/>
        <v>内部装修维护情况</v>
      </c>
      <c r="R43" s="774" t="s">
        <v>17</v>
      </c>
      <c r="S43" s="775">
        <f t="shared" si="12"/>
        <v>100</v>
      </c>
      <c r="T43" s="774" t="s">
        <v>17</v>
      </c>
      <c r="U43" s="775">
        <f t="shared" si="13"/>
        <v>100</v>
      </c>
      <c r="V43" s="774" t="s">
        <v>17</v>
      </c>
      <c r="W43" s="775">
        <f t="shared" si="14"/>
        <v>100</v>
      </c>
      <c r="X43" s="1810"/>
      <c r="Y43" s="3219"/>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7"/>
      <c r="Q44" s="1792">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7"/>
      <c r="Q45" s="1807">
        <f t="shared" si="11"/>
        <v>111</v>
      </c>
      <c r="R45" s="774" t="s">
        <v>17</v>
      </c>
      <c r="S45" s="775">
        <f t="shared" si="12"/>
        <v>100</v>
      </c>
      <c r="T45" s="774" t="s">
        <v>17</v>
      </c>
      <c r="U45" s="775">
        <f t="shared" si="13"/>
        <v>100</v>
      </c>
      <c r="V45" s="774" t="s">
        <v>17</v>
      </c>
      <c r="W45" s="775">
        <f t="shared" si="14"/>
        <v>100</v>
      </c>
      <c r="X45" s="1810"/>
      <c r="Y45" s="3219"/>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8"/>
      <c r="Q46" s="1807">
        <f t="shared" si="11"/>
        <v>111</v>
      </c>
      <c r="R46" s="774" t="s">
        <v>17</v>
      </c>
      <c r="S46" s="775">
        <f t="shared" si="12"/>
        <v>100</v>
      </c>
      <c r="T46" s="774" t="s">
        <v>17</v>
      </c>
      <c r="U46" s="775">
        <f t="shared" si="13"/>
        <v>100</v>
      </c>
      <c r="V46" s="774" t="s">
        <v>17</v>
      </c>
      <c r="W46" s="775">
        <f t="shared" si="14"/>
        <v>100</v>
      </c>
      <c r="X46" s="1810"/>
      <c r="Y46" s="3220"/>
      <c r="Z46" s="1811">
        <f t="shared" si="15"/>
        <v>111</v>
      </c>
      <c r="AA46" s="1808">
        <f t="shared" si="3"/>
        <v>1</v>
      </c>
      <c r="AB46" s="1808">
        <f t="shared" si="4"/>
        <v>1</v>
      </c>
      <c r="AC46" s="1808">
        <f t="shared" si="5"/>
        <v>1</v>
      </c>
    </row>
    <row r="47" spans="1:29" ht="15">
      <c r="A47" s="479" t="s">
        <v>2579</v>
      </c>
      <c r="B47" s="480"/>
      <c r="C47" s="1404" t="s">
        <v>1</v>
      </c>
      <c r="D47" s="1405"/>
      <c r="E47" s="1406"/>
      <c r="F47" s="1407"/>
      <c r="G47" s="1408"/>
      <c r="H47" s="1409"/>
      <c r="I47" s="1406"/>
      <c r="J47" s="1409"/>
      <c r="K47" s="783"/>
      <c r="L47" s="1140"/>
      <c r="M47" s="1141"/>
      <c r="N47" s="1128"/>
      <c r="O47" s="1141"/>
      <c r="P47" s="3212" t="str">
        <f>A47</f>
        <v>成交单价（元/平方米）</v>
      </c>
      <c r="Q47" s="3212"/>
      <c r="R47" s="3207">
        <f>E47</f>
        <v>0</v>
      </c>
      <c r="S47" s="3207"/>
      <c r="T47" s="3207">
        <f>G47</f>
        <v>0</v>
      </c>
      <c r="U47" s="3207"/>
      <c r="V47" s="3207">
        <f>I47</f>
        <v>0</v>
      </c>
      <c r="W47" s="3207"/>
      <c r="X47" s="759"/>
      <c r="Y47" s="781"/>
      <c r="Z47" s="759"/>
      <c r="AA47" s="759"/>
      <c r="AB47" s="759"/>
      <c r="AC47" s="759"/>
    </row>
    <row r="48" spans="1:29" ht="15.75" thickBot="1">
      <c r="A48" s="486" t="s">
        <v>2671</v>
      </c>
      <c r="B48" s="487"/>
      <c r="C48" s="1410" t="e">
        <f>R49</f>
        <v>#DIV/0!</v>
      </c>
      <c r="D48" s="1411"/>
      <c r="E48" s="1412" t="e">
        <f>R48</f>
        <v>#DIV/0!</v>
      </c>
      <c r="F48" s="1412"/>
      <c r="G48" s="1410" t="e">
        <f>T48</f>
        <v>#DIV/0!</v>
      </c>
      <c r="H48" s="1411"/>
      <c r="I48" s="1412" t="e">
        <f>V48</f>
        <v>#DIV/0!</v>
      </c>
      <c r="J48" s="1411"/>
      <c r="K48" s="784"/>
      <c r="L48" s="1140"/>
      <c r="M48" s="1141"/>
      <c r="N48" s="1128"/>
      <c r="O48" s="1141"/>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2672</v>
      </c>
      <c r="B49" s="493"/>
      <c r="C49" s="1414" t="e">
        <f>R49</f>
        <v>#DIV/0!</v>
      </c>
      <c r="D49" s="1414"/>
      <c r="E49" s="1414"/>
      <c r="F49" s="1414"/>
      <c r="G49" s="1414"/>
      <c r="H49" s="1414"/>
      <c r="I49" s="1414"/>
      <c r="J49" s="1414"/>
      <c r="K49" s="785"/>
      <c r="L49" s="1140"/>
      <c r="M49" s="1141"/>
      <c r="N49" s="1128"/>
      <c r="O49" s="1141"/>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58"/>
      <c r="M57" s="1156"/>
      <c r="N57" s="1156"/>
      <c r="O57" s="1156"/>
      <c r="P57" s="2664"/>
      <c r="Q57" s="2665"/>
      <c r="R57" s="759"/>
      <c r="S57" s="759"/>
      <c r="T57" s="759"/>
      <c r="U57" s="759"/>
      <c r="V57" s="759"/>
      <c r="W57" s="759"/>
      <c r="X57" s="759"/>
      <c r="Y57" s="759"/>
      <c r="Z57" s="759"/>
      <c r="AA57" s="759"/>
      <c r="AB57" s="759"/>
      <c r="AC57" s="759"/>
    </row>
    <row r="58" spans="1:29" s="508" customFormat="1" ht="15">
      <c r="A58" s="505" t="s">
        <v>2550</v>
      </c>
      <c r="B58" s="506"/>
      <c r="C58" s="1571" t="str">
        <f>YEAR(C7)&amp;"-"&amp;MONTH(C7)</f>
        <v>2018-5</v>
      </c>
      <c r="D58" s="1572">
        <f>EDATE(C58,-1)</f>
        <v>43191</v>
      </c>
      <c r="E58" s="1572">
        <f t="shared" ref="E58:N58" si="16">EDATE(D58,-1)</f>
        <v>43160</v>
      </c>
      <c r="F58" s="1572">
        <f t="shared" si="16"/>
        <v>43132</v>
      </c>
      <c r="G58" s="1572">
        <f t="shared" si="16"/>
        <v>43101</v>
      </c>
      <c r="H58" s="1572">
        <f t="shared" si="16"/>
        <v>43070</v>
      </c>
      <c r="I58" s="1572">
        <f t="shared" si="16"/>
        <v>43040</v>
      </c>
      <c r="J58" s="1572">
        <f t="shared" si="16"/>
        <v>43009</v>
      </c>
      <c r="K58" s="1572">
        <f t="shared" si="16"/>
        <v>42979</v>
      </c>
      <c r="L58" s="1572">
        <f t="shared" si="16"/>
        <v>42948</v>
      </c>
      <c r="M58" s="1572">
        <f t="shared" si="16"/>
        <v>42917</v>
      </c>
      <c r="N58" s="1572">
        <f t="shared" si="16"/>
        <v>42887</v>
      </c>
      <c r="O58" s="1572">
        <f>EDATE(N58,-1)</f>
        <v>42856</v>
      </c>
      <c r="P58" s="1567"/>
    </row>
    <row r="59" spans="1:29" s="117" customFormat="1" ht="15">
      <c r="A59" s="509"/>
      <c r="B59" s="510"/>
      <c r="C59" s="1570">
        <v>100</v>
      </c>
      <c r="D59" s="512"/>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2552</v>
      </c>
      <c r="B61" s="510"/>
      <c r="C61" s="522" t="s">
        <v>2654</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2657</v>
      </c>
      <c r="C82" s="660" t="s">
        <v>2677</v>
      </c>
      <c r="D82" s="660" t="s">
        <v>2678</v>
      </c>
      <c r="E82" s="660" t="s">
        <v>2679</v>
      </c>
      <c r="F82" s="660" t="s">
        <v>2680</v>
      </c>
      <c r="G82" s="660" t="s">
        <v>2681</v>
      </c>
      <c r="H82" s="539"/>
      <c r="I82" s="539"/>
      <c r="J82" s="539"/>
      <c r="K82" s="539"/>
      <c r="L82" s="539"/>
      <c r="M82" s="1379"/>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2682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2565</v>
      </c>
      <c r="B100" s="528" t="s">
        <v>2683</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2618</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2620</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2684</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2685</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2686</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2687</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3" sqref="C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2688</v>
      </c>
      <c r="C1" s="1617" t="s">
        <v>2532</v>
      </c>
      <c r="D1" s="1618"/>
      <c r="E1" s="1627"/>
      <c r="F1" s="2581" t="s">
        <v>3101</v>
      </c>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IF(C2="——",ROUND(C50*D3/10000,0),ROUND(C50*D3/10000,0)-D2)</f>
        <v>#DIV/0!</v>
      </c>
      <c r="C2" s="2583" t="s">
        <v>70</v>
      </c>
      <c r="D2" s="1362" t="e">
        <f ca="1">SUMIF(INDIRECT("'"&amp;F2&amp;"'"&amp;"!A:A"),"承租人权益价值",INDIRECT("'"&amp;F2&amp;"'"&amp;"!c:c"))</f>
        <v>#REF!</v>
      </c>
      <c r="E2" s="2584" t="s">
        <v>2330</v>
      </c>
      <c r="F2" s="2585" t="s">
        <v>3102</v>
      </c>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IF(C2="——",C50,ROUND(B2*10000/D3,0))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231" t="s">
        <v>2653</v>
      </c>
      <c r="Q4" s="3232"/>
      <c r="R4" s="3224" t="s">
        <v>2649</v>
      </c>
      <c r="S4" s="3225"/>
      <c r="T4" s="3224" t="s">
        <v>2650</v>
      </c>
      <c r="U4" s="3225"/>
      <c r="V4" s="3235" t="s">
        <v>2651</v>
      </c>
      <c r="W4" s="3235"/>
      <c r="X4" s="2667"/>
      <c r="Y4" s="3224" t="s">
        <v>2653</v>
      </c>
      <c r="Z4" s="3225"/>
      <c r="AA4" s="3223" t="s">
        <v>2649</v>
      </c>
      <c r="AB4" s="3223" t="s">
        <v>2650</v>
      </c>
      <c r="AC4" s="3228" t="s">
        <v>2651</v>
      </c>
    </row>
    <row r="5" spans="1:29" ht="15">
      <c r="A5" s="404"/>
      <c r="B5" s="405"/>
      <c r="C5" s="3226" t="s">
        <v>3103</v>
      </c>
      <c r="D5" s="3189"/>
      <c r="E5" s="3186" t="s">
        <v>2545</v>
      </c>
      <c r="F5" s="3187"/>
      <c r="G5" s="3188" t="s">
        <v>2546</v>
      </c>
      <c r="H5" s="3189"/>
      <c r="I5" s="3188" t="s">
        <v>2547</v>
      </c>
      <c r="J5" s="3189"/>
      <c r="K5" s="610"/>
      <c r="L5" s="1127"/>
      <c r="M5" s="1128"/>
      <c r="N5" s="1128"/>
      <c r="O5" s="1128"/>
      <c r="P5" s="3233"/>
      <c r="Q5" s="3202"/>
      <c r="R5" s="3184"/>
      <c r="S5" s="3185"/>
      <c r="T5" s="3184"/>
      <c r="U5" s="3185"/>
      <c r="V5" s="3207"/>
      <c r="W5" s="3207"/>
      <c r="X5" s="1810"/>
      <c r="Y5" s="3184"/>
      <c r="Z5" s="3185"/>
      <c r="AA5" s="3178"/>
      <c r="AB5" s="3178"/>
      <c r="AC5" s="3229"/>
    </row>
    <row r="6" spans="1:29" ht="15.75" thickBot="1">
      <c r="A6" s="406"/>
      <c r="B6" s="407"/>
      <c r="C6" s="3227" t="s">
        <v>678</v>
      </c>
      <c r="D6" s="3191"/>
      <c r="E6" s="3192" t="s">
        <v>2548</v>
      </c>
      <c r="F6" s="3193"/>
      <c r="G6" s="3190" t="s">
        <v>2548</v>
      </c>
      <c r="H6" s="3191"/>
      <c r="I6" s="3190" t="s">
        <v>2548</v>
      </c>
      <c r="J6" s="3191"/>
      <c r="K6" s="610" t="s">
        <v>2549</v>
      </c>
      <c r="L6" s="1127"/>
      <c r="M6" s="1128"/>
      <c r="N6" s="1128"/>
      <c r="O6" s="1128"/>
      <c r="P6" s="3234"/>
      <c r="Q6" s="3204"/>
      <c r="R6" s="3184"/>
      <c r="S6" s="3185"/>
      <c r="T6" s="3205"/>
      <c r="U6" s="3206"/>
      <c r="V6" s="3207"/>
      <c r="W6" s="3207"/>
      <c r="X6" s="1810"/>
      <c r="Y6" s="3205"/>
      <c r="Z6" s="3206"/>
      <c r="AA6" s="3179"/>
      <c r="AB6" s="3179"/>
      <c r="AC6" s="3230"/>
    </row>
    <row r="7" spans="1:29" s="117" customFormat="1" ht="15.75" thickBot="1">
      <c r="A7" s="408" t="s">
        <v>2550</v>
      </c>
      <c r="B7" s="409"/>
      <c r="C7" s="410">
        <f>'数据-取费表'!B2</f>
        <v>43238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36" t="s">
        <v>2551</v>
      </c>
      <c r="Q7" s="3208"/>
      <c r="R7" s="770" t="s">
        <v>17</v>
      </c>
      <c r="S7" s="771">
        <f t="shared" ref="S7:S15" si="0">F7</f>
        <v>0</v>
      </c>
      <c r="T7" s="770" t="s">
        <v>17</v>
      </c>
      <c r="U7" s="771">
        <f t="shared" ref="U7:U15" si="1">H7</f>
        <v>0</v>
      </c>
      <c r="V7" s="770" t="s">
        <v>17</v>
      </c>
      <c r="W7" s="771">
        <f t="shared" ref="W7:W15" si="2">J7</f>
        <v>0</v>
      </c>
      <c r="X7" s="772"/>
      <c r="Y7" s="3180" t="s">
        <v>2551</v>
      </c>
      <c r="Z7" s="3181"/>
      <c r="AA7" s="773" t="e">
        <f>D7/F7</f>
        <v>#DIV/0!</v>
      </c>
      <c r="AB7" s="773" t="e">
        <f>D7/H7</f>
        <v>#DIV/0!</v>
      </c>
      <c r="AC7" s="2668"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36" t="s">
        <v>2554</v>
      </c>
      <c r="Q8" s="3181"/>
      <c r="R8" s="770" t="s">
        <v>17</v>
      </c>
      <c r="S8" s="771">
        <f t="shared" si="0"/>
        <v>0</v>
      </c>
      <c r="T8" s="770" t="s">
        <v>17</v>
      </c>
      <c r="U8" s="771">
        <f t="shared" si="1"/>
        <v>0</v>
      </c>
      <c r="V8" s="770" t="s">
        <v>17</v>
      </c>
      <c r="W8" s="771">
        <f t="shared" si="2"/>
        <v>0</v>
      </c>
      <c r="X8" s="772"/>
      <c r="Y8" s="3180" t="s">
        <v>2554</v>
      </c>
      <c r="Z8" s="3181"/>
      <c r="AA8" s="773" t="e">
        <f t="shared" ref="AA8:AA47" si="3">D8/F8</f>
        <v>#DIV/0!</v>
      </c>
      <c r="AB8" s="773" t="e">
        <f t="shared" ref="AB8:AB47" si="4">D8/H8</f>
        <v>#DIV/0!</v>
      </c>
      <c r="AC8" s="2668" t="e">
        <f t="shared" ref="AC8:AC47" si="5">D8/J8</f>
        <v>#DIV/0!</v>
      </c>
    </row>
    <row r="9" spans="1:29" s="117" customFormat="1">
      <c r="A9" s="415" t="s">
        <v>2555</v>
      </c>
      <c r="B9" s="71" t="s">
        <v>2556</v>
      </c>
      <c r="C9" s="2960" t="s">
        <v>3104</v>
      </c>
      <c r="D9" s="135">
        <v>100</v>
      </c>
      <c r="E9" s="419"/>
      <c r="F9" s="135">
        <f>SUMIF(64:64,E9,65:65)-SUMIF(64:64,C9,65:65)+100</f>
        <v>0</v>
      </c>
      <c r="G9" s="417"/>
      <c r="H9" s="135">
        <f>SUMIF(64:64,G9,65:65)-SUMIF(64:64,C9,65:65)+100</f>
        <v>0</v>
      </c>
      <c r="I9" s="417"/>
      <c r="J9" s="135">
        <f>SUMIF(64:64,I9,65:65)-SUMIF(64:64,C9,65:65)+100</f>
        <v>0</v>
      </c>
      <c r="K9" s="611"/>
      <c r="L9" s="1129"/>
      <c r="M9" s="1130"/>
      <c r="N9" s="1130"/>
      <c r="O9" s="1130"/>
      <c r="P9" s="3194" t="s">
        <v>2557</v>
      </c>
      <c r="Q9" s="1792" t="str">
        <f t="shared" ref="Q9:Q15" si="6">B9</f>
        <v>用途</v>
      </c>
      <c r="R9" s="770" t="s">
        <v>17</v>
      </c>
      <c r="S9" s="771">
        <f t="shared" si="0"/>
        <v>0</v>
      </c>
      <c r="T9" s="770" t="s">
        <v>17</v>
      </c>
      <c r="U9" s="771">
        <f t="shared" si="1"/>
        <v>0</v>
      </c>
      <c r="V9" s="770" t="s">
        <v>17</v>
      </c>
      <c r="W9" s="771">
        <f t="shared" si="2"/>
        <v>0</v>
      </c>
      <c r="X9" s="772"/>
      <c r="Y9" s="3027" t="s">
        <v>2558</v>
      </c>
      <c r="Z9" s="55" t="str">
        <f t="shared" ref="Z9:Z15" si="7">Q9</f>
        <v>用途</v>
      </c>
      <c r="AA9" s="773" t="e">
        <f t="shared" si="3"/>
        <v>#DIV/0!</v>
      </c>
      <c r="AB9" s="773" t="e">
        <f t="shared" si="4"/>
        <v>#DIV/0!</v>
      </c>
      <c r="AC9" s="2668" t="e">
        <f t="shared" si="5"/>
        <v>#DIV/0!</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4"/>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8">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4"/>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194"/>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194"/>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194"/>
      <c r="Q14" s="1792">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8">
        <f t="shared" si="5"/>
        <v>1</v>
      </c>
    </row>
    <row r="15" spans="1:29" ht="71.25">
      <c r="A15" s="440" t="s">
        <v>2561</v>
      </c>
      <c r="B15" s="629" t="s">
        <v>2689</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21" t="s">
        <v>2562</v>
      </c>
      <c r="Q15" s="1807" t="str">
        <f t="shared" si="6"/>
        <v>办公集聚程度</v>
      </c>
      <c r="R15" s="774" t="s">
        <v>17</v>
      </c>
      <c r="S15" s="775">
        <f t="shared" si="0"/>
        <v>100</v>
      </c>
      <c r="T15" s="774" t="s">
        <v>17</v>
      </c>
      <c r="U15" s="775">
        <f t="shared" si="1"/>
        <v>100</v>
      </c>
      <c r="V15" s="774" t="s">
        <v>17</v>
      </c>
      <c r="W15" s="775">
        <f t="shared" si="2"/>
        <v>100</v>
      </c>
      <c r="X15" s="1810"/>
      <c r="Y15" s="3214" t="s">
        <v>2562</v>
      </c>
      <c r="Z15" s="1811" t="str">
        <f t="shared" si="7"/>
        <v>办公集聚程度</v>
      </c>
      <c r="AA15" s="1808">
        <f t="shared" si="3"/>
        <v>1</v>
      </c>
      <c r="AB15" s="1808">
        <f t="shared" si="4"/>
        <v>1</v>
      </c>
      <c r="AC15" s="2671">
        <f t="shared" si="5"/>
        <v>1</v>
      </c>
    </row>
    <row r="16" spans="1:29" ht="15">
      <c r="A16" s="428"/>
      <c r="B16" s="630"/>
      <c r="C16" s="2608"/>
      <c r="D16" s="448"/>
      <c r="E16" s="447"/>
      <c r="F16" s="448"/>
      <c r="G16" s="2608"/>
      <c r="H16" s="450"/>
      <c r="I16" s="447"/>
      <c r="J16" s="448"/>
      <c r="K16" s="615"/>
      <c r="L16" s="1137"/>
      <c r="M16" s="1128"/>
      <c r="N16" s="1128"/>
      <c r="O16" s="1128"/>
      <c r="P16" s="3222"/>
      <c r="Q16" s="1807"/>
      <c r="R16" s="774"/>
      <c r="S16" s="775"/>
      <c r="T16" s="774"/>
      <c r="U16" s="775"/>
      <c r="V16" s="774"/>
      <c r="W16" s="775"/>
      <c r="X16" s="1810"/>
      <c r="Y16" s="3215"/>
      <c r="Z16" s="1811"/>
      <c r="AA16" s="1808">
        <v>1</v>
      </c>
      <c r="AB16" s="1808">
        <v>1</v>
      </c>
      <c r="AC16" s="2671">
        <v>1</v>
      </c>
    </row>
    <row r="17" spans="1:29" ht="71.25">
      <c r="A17" s="428"/>
      <c r="B17" s="631" t="s">
        <v>2098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22"/>
      <c r="Q17" s="1807" t="str">
        <f>B17</f>
        <v>交通便捷度</v>
      </c>
      <c r="R17" s="774" t="s">
        <v>17</v>
      </c>
      <c r="S17" s="775">
        <f>F17</f>
        <v>100</v>
      </c>
      <c r="T17" s="774" t="s">
        <v>17</v>
      </c>
      <c r="U17" s="775">
        <f>H17</f>
        <v>100</v>
      </c>
      <c r="V17" s="774" t="s">
        <v>17</v>
      </c>
      <c r="W17" s="775">
        <f>J17</f>
        <v>100</v>
      </c>
      <c r="X17" s="1810"/>
      <c r="Y17" s="3215"/>
      <c r="Z17" s="1811" t="str">
        <f>Q17</f>
        <v>交通便捷度</v>
      </c>
      <c r="AA17" s="1808">
        <f t="shared" si="3"/>
        <v>1</v>
      </c>
      <c r="AB17" s="1808">
        <f t="shared" si="4"/>
        <v>1</v>
      </c>
      <c r="AC17" s="2671">
        <f t="shared" si="5"/>
        <v>1</v>
      </c>
    </row>
    <row r="18" spans="1:29" ht="15">
      <c r="A18" s="428"/>
      <c r="B18" s="632"/>
      <c r="C18" s="2673"/>
      <c r="D18" s="450"/>
      <c r="E18" s="2606"/>
      <c r="F18" s="450"/>
      <c r="G18" s="2607"/>
      <c r="H18" s="448"/>
      <c r="I18" s="2607"/>
      <c r="J18" s="448"/>
      <c r="K18" s="615"/>
      <c r="L18" s="1137"/>
      <c r="M18" s="1128"/>
      <c r="N18" s="1128"/>
      <c r="O18" s="1128"/>
      <c r="P18" s="3222"/>
      <c r="Q18" s="1807"/>
      <c r="R18" s="774"/>
      <c r="S18" s="775"/>
      <c r="T18" s="774"/>
      <c r="U18" s="775"/>
      <c r="V18" s="774"/>
      <c r="W18" s="775"/>
      <c r="X18" s="1810"/>
      <c r="Y18" s="3215"/>
      <c r="Z18" s="1811"/>
      <c r="AA18" s="1808">
        <v>1</v>
      </c>
      <c r="AB18" s="1808">
        <v>1</v>
      </c>
      <c r="AC18" s="2671">
        <v>1</v>
      </c>
    </row>
    <row r="19" spans="1:29" ht="42.75">
      <c r="A19" s="428"/>
      <c r="B19" s="631" t="s">
        <v>2690</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22"/>
      <c r="Q19" s="1807" t="str">
        <f>B19</f>
        <v>公共配套设施</v>
      </c>
      <c r="R19" s="774" t="s">
        <v>17</v>
      </c>
      <c r="S19" s="775">
        <f>F19</f>
        <v>100</v>
      </c>
      <c r="T19" s="774" t="s">
        <v>17</v>
      </c>
      <c r="U19" s="775">
        <f>H19</f>
        <v>100</v>
      </c>
      <c r="V19" s="774" t="s">
        <v>17</v>
      </c>
      <c r="W19" s="775">
        <f>J19</f>
        <v>100</v>
      </c>
      <c r="X19" s="1810"/>
      <c r="Y19" s="3215"/>
      <c r="Z19" s="1811" t="str">
        <f>Q19</f>
        <v>公共配套设施</v>
      </c>
      <c r="AA19" s="1808">
        <f t="shared" si="3"/>
        <v>1</v>
      </c>
      <c r="AB19" s="1808">
        <f t="shared" si="4"/>
        <v>1</v>
      </c>
      <c r="AC19" s="2671">
        <f t="shared" si="5"/>
        <v>1</v>
      </c>
    </row>
    <row r="20" spans="1:29" ht="15">
      <c r="A20" s="428"/>
      <c r="B20" s="632"/>
      <c r="C20" s="2608"/>
      <c r="D20" s="448"/>
      <c r="E20" s="2601"/>
      <c r="F20" s="448"/>
      <c r="G20" s="2602"/>
      <c r="H20" s="448"/>
      <c r="I20" s="2602"/>
      <c r="J20" s="448"/>
      <c r="K20" s="615"/>
      <c r="L20" s="1137"/>
      <c r="M20" s="1128"/>
      <c r="N20" s="1128"/>
      <c r="O20" s="1128"/>
      <c r="P20" s="3222"/>
      <c r="Q20" s="1807"/>
      <c r="R20" s="774"/>
      <c r="S20" s="775"/>
      <c r="T20" s="774"/>
      <c r="U20" s="775"/>
      <c r="V20" s="774"/>
      <c r="W20" s="775"/>
      <c r="X20" s="1810"/>
      <c r="Y20" s="3215"/>
      <c r="Z20" s="1811"/>
      <c r="AA20" s="1808">
        <v>1</v>
      </c>
      <c r="AB20" s="1808">
        <v>1</v>
      </c>
      <c r="AC20" s="2671">
        <v>1</v>
      </c>
    </row>
    <row r="21" spans="1:29" ht="28.5">
      <c r="A21" s="428"/>
      <c r="B21" s="633" t="s">
        <v>2691</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22"/>
      <c r="Q21" s="1807" t="str">
        <f>B21</f>
        <v>基础设施水平</v>
      </c>
      <c r="R21" s="774" t="s">
        <v>17</v>
      </c>
      <c r="S21" s="775">
        <f>F21</f>
        <v>100</v>
      </c>
      <c r="T21" s="774" t="s">
        <v>17</v>
      </c>
      <c r="U21" s="775">
        <f>H21</f>
        <v>100</v>
      </c>
      <c r="V21" s="774" t="s">
        <v>17</v>
      </c>
      <c r="W21" s="775">
        <f>J21</f>
        <v>100</v>
      </c>
      <c r="X21" s="1810"/>
      <c r="Y21" s="3215"/>
      <c r="Z21" s="1811" t="str">
        <f>Q21</f>
        <v>基础设施水平</v>
      </c>
      <c r="AA21" s="1808">
        <f t="shared" ref="AA21" si="8">D21/F21</f>
        <v>1</v>
      </c>
      <c r="AB21" s="1808">
        <f t="shared" ref="AB21" si="9">D21/H21</f>
        <v>1</v>
      </c>
      <c r="AC21" s="2671">
        <f t="shared" ref="AC21" si="10">D21/J21</f>
        <v>1</v>
      </c>
    </row>
    <row r="22" spans="1:29" ht="15">
      <c r="A22" s="428"/>
      <c r="B22" s="633"/>
      <c r="C22" s="2673"/>
      <c r="D22" s="448"/>
      <c r="E22" s="447"/>
      <c r="F22" s="448"/>
      <c r="G22" s="2608"/>
      <c r="H22" s="448"/>
      <c r="I22" s="2608"/>
      <c r="J22" s="448"/>
      <c r="K22" s="1380"/>
      <c r="L22" s="1137"/>
      <c r="M22" s="1128"/>
      <c r="N22" s="1128"/>
      <c r="O22" s="1128"/>
      <c r="P22" s="3222"/>
      <c r="Q22" s="1807"/>
      <c r="R22" s="774"/>
      <c r="S22" s="775"/>
      <c r="T22" s="774"/>
      <c r="U22" s="775"/>
      <c r="V22" s="774"/>
      <c r="W22" s="775"/>
      <c r="X22" s="1810"/>
      <c r="Y22" s="3215"/>
      <c r="Z22" s="1811"/>
      <c r="AA22" s="1808">
        <v>1</v>
      </c>
      <c r="AB22" s="1808">
        <v>1</v>
      </c>
      <c r="AC22" s="2671">
        <v>1</v>
      </c>
    </row>
    <row r="23" spans="1:29" ht="42.75">
      <c r="A23" s="428"/>
      <c r="B23" s="631" t="s">
        <v>2692</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22"/>
      <c r="Q23" s="1807" t="str">
        <f>B23</f>
        <v>环境质量</v>
      </c>
      <c r="R23" s="774" t="s">
        <v>17</v>
      </c>
      <c r="S23" s="775">
        <f>F23</f>
        <v>100</v>
      </c>
      <c r="T23" s="774" t="s">
        <v>17</v>
      </c>
      <c r="U23" s="775">
        <f>H23</f>
        <v>100</v>
      </c>
      <c r="V23" s="774" t="s">
        <v>17</v>
      </c>
      <c r="W23" s="775">
        <f>J23</f>
        <v>100</v>
      </c>
      <c r="X23" s="1810"/>
      <c r="Y23" s="3215"/>
      <c r="Z23" s="1811" t="str">
        <f>Q23</f>
        <v>环境质量</v>
      </c>
      <c r="AA23" s="1808">
        <f t="shared" si="3"/>
        <v>1</v>
      </c>
      <c r="AB23" s="1808">
        <f t="shared" si="4"/>
        <v>1</v>
      </c>
      <c r="AC23" s="2671">
        <f t="shared" si="5"/>
        <v>1</v>
      </c>
    </row>
    <row r="24" spans="1:29" ht="15">
      <c r="A24" s="428"/>
      <c r="B24" s="633"/>
      <c r="C24" s="2608"/>
      <c r="D24" s="448"/>
      <c r="E24" s="2601"/>
      <c r="F24" s="448"/>
      <c r="G24" s="2602"/>
      <c r="H24" s="448"/>
      <c r="I24" s="2602"/>
      <c r="J24" s="448"/>
      <c r="K24" s="615"/>
      <c r="L24" s="1137"/>
      <c r="M24" s="1128"/>
      <c r="N24" s="1128"/>
      <c r="O24" s="1128"/>
      <c r="P24" s="3222"/>
      <c r="Q24" s="1807"/>
      <c r="R24" s="774"/>
      <c r="S24" s="775"/>
      <c r="T24" s="774"/>
      <c r="U24" s="775"/>
      <c r="V24" s="774"/>
      <c r="W24" s="775"/>
      <c r="X24" s="1810"/>
      <c r="Y24" s="3215"/>
      <c r="Z24" s="1811"/>
      <c r="AA24" s="1808">
        <v>1</v>
      </c>
      <c r="AB24" s="1808">
        <v>1</v>
      </c>
      <c r="AC24" s="2671">
        <v>1</v>
      </c>
    </row>
    <row r="25" spans="1:29" ht="27">
      <c r="A25" s="404"/>
      <c r="B25" s="631" t="s">
        <v>2693</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222"/>
      <c r="Q25" s="1807" t="str">
        <f>B25</f>
        <v>毗邻道路的类型与等级</v>
      </c>
      <c r="R25" s="774" t="s">
        <v>17</v>
      </c>
      <c r="S25" s="775">
        <f>F25</f>
        <v>100</v>
      </c>
      <c r="T25" s="774" t="s">
        <v>17</v>
      </c>
      <c r="U25" s="775">
        <f>H25</f>
        <v>100</v>
      </c>
      <c r="V25" s="774" t="s">
        <v>17</v>
      </c>
      <c r="W25" s="775">
        <f>J25</f>
        <v>100</v>
      </c>
      <c r="X25" s="1810"/>
      <c r="Y25" s="3215"/>
      <c r="Z25" s="1811" t="str">
        <f>Q25</f>
        <v>毗邻道路的类型与等级</v>
      </c>
      <c r="AA25" s="1808">
        <f t="shared" si="3"/>
        <v>1</v>
      </c>
      <c r="AB25" s="1808">
        <f t="shared" si="4"/>
        <v>1</v>
      </c>
      <c r="AC25" s="2671">
        <f t="shared" si="5"/>
        <v>1</v>
      </c>
    </row>
    <row r="26" spans="1:29" ht="15">
      <c r="A26" s="404"/>
      <c r="B26" s="632"/>
      <c r="C26" s="634"/>
      <c r="D26" s="435"/>
      <c r="E26" s="616"/>
      <c r="F26" s="435"/>
      <c r="G26" s="634"/>
      <c r="H26" s="435"/>
      <c r="I26" s="616"/>
      <c r="J26" s="435"/>
      <c r="K26" s="615"/>
      <c r="L26" s="1137"/>
      <c r="M26" s="1128"/>
      <c r="N26" s="1128"/>
      <c r="O26" s="1128"/>
      <c r="P26" s="3222"/>
      <c r="Q26" s="1807"/>
      <c r="R26" s="774"/>
      <c r="S26" s="775"/>
      <c r="T26" s="774"/>
      <c r="U26" s="775"/>
      <c r="V26" s="774"/>
      <c r="W26" s="775"/>
      <c r="X26" s="1810"/>
      <c r="Y26" s="3215"/>
      <c r="Z26" s="1811"/>
      <c r="AA26" s="1808">
        <v>1</v>
      </c>
      <c r="AB26" s="1808">
        <v>1</v>
      </c>
      <c r="AC26" s="2671">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22"/>
      <c r="Q27" s="1807" t="str">
        <f t="shared" ref="Q27:Q47" si="11">B27</f>
        <v>楼层</v>
      </c>
      <c r="R27" s="774" t="s">
        <v>17</v>
      </c>
      <c r="S27" s="775">
        <f>F27</f>
        <v>100</v>
      </c>
      <c r="T27" s="774" t="s">
        <v>17</v>
      </c>
      <c r="U27" s="775">
        <f>H27</f>
        <v>100</v>
      </c>
      <c r="V27" s="774" t="s">
        <v>17</v>
      </c>
      <c r="W27" s="775">
        <f>J27</f>
        <v>100</v>
      </c>
      <c r="X27" s="1810"/>
      <c r="Y27" s="3215"/>
      <c r="Z27" s="1811" t="str">
        <f>Q27</f>
        <v>楼层</v>
      </c>
      <c r="AA27" s="1808">
        <f t="shared" si="3"/>
        <v>1</v>
      </c>
      <c r="AB27" s="1808">
        <f t="shared" si="4"/>
        <v>1</v>
      </c>
      <c r="AC27" s="2671">
        <f t="shared" si="5"/>
        <v>1</v>
      </c>
    </row>
    <row r="28" spans="1:29" s="117" customFormat="1" ht="15">
      <c r="A28" s="431"/>
      <c r="B28" s="631" t="s">
        <v>2694</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222"/>
      <c r="Q28" s="1792" t="str">
        <f t="shared" si="11"/>
        <v>朝向</v>
      </c>
      <c r="R28" s="770" t="s">
        <v>17</v>
      </c>
      <c r="S28" s="771">
        <f>F28</f>
        <v>100</v>
      </c>
      <c r="T28" s="770" t="s">
        <v>17</v>
      </c>
      <c r="U28" s="771">
        <f>H28</f>
        <v>100</v>
      </c>
      <c r="V28" s="770" t="s">
        <v>17</v>
      </c>
      <c r="W28" s="771">
        <f>J28</f>
        <v>100</v>
      </c>
      <c r="X28" s="772"/>
      <c r="Y28" s="3215"/>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222"/>
      <c r="Q29" s="1807">
        <f t="shared" si="11"/>
        <v>111</v>
      </c>
      <c r="R29" s="774" t="s">
        <v>17</v>
      </c>
      <c r="S29" s="775">
        <f t="shared" ref="S29:S47" si="12">F29</f>
        <v>100</v>
      </c>
      <c r="T29" s="774" t="s">
        <v>17</v>
      </c>
      <c r="U29" s="775">
        <f t="shared" ref="U29:U47" si="13">H29</f>
        <v>100</v>
      </c>
      <c r="V29" s="774" t="s">
        <v>17</v>
      </c>
      <c r="W29" s="775">
        <f t="shared" ref="W29:W47" si="14">J29</f>
        <v>100</v>
      </c>
      <c r="X29" s="1810"/>
      <c r="Y29" s="3215"/>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222"/>
      <c r="Q30" s="1807">
        <f t="shared" si="11"/>
        <v>111</v>
      </c>
      <c r="R30" s="774" t="s">
        <v>17</v>
      </c>
      <c r="S30" s="775">
        <f t="shared" si="12"/>
        <v>100</v>
      </c>
      <c r="T30" s="774" t="s">
        <v>17</v>
      </c>
      <c r="U30" s="775">
        <f t="shared" si="13"/>
        <v>100</v>
      </c>
      <c r="V30" s="774" t="s">
        <v>17</v>
      </c>
      <c r="W30" s="775">
        <f t="shared" si="14"/>
        <v>100</v>
      </c>
      <c r="X30" s="1810"/>
      <c r="Y30" s="3215"/>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222"/>
      <c r="Q31" s="1807">
        <f t="shared" si="11"/>
        <v>111</v>
      </c>
      <c r="R31" s="774" t="s">
        <v>17</v>
      </c>
      <c r="S31" s="775">
        <f t="shared" si="12"/>
        <v>100</v>
      </c>
      <c r="T31" s="774" t="s">
        <v>17</v>
      </c>
      <c r="U31" s="775">
        <f t="shared" si="13"/>
        <v>100</v>
      </c>
      <c r="V31" s="774" t="s">
        <v>17</v>
      </c>
      <c r="W31" s="775">
        <f t="shared" si="14"/>
        <v>100</v>
      </c>
      <c r="X31" s="1810"/>
      <c r="Y31" s="3215"/>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222"/>
      <c r="Q32" s="1807">
        <f t="shared" si="11"/>
        <v>111</v>
      </c>
      <c r="R32" s="774" t="s">
        <v>17</v>
      </c>
      <c r="S32" s="775">
        <f t="shared" si="12"/>
        <v>100</v>
      </c>
      <c r="T32" s="774" t="s">
        <v>17</v>
      </c>
      <c r="U32" s="775">
        <f t="shared" si="13"/>
        <v>100</v>
      </c>
      <c r="V32" s="774" t="s">
        <v>17</v>
      </c>
      <c r="W32" s="775">
        <f t="shared" si="14"/>
        <v>100</v>
      </c>
      <c r="X32" s="1810"/>
      <c r="Y32" s="3215"/>
      <c r="Z32" s="1811">
        <f t="shared" si="15"/>
        <v>111</v>
      </c>
      <c r="AA32" s="1808">
        <f t="shared" si="3"/>
        <v>1</v>
      </c>
      <c r="AB32" s="1808">
        <f t="shared" si="4"/>
        <v>1</v>
      </c>
      <c r="AC32" s="2671">
        <f t="shared" si="5"/>
        <v>1</v>
      </c>
    </row>
    <row r="33" spans="1:29" ht="15">
      <c r="A33" s="440" t="s">
        <v>2565</v>
      </c>
      <c r="B33" s="71" t="s">
        <v>2695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216" t="s">
        <v>2567</v>
      </c>
      <c r="Q33" s="1807" t="str">
        <f t="shared" si="11"/>
        <v>建筑类型</v>
      </c>
      <c r="R33" s="774" t="s">
        <v>17</v>
      </c>
      <c r="S33" s="775">
        <f t="shared" si="12"/>
        <v>100</v>
      </c>
      <c r="T33" s="774" t="s">
        <v>17</v>
      </c>
      <c r="U33" s="775">
        <f t="shared" si="13"/>
        <v>100</v>
      </c>
      <c r="V33" s="774" t="s">
        <v>17</v>
      </c>
      <c r="W33" s="775">
        <f t="shared" si="14"/>
        <v>100</v>
      </c>
      <c r="X33" s="1810"/>
      <c r="Y33" s="3219" t="s">
        <v>2567</v>
      </c>
      <c r="Z33" s="1811" t="str">
        <f t="shared" si="15"/>
        <v>建筑类型</v>
      </c>
      <c r="AA33" s="1808">
        <f t="shared" si="3"/>
        <v>1</v>
      </c>
      <c r="AB33" s="1808">
        <f t="shared" si="4"/>
        <v>1</v>
      </c>
      <c r="AC33" s="2671">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17"/>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08" t="e">
        <f t="shared" si="3"/>
        <v>#N/A</v>
      </c>
      <c r="AB34" s="1808" t="e">
        <f t="shared" si="4"/>
        <v>#N/A</v>
      </c>
      <c r="AC34" s="2671"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17"/>
      <c r="Q35" s="1807" t="str">
        <f t="shared" si="11"/>
        <v>建筑结构</v>
      </c>
      <c r="R35" s="774" t="s">
        <v>17</v>
      </c>
      <c r="S35" s="775">
        <f t="shared" si="12"/>
        <v>100</v>
      </c>
      <c r="T35" s="774" t="s">
        <v>17</v>
      </c>
      <c r="U35" s="775">
        <f t="shared" si="13"/>
        <v>100</v>
      </c>
      <c r="V35" s="774" t="s">
        <v>17</v>
      </c>
      <c r="W35" s="775">
        <f t="shared" si="14"/>
        <v>100</v>
      </c>
      <c r="X35" s="1810"/>
      <c r="Y35" s="3219"/>
      <c r="Z35" s="1811" t="str">
        <f t="shared" si="15"/>
        <v>建筑结构</v>
      </c>
      <c r="AA35" s="1808">
        <f t="shared" si="3"/>
        <v>1</v>
      </c>
      <c r="AB35" s="1808">
        <f t="shared" si="4"/>
        <v>1</v>
      </c>
      <c r="AC35" s="2671">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17"/>
      <c r="Q36" s="1807" t="str">
        <f t="shared" si="11"/>
        <v>公共部分装修</v>
      </c>
      <c r="R36" s="774" t="s">
        <v>17</v>
      </c>
      <c r="S36" s="775">
        <f t="shared" si="12"/>
        <v>100</v>
      </c>
      <c r="T36" s="774" t="s">
        <v>17</v>
      </c>
      <c r="U36" s="775">
        <f t="shared" si="13"/>
        <v>100</v>
      </c>
      <c r="V36" s="774" t="s">
        <v>17</v>
      </c>
      <c r="W36" s="775">
        <f t="shared" si="14"/>
        <v>100</v>
      </c>
      <c r="X36" s="1810"/>
      <c r="Y36" s="3219"/>
      <c r="Z36" s="1811" t="str">
        <f t="shared" si="15"/>
        <v>公共部分装修</v>
      </c>
      <c r="AA36" s="1808">
        <f t="shared" si="3"/>
        <v>1</v>
      </c>
      <c r="AB36" s="1808">
        <f t="shared" si="4"/>
        <v>1</v>
      </c>
      <c r="AC36" s="2671">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17"/>
      <c r="Q37" s="1807" t="str">
        <f t="shared" si="11"/>
        <v>成新度</v>
      </c>
      <c r="R37" s="774" t="s">
        <v>17</v>
      </c>
      <c r="S37" s="775" t="e">
        <f t="shared" si="12"/>
        <v>#N/A</v>
      </c>
      <c r="T37" s="774" t="s">
        <v>17</v>
      </c>
      <c r="U37" s="775" t="e">
        <f t="shared" si="13"/>
        <v>#N/A</v>
      </c>
      <c r="V37" s="774" t="s">
        <v>17</v>
      </c>
      <c r="W37" s="775" t="e">
        <f t="shared" si="14"/>
        <v>#N/A</v>
      </c>
      <c r="X37" s="1810"/>
      <c r="Y37" s="3219"/>
      <c r="Z37" s="1811" t="str">
        <f t="shared" si="15"/>
        <v>成新度</v>
      </c>
      <c r="AA37" s="1808" t="e">
        <f t="shared" si="3"/>
        <v>#N/A</v>
      </c>
      <c r="AB37" s="1808" t="e">
        <f t="shared" si="4"/>
        <v>#N/A</v>
      </c>
      <c r="AC37" s="2671"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17"/>
      <c r="Q38" s="1792"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68">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17" t="s">
        <v>2567</v>
      </c>
      <c r="Q39" s="1807" t="str">
        <f t="shared" si="11"/>
        <v>物业管理</v>
      </c>
      <c r="R39" s="774" t="s">
        <v>17</v>
      </c>
      <c r="S39" s="775">
        <f t="shared" si="12"/>
        <v>100</v>
      </c>
      <c r="T39" s="774" t="s">
        <v>17</v>
      </c>
      <c r="U39" s="775">
        <f t="shared" si="13"/>
        <v>100</v>
      </c>
      <c r="V39" s="774" t="s">
        <v>17</v>
      </c>
      <c r="W39" s="775">
        <f t="shared" si="14"/>
        <v>100</v>
      </c>
      <c r="X39" s="1810"/>
      <c r="Y39" s="3219" t="s">
        <v>2567</v>
      </c>
      <c r="Z39" s="1811" t="str">
        <f t="shared" si="15"/>
        <v>物业管理</v>
      </c>
      <c r="AA39" s="1808">
        <f t="shared" si="3"/>
        <v>1</v>
      </c>
      <c r="AB39" s="1808">
        <f t="shared" si="4"/>
        <v>1</v>
      </c>
      <c r="AC39" s="2671">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17"/>
      <c r="Q40" s="1807" t="str">
        <f t="shared" si="11"/>
        <v>市政基础设施</v>
      </c>
      <c r="R40" s="774" t="s">
        <v>17</v>
      </c>
      <c r="S40" s="775">
        <f t="shared" si="12"/>
        <v>100</v>
      </c>
      <c r="T40" s="774" t="s">
        <v>17</v>
      </c>
      <c r="U40" s="775">
        <f t="shared" si="13"/>
        <v>100</v>
      </c>
      <c r="V40" s="774" t="s">
        <v>17</v>
      </c>
      <c r="W40" s="775">
        <f t="shared" si="14"/>
        <v>100</v>
      </c>
      <c r="X40" s="1810"/>
      <c r="Y40" s="3219"/>
      <c r="Z40" s="1811" t="str">
        <f t="shared" si="15"/>
        <v>市政基础设施</v>
      </c>
      <c r="AA40" s="1808">
        <f t="shared" si="3"/>
        <v>1</v>
      </c>
      <c r="AB40" s="1808">
        <f t="shared" si="4"/>
        <v>1</v>
      </c>
      <c r="AC40" s="2671">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17"/>
      <c r="Q41" s="1807" t="str">
        <f t="shared" si="11"/>
        <v>层高</v>
      </c>
      <c r="R41" s="774" t="s">
        <v>17</v>
      </c>
      <c r="S41" s="775">
        <f t="shared" si="12"/>
        <v>100</v>
      </c>
      <c r="T41" s="774" t="s">
        <v>17</v>
      </c>
      <c r="U41" s="775">
        <f t="shared" si="13"/>
        <v>100</v>
      </c>
      <c r="V41" s="774" t="s">
        <v>17</v>
      </c>
      <c r="W41" s="775">
        <f t="shared" si="14"/>
        <v>100</v>
      </c>
      <c r="X41" s="1810"/>
      <c r="Y41" s="3219"/>
      <c r="Z41" s="1811" t="str">
        <f t="shared" si="15"/>
        <v>层高</v>
      </c>
      <c r="AA41" s="1808">
        <f t="shared" si="3"/>
        <v>1</v>
      </c>
      <c r="AB41" s="1808">
        <f t="shared" si="4"/>
        <v>1</v>
      </c>
      <c r="AC41" s="2671">
        <f t="shared" si="5"/>
        <v>1</v>
      </c>
    </row>
    <row r="42" spans="1:29" s="471" customFormat="1" ht="15">
      <c r="A42" s="468"/>
      <c r="B42" s="1809"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08">
        <f t="shared" si="3"/>
        <v>1</v>
      </c>
      <c r="AB42" s="1808">
        <f t="shared" si="4"/>
        <v>1</v>
      </c>
      <c r="AC42" s="2671">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17"/>
      <c r="Q43" s="1807" t="str">
        <f t="shared" si="11"/>
        <v>内部装修</v>
      </c>
      <c r="R43" s="774" t="s">
        <v>17</v>
      </c>
      <c r="S43" s="775">
        <f t="shared" si="12"/>
        <v>100</v>
      </c>
      <c r="T43" s="774" t="s">
        <v>17</v>
      </c>
      <c r="U43" s="775">
        <f t="shared" si="13"/>
        <v>100</v>
      </c>
      <c r="V43" s="774" t="s">
        <v>17</v>
      </c>
      <c r="W43" s="775">
        <f t="shared" si="14"/>
        <v>100</v>
      </c>
      <c r="X43" s="1810"/>
      <c r="Y43" s="3219"/>
      <c r="Z43" s="1811" t="str">
        <f t="shared" si="15"/>
        <v>内部装修</v>
      </c>
      <c r="AA43" s="1808">
        <f t="shared" si="3"/>
        <v>1</v>
      </c>
      <c r="AB43" s="1808">
        <f t="shared" si="4"/>
        <v>1</v>
      </c>
      <c r="AC43" s="2671">
        <f t="shared" si="5"/>
        <v>1</v>
      </c>
    </row>
    <row r="44" spans="1:29" ht="15">
      <c r="A44" s="472"/>
      <c r="B44" s="422" t="s">
        <v>2578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217"/>
      <c r="Q44" s="1807" t="str">
        <f t="shared" si="11"/>
        <v>内部装修维护情况</v>
      </c>
      <c r="R44" s="774" t="s">
        <v>17</v>
      </c>
      <c r="S44" s="775">
        <f t="shared" si="12"/>
        <v>100</v>
      </c>
      <c r="T44" s="774" t="s">
        <v>17</v>
      </c>
      <c r="U44" s="775">
        <f t="shared" si="13"/>
        <v>100</v>
      </c>
      <c r="V44" s="774" t="s">
        <v>17</v>
      </c>
      <c r="W44" s="775">
        <f t="shared" si="14"/>
        <v>100</v>
      </c>
      <c r="X44" s="1810"/>
      <c r="Y44" s="3219"/>
      <c r="Z44" s="1811" t="str">
        <f t="shared" si="15"/>
        <v>内部装修维护情况</v>
      </c>
      <c r="AA44" s="1808">
        <f t="shared" si="3"/>
        <v>1</v>
      </c>
      <c r="AB44" s="1808">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7"/>
      <c r="Q45" s="1792">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7"/>
      <c r="Q46" s="1807">
        <f t="shared" si="11"/>
        <v>111</v>
      </c>
      <c r="R46" s="774" t="s">
        <v>17</v>
      </c>
      <c r="S46" s="775">
        <f t="shared" si="12"/>
        <v>100</v>
      </c>
      <c r="T46" s="774" t="s">
        <v>17</v>
      </c>
      <c r="U46" s="775">
        <f t="shared" si="13"/>
        <v>100</v>
      </c>
      <c r="V46" s="774" t="s">
        <v>17</v>
      </c>
      <c r="W46" s="775">
        <f t="shared" si="14"/>
        <v>100</v>
      </c>
      <c r="X46" s="1810"/>
      <c r="Y46" s="3219"/>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8"/>
      <c r="Q47" s="1807">
        <f t="shared" si="11"/>
        <v>111</v>
      </c>
      <c r="R47" s="774" t="s">
        <v>17</v>
      </c>
      <c r="S47" s="775">
        <f t="shared" si="12"/>
        <v>100</v>
      </c>
      <c r="T47" s="774" t="s">
        <v>17</v>
      </c>
      <c r="U47" s="775">
        <f t="shared" si="13"/>
        <v>100</v>
      </c>
      <c r="V47" s="774" t="s">
        <v>17</v>
      </c>
      <c r="W47" s="775">
        <f t="shared" si="14"/>
        <v>100</v>
      </c>
      <c r="X47" s="1810"/>
      <c r="Y47" s="3220"/>
      <c r="Z47" s="1811">
        <f t="shared" si="15"/>
        <v>111</v>
      </c>
      <c r="AA47" s="1808">
        <f t="shared" si="3"/>
        <v>1</v>
      </c>
      <c r="AB47" s="1808">
        <f t="shared" si="4"/>
        <v>1</v>
      </c>
      <c r="AC47" s="2671">
        <f t="shared" si="5"/>
        <v>1</v>
      </c>
    </row>
    <row r="48" spans="1:29" ht="15">
      <c r="A48" s="479" t="s">
        <v>2579</v>
      </c>
      <c r="B48" s="480"/>
      <c r="C48" s="1404" t="s">
        <v>1</v>
      </c>
      <c r="D48" s="1405"/>
      <c r="E48" s="1406"/>
      <c r="F48" s="1407"/>
      <c r="G48" s="1408"/>
      <c r="H48" s="1409"/>
      <c r="I48" s="1406"/>
      <c r="J48" s="485"/>
      <c r="K48" s="783"/>
      <c r="L48" s="1140"/>
      <c r="M48" s="1128"/>
      <c r="N48" s="1128"/>
      <c r="O48" s="1128"/>
      <c r="P48" s="3194" t="str">
        <f>A48</f>
        <v>成交单价（元/平方米）</v>
      </c>
      <c r="Q48" s="3212"/>
      <c r="R48" s="3213">
        <f>E48</f>
        <v>0</v>
      </c>
      <c r="S48" s="3213"/>
      <c r="T48" s="3213">
        <f>G48</f>
        <v>0</v>
      </c>
      <c r="U48" s="3213"/>
      <c r="V48" s="3213">
        <f>I48</f>
        <v>0</v>
      </c>
      <c r="W48" s="3213"/>
      <c r="X48" s="446"/>
      <c r="Y48" s="781"/>
      <c r="Z48" s="446"/>
      <c r="AA48" s="446"/>
      <c r="AB48" s="446"/>
      <c r="AC48" s="630"/>
    </row>
    <row r="49" spans="1:29" ht="15.75" thickBot="1">
      <c r="A49" s="486" t="s">
        <v>2671</v>
      </c>
      <c r="B49" s="487"/>
      <c r="C49" s="1410" t="e">
        <f>R50</f>
        <v>#DIV/0!</v>
      </c>
      <c r="D49" s="1411"/>
      <c r="E49" s="1412" t="e">
        <f>R49</f>
        <v>#DIV/0!</v>
      </c>
      <c r="F49" s="1412"/>
      <c r="G49" s="1410" t="e">
        <f>T49</f>
        <v>#DIV/0!</v>
      </c>
      <c r="H49" s="1411"/>
      <c r="I49" s="1412" t="e">
        <f>V49</f>
        <v>#DIV/0!</v>
      </c>
      <c r="J49" s="489"/>
      <c r="K49" s="784"/>
      <c r="L49" s="1140"/>
      <c r="M49" s="1128"/>
      <c r="N49" s="1128"/>
      <c r="O49" s="1128"/>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2672</v>
      </c>
      <c r="B50" s="493"/>
      <c r="C50" s="1414" t="e">
        <f>R50</f>
        <v>#DIV/0!</v>
      </c>
      <c r="D50" s="1414"/>
      <c r="E50" s="1414"/>
      <c r="F50" s="1414"/>
      <c r="G50" s="1414"/>
      <c r="H50" s="1414"/>
      <c r="I50" s="1414"/>
      <c r="J50" s="494"/>
      <c r="K50" s="785"/>
      <c r="L50" s="1140"/>
      <c r="M50" s="1128"/>
      <c r="N50" s="1128"/>
      <c r="O50" s="1128"/>
      <c r="P50" s="3237" t="str">
        <f>A50</f>
        <v>估价对象XX用房的比较价值（楼面单价，元/平方米）</v>
      </c>
      <c r="Q50" s="3238"/>
      <c r="R50" s="3239" t="e">
        <f>IF(F1="售价",ROUND(AVERAGE(R49:V49),0),ROUND(AVERAGE(R49:V49),1))</f>
        <v>#DIV/0!</v>
      </c>
      <c r="S50" s="3239"/>
      <c r="T50" s="3239"/>
      <c r="U50" s="3239"/>
      <c r="V50" s="3239"/>
      <c r="W50" s="3239"/>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3" t="s">
        <v>2676</v>
      </c>
      <c r="B58" s="759"/>
      <c r="C58" s="764"/>
      <c r="D58" s="764"/>
      <c r="E58" s="764"/>
      <c r="F58" s="765"/>
      <c r="G58" s="765"/>
      <c r="H58" s="764"/>
      <c r="I58" s="764"/>
      <c r="J58" s="764"/>
      <c r="K58" s="766"/>
      <c r="L58" s="1158"/>
      <c r="M58" s="1156"/>
      <c r="N58" s="1156"/>
      <c r="O58" s="1156"/>
      <c r="P58" s="2678"/>
      <c r="Q58" s="504"/>
    </row>
    <row r="59" spans="1:29" s="508" customFormat="1" ht="15">
      <c r="A59" s="505" t="s">
        <v>2550</v>
      </c>
      <c r="B59" s="506"/>
      <c r="C59" s="1571" t="str">
        <f>YEAR(C7)&amp;"-"&amp;MONTH(C7)</f>
        <v>2018-5</v>
      </c>
      <c r="D59" s="1572">
        <f>EDATE(C59,-1)</f>
        <v>43191</v>
      </c>
      <c r="E59" s="1572">
        <f>EDATE(D59,-1)</f>
        <v>43160</v>
      </c>
      <c r="F59" s="1572">
        <f t="shared" ref="F59:O59" si="16">EDATE(E59,-1)</f>
        <v>43132</v>
      </c>
      <c r="G59" s="1572">
        <f t="shared" si="16"/>
        <v>43101</v>
      </c>
      <c r="H59" s="1572">
        <f t="shared" si="16"/>
        <v>43070</v>
      </c>
      <c r="I59" s="1572">
        <f t="shared" si="16"/>
        <v>43040</v>
      </c>
      <c r="J59" s="1572">
        <f t="shared" si="16"/>
        <v>43009</v>
      </c>
      <c r="K59" s="1572">
        <f t="shared" si="16"/>
        <v>42979</v>
      </c>
      <c r="L59" s="1572">
        <f t="shared" si="16"/>
        <v>42948</v>
      </c>
      <c r="M59" s="1572">
        <f t="shared" si="16"/>
        <v>42917</v>
      </c>
      <c r="N59" s="1572">
        <f t="shared" si="16"/>
        <v>42887</v>
      </c>
      <c r="O59" s="1572">
        <f t="shared" si="16"/>
        <v>42856</v>
      </c>
      <c r="P59" s="1568"/>
    </row>
    <row r="60" spans="1:29" s="117" customFormat="1" ht="15">
      <c r="A60" s="509"/>
      <c r="B60" s="510"/>
      <c r="C60" s="1570">
        <v>100</v>
      </c>
      <c r="D60" s="512"/>
      <c r="E60" s="512"/>
      <c r="F60" s="512"/>
      <c r="G60" s="512"/>
      <c r="H60" s="512"/>
      <c r="I60" s="512"/>
      <c r="J60" s="512"/>
      <c r="K60" s="512"/>
      <c r="L60" s="512"/>
      <c r="M60" s="513"/>
      <c r="N60" s="512"/>
      <c r="O60" s="513"/>
      <c r="P60" s="2679"/>
    </row>
    <row r="61" spans="1:29" s="117" customFormat="1" ht="15.75" thickBot="1">
      <c r="A61" s="515" t="s">
        <v>2587</v>
      </c>
      <c r="B61" s="516"/>
      <c r="C61" s="517"/>
      <c r="D61" s="518"/>
      <c r="E61" s="518"/>
      <c r="F61" s="518"/>
      <c r="G61" s="518"/>
      <c r="H61" s="518"/>
      <c r="I61" s="518"/>
      <c r="J61" s="518"/>
      <c r="K61" s="518"/>
      <c r="L61" s="518"/>
      <c r="M61" s="519"/>
      <c r="N61" s="518"/>
      <c r="O61" s="519"/>
      <c r="P61" s="2679"/>
      <c r="Q61" s="504"/>
    </row>
    <row r="62" spans="1:29" s="117" customFormat="1" ht="15">
      <c r="A62" s="521" t="s">
        <v>2552</v>
      </c>
      <c r="B62" s="510"/>
      <c r="C62" s="522" t="s">
        <v>2654</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2590</v>
      </c>
      <c r="B64" s="528" t="s">
        <v>2556</v>
      </c>
      <c r="C64" s="529" t="str">
        <f>C9</f>
        <v>办公</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c r="D69" s="549"/>
      <c r="E69" s="549"/>
      <c r="F69" s="549"/>
      <c r="G69" s="549"/>
      <c r="H69" s="549"/>
      <c r="I69" s="549"/>
      <c r="J69" s="549"/>
      <c r="K69" s="550"/>
      <c r="L69" s="551"/>
      <c r="M69" s="552"/>
      <c r="N69" s="1149"/>
      <c r="O69" s="1149"/>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2691</v>
      </c>
      <c r="C83" s="660" t="s">
        <v>2677</v>
      </c>
      <c r="D83" s="660" t="s">
        <v>2678</v>
      </c>
      <c r="E83" s="660" t="s">
        <v>2679</v>
      </c>
      <c r="F83" s="660" t="s">
        <v>2680</v>
      </c>
      <c r="G83" s="660" t="s">
        <v>2681</v>
      </c>
      <c r="H83" s="539"/>
      <c r="I83" s="539"/>
      <c r="J83" s="539"/>
      <c r="K83" s="539"/>
      <c r="L83" s="539"/>
      <c r="M83" s="1379"/>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2701</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554"/>
      <c r="D89" s="554"/>
      <c r="E89" s="554"/>
      <c r="F89" s="2632"/>
      <c r="G89" s="554"/>
      <c r="H89" s="554"/>
      <c r="I89" s="554"/>
      <c r="J89" s="554"/>
      <c r="K89" s="554"/>
      <c r="L89" s="554"/>
      <c r="M89" s="581"/>
      <c r="N89" s="1148"/>
      <c r="O89" s="1148"/>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2565</v>
      </c>
      <c r="B101" s="528" t="s">
        <v>2614</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c r="D104" s="595"/>
      <c r="E104" s="595"/>
      <c r="F104" s="595"/>
      <c r="G104" s="595"/>
      <c r="H104" s="595"/>
      <c r="I104" s="595"/>
      <c r="J104" s="596"/>
      <c r="K104" s="596"/>
      <c r="L104" s="597"/>
      <c r="M104" s="598"/>
      <c r="N104" s="1151"/>
      <c r="O104" s="1151"/>
      <c r="P104" s="268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2"/>
      <c r="Q105" s="559"/>
    </row>
    <row r="106" spans="1:17" ht="15" thickTop="1">
      <c r="A106" s="599"/>
      <c r="B106" s="538" t="s">
        <v>2616</v>
      </c>
      <c r="C106" s="554"/>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2618</v>
      </c>
      <c r="C108" s="554"/>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2702</v>
      </c>
      <c r="C113" s="554"/>
      <c r="D113" s="554"/>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2619</v>
      </c>
      <c r="C115" s="554"/>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2620</v>
      </c>
      <c r="C117" s="554"/>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2703</v>
      </c>
      <c r="C119" s="583"/>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2686</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2622</v>
      </c>
      <c r="C123" s="554"/>
      <c r="D123" s="554"/>
      <c r="E123" s="554"/>
      <c r="F123" s="583"/>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2704</v>
      </c>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IF(C2="——",ROUND(C43*D3/10000,0),ROUND(C43*D3/10000,0)-D2)</f>
        <v>#DIV/0!</v>
      </c>
      <c r="C2" s="2583"/>
      <c r="D2" s="1121" t="e">
        <f ca="1">SUMIF(INDIRECT("'"&amp;F2&amp;"'"&amp;"!A:A"),"承租人权益价值",INDIRECT("'"&amp;F2&amp;"'"&amp;"!c:c"))</f>
        <v>#REF!</v>
      </c>
      <c r="E2" s="2584" t="s">
        <v>2330</v>
      </c>
      <c r="F2" s="258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4704.8599999999997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182" t="s">
        <v>2649</v>
      </c>
      <c r="S4" s="3183"/>
      <c r="T4" s="3182" t="s">
        <v>2650</v>
      </c>
      <c r="U4" s="3183"/>
      <c r="V4" s="3207" t="s">
        <v>2651</v>
      </c>
      <c r="W4" s="3207"/>
      <c r="X4" s="1810"/>
      <c r="Y4" s="3182" t="s">
        <v>2653</v>
      </c>
      <c r="Z4" s="3183"/>
      <c r="AA4" s="3177" t="s">
        <v>2649</v>
      </c>
      <c r="AB4" s="3178" t="s">
        <v>2650</v>
      </c>
      <c r="AC4" s="3177" t="s">
        <v>2651</v>
      </c>
    </row>
    <row r="5" spans="1:29" ht="15">
      <c r="A5" s="404"/>
      <c r="B5" s="405"/>
      <c r="C5" s="3188" t="s">
        <v>2544</v>
      </c>
      <c r="D5" s="3189"/>
      <c r="E5" s="3186" t="s">
        <v>2545</v>
      </c>
      <c r="F5" s="3187"/>
      <c r="G5" s="3188" t="s">
        <v>2546</v>
      </c>
      <c r="H5" s="3189"/>
      <c r="I5" s="3188" t="s">
        <v>2547</v>
      </c>
      <c r="J5" s="3189"/>
      <c r="K5" s="610"/>
      <c r="L5" s="1127"/>
      <c r="M5" s="1128"/>
      <c r="N5" s="1128"/>
      <c r="O5" s="1128"/>
      <c r="P5" s="3201"/>
      <c r="Q5" s="3202"/>
      <c r="R5" s="3184"/>
      <c r="S5" s="3185"/>
      <c r="T5" s="3184"/>
      <c r="U5" s="3185"/>
      <c r="V5" s="3207"/>
      <c r="W5" s="3207"/>
      <c r="X5" s="1810"/>
      <c r="Y5" s="3184"/>
      <c r="Z5" s="3185"/>
      <c r="AA5" s="3178"/>
      <c r="AB5" s="3178"/>
      <c r="AC5" s="3178"/>
    </row>
    <row r="6" spans="1:29" ht="15.75" thickBot="1">
      <c r="A6" s="406"/>
      <c r="B6" s="407"/>
      <c r="C6" s="3190" t="s">
        <v>2548</v>
      </c>
      <c r="D6" s="3191"/>
      <c r="E6" s="3192" t="s">
        <v>2548</v>
      </c>
      <c r="F6" s="3193"/>
      <c r="G6" s="3190" t="s">
        <v>2548</v>
      </c>
      <c r="H6" s="3191"/>
      <c r="I6" s="3190" t="s">
        <v>2548</v>
      </c>
      <c r="J6" s="3191"/>
      <c r="K6" s="610" t="s">
        <v>2549</v>
      </c>
      <c r="L6" s="1127"/>
      <c r="M6" s="1128"/>
      <c r="N6" s="1128"/>
      <c r="O6" s="1128"/>
      <c r="P6" s="3203"/>
      <c r="Q6" s="3204"/>
      <c r="R6" s="3184"/>
      <c r="S6" s="3185"/>
      <c r="T6" s="3205"/>
      <c r="U6" s="3206"/>
      <c r="V6" s="3207"/>
      <c r="W6" s="3207"/>
      <c r="X6" s="1810"/>
      <c r="Y6" s="3205"/>
      <c r="Z6" s="3206"/>
      <c r="AA6" s="3179"/>
      <c r="AB6" s="3179"/>
      <c r="AC6" s="3179"/>
    </row>
    <row r="7" spans="1:29" s="117" customFormat="1" ht="15.75" thickBot="1">
      <c r="A7" s="408" t="s">
        <v>2550</v>
      </c>
      <c r="B7" s="409"/>
      <c r="C7" s="410">
        <f>'数据-取费表'!B2</f>
        <v>43238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80" t="s">
        <v>2551</v>
      </c>
      <c r="Q7" s="3208"/>
      <c r="R7" s="770" t="s">
        <v>17</v>
      </c>
      <c r="S7" s="771">
        <f t="shared" ref="S7:S15" si="0">F7</f>
        <v>0</v>
      </c>
      <c r="T7" s="770" t="s">
        <v>17</v>
      </c>
      <c r="U7" s="771">
        <f t="shared" ref="U7:U15" si="1">H7</f>
        <v>0</v>
      </c>
      <c r="V7" s="770" t="s">
        <v>17</v>
      </c>
      <c r="W7" s="771">
        <f t="shared" ref="W7:W15" si="2">J7</f>
        <v>0</v>
      </c>
      <c r="X7" s="772"/>
      <c r="Y7" s="3180" t="s">
        <v>2551</v>
      </c>
      <c r="Z7" s="318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80" t="s">
        <v>2554</v>
      </c>
      <c r="Q8" s="3181"/>
      <c r="R8" s="770" t="s">
        <v>17</v>
      </c>
      <c r="S8" s="771">
        <f t="shared" si="0"/>
        <v>0</v>
      </c>
      <c r="T8" s="770" t="s">
        <v>17</v>
      </c>
      <c r="U8" s="771">
        <f t="shared" si="1"/>
        <v>0</v>
      </c>
      <c r="V8" s="770" t="s">
        <v>17</v>
      </c>
      <c r="W8" s="771">
        <f t="shared" si="2"/>
        <v>0</v>
      </c>
      <c r="X8" s="772"/>
      <c r="Y8" s="3180" t="s">
        <v>2554</v>
      </c>
      <c r="Z8" s="318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12" t="s">
        <v>2557</v>
      </c>
      <c r="Q9" s="1792" t="str">
        <f t="shared" ref="Q9:Q15" si="6">B9</f>
        <v>用途</v>
      </c>
      <c r="R9" s="770" t="s">
        <v>17</v>
      </c>
      <c r="S9" s="771">
        <f t="shared" si="0"/>
        <v>100</v>
      </c>
      <c r="T9" s="770" t="s">
        <v>17</v>
      </c>
      <c r="U9" s="771">
        <f t="shared" si="1"/>
        <v>100</v>
      </c>
      <c r="V9" s="770" t="s">
        <v>17</v>
      </c>
      <c r="W9" s="771">
        <f t="shared" si="2"/>
        <v>100</v>
      </c>
      <c r="X9" s="772"/>
      <c r="Y9" s="302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12"/>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12"/>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212"/>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212"/>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212"/>
      <c r="Q14" s="1792">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2561</v>
      </c>
      <c r="B15" s="69" t="s">
        <v>2705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14" t="s">
        <v>2562</v>
      </c>
      <c r="Q15" s="1807" t="str">
        <f t="shared" si="6"/>
        <v>产业集聚程度</v>
      </c>
      <c r="R15" s="774" t="s">
        <v>17</v>
      </c>
      <c r="S15" s="775">
        <f t="shared" si="0"/>
        <v>100</v>
      </c>
      <c r="T15" s="774" t="s">
        <v>17</v>
      </c>
      <c r="U15" s="775">
        <f t="shared" si="1"/>
        <v>100</v>
      </c>
      <c r="V15" s="774" t="s">
        <v>17</v>
      </c>
      <c r="W15" s="775">
        <f t="shared" si="2"/>
        <v>100</v>
      </c>
      <c r="X15" s="1810"/>
      <c r="Y15" s="3214" t="s">
        <v>2562</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15"/>
      <c r="Q16" s="1807"/>
      <c r="R16" s="774"/>
      <c r="S16" s="775"/>
      <c r="T16" s="774"/>
      <c r="U16" s="775"/>
      <c r="V16" s="774"/>
      <c r="W16" s="775"/>
      <c r="X16" s="1810"/>
      <c r="Y16" s="3215"/>
      <c r="Z16" s="1811"/>
      <c r="AA16" s="1808">
        <v>1</v>
      </c>
      <c r="AB16" s="1808">
        <v>1</v>
      </c>
      <c r="AC16" s="1808">
        <v>1</v>
      </c>
    </row>
    <row r="17" spans="1:29" ht="85.5">
      <c r="A17" s="428"/>
      <c r="B17" s="451" t="s">
        <v>2098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15"/>
      <c r="Q17" s="1807" t="str">
        <f>B17</f>
        <v>交通便捷度</v>
      </c>
      <c r="R17" s="774" t="s">
        <v>17</v>
      </c>
      <c r="S17" s="775">
        <f>F17</f>
        <v>100</v>
      </c>
      <c r="T17" s="774" t="s">
        <v>17</v>
      </c>
      <c r="U17" s="775">
        <f>H17</f>
        <v>100</v>
      </c>
      <c r="V17" s="774" t="s">
        <v>17</v>
      </c>
      <c r="W17" s="775">
        <f>J17</f>
        <v>100</v>
      </c>
      <c r="X17" s="1810"/>
      <c r="Y17" s="3215"/>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36"/>
      <c r="P18" s="3215"/>
      <c r="Q18" s="1807"/>
      <c r="R18" s="774"/>
      <c r="S18" s="775"/>
      <c r="T18" s="774"/>
      <c r="U18" s="775"/>
      <c r="V18" s="774"/>
      <c r="W18" s="775"/>
      <c r="X18" s="1810"/>
      <c r="Y18" s="3215"/>
      <c r="Z18" s="1811"/>
      <c r="AA18" s="1808">
        <v>1</v>
      </c>
      <c r="AB18" s="1808">
        <v>1</v>
      </c>
      <c r="AC18" s="1808">
        <v>1</v>
      </c>
    </row>
    <row r="19" spans="1:29" ht="42.75">
      <c r="A19" s="428"/>
      <c r="B19" s="451" t="s">
        <v>2690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15"/>
      <c r="Q19" s="1807" t="str">
        <f>B19</f>
        <v>公共配套设施</v>
      </c>
      <c r="R19" s="774" t="s">
        <v>17</v>
      </c>
      <c r="S19" s="775">
        <f>F19</f>
        <v>100</v>
      </c>
      <c r="T19" s="774" t="s">
        <v>17</v>
      </c>
      <c r="U19" s="775">
        <f>H19</f>
        <v>100</v>
      </c>
      <c r="V19" s="774" t="s">
        <v>17</v>
      </c>
      <c r="W19" s="775">
        <f>J19</f>
        <v>100</v>
      </c>
      <c r="X19" s="1810"/>
      <c r="Y19" s="3215"/>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36"/>
      <c r="P20" s="3215"/>
      <c r="Q20" s="1807"/>
      <c r="R20" s="774"/>
      <c r="S20" s="775"/>
      <c r="T20" s="774"/>
      <c r="U20" s="775"/>
      <c r="V20" s="774"/>
      <c r="W20" s="775"/>
      <c r="X20" s="1810"/>
      <c r="Y20" s="3215"/>
      <c r="Z20" s="1811"/>
      <c r="AA20" s="1808">
        <v>1</v>
      </c>
      <c r="AB20" s="1808">
        <v>1</v>
      </c>
      <c r="AC20" s="1808">
        <v>1</v>
      </c>
    </row>
    <row r="21" spans="1:29" ht="28.5">
      <c r="A21" s="428"/>
      <c r="B21" s="1381" t="s">
        <v>2691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15"/>
      <c r="Q21" s="1807" t="str">
        <f>B21</f>
        <v>基础设施水平</v>
      </c>
      <c r="R21" s="774" t="s">
        <v>17</v>
      </c>
      <c r="S21" s="775">
        <f>F21</f>
        <v>100</v>
      </c>
      <c r="T21" s="774" t="s">
        <v>17</v>
      </c>
      <c r="U21" s="775">
        <f>H21</f>
        <v>100</v>
      </c>
      <c r="V21" s="774" t="s">
        <v>17</v>
      </c>
      <c r="W21" s="775">
        <f>J21</f>
        <v>100</v>
      </c>
      <c r="X21" s="1810"/>
      <c r="Y21" s="3215"/>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36"/>
      <c r="P22" s="3215"/>
      <c r="Q22" s="1807"/>
      <c r="R22" s="774"/>
      <c r="S22" s="775"/>
      <c r="T22" s="774"/>
      <c r="U22" s="775"/>
      <c r="V22" s="774"/>
      <c r="W22" s="775"/>
      <c r="X22" s="1810"/>
      <c r="Y22" s="3215"/>
      <c r="Z22" s="1811"/>
      <c r="AA22" s="1808">
        <v>1</v>
      </c>
      <c r="AB22" s="1808">
        <v>1</v>
      </c>
      <c r="AC22" s="1808">
        <v>1</v>
      </c>
    </row>
    <row r="23" spans="1:29" ht="71.25">
      <c r="A23" s="428"/>
      <c r="B23" s="451" t="s">
        <v>2692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15"/>
      <c r="Q23" s="1807" t="str">
        <f>B23</f>
        <v>环境质量</v>
      </c>
      <c r="R23" s="774" t="s">
        <v>17</v>
      </c>
      <c r="S23" s="775">
        <f>F23</f>
        <v>100</v>
      </c>
      <c r="T23" s="774" t="s">
        <v>17</v>
      </c>
      <c r="U23" s="775">
        <f>H23</f>
        <v>100</v>
      </c>
      <c r="V23" s="774" t="s">
        <v>17</v>
      </c>
      <c r="W23" s="775">
        <f>J23</f>
        <v>100</v>
      </c>
      <c r="X23" s="1810"/>
      <c r="Y23" s="3215"/>
      <c r="Z23" s="1811" t="str">
        <f>Q23</f>
        <v>环境质量</v>
      </c>
      <c r="AA23" s="1808">
        <f t="shared" si="3"/>
        <v>1</v>
      </c>
      <c r="AB23" s="1808">
        <f t="shared" si="4"/>
        <v>1</v>
      </c>
      <c r="AC23" s="1808">
        <f t="shared" si="5"/>
        <v>1</v>
      </c>
    </row>
    <row r="24" spans="1:29" ht="15">
      <c r="A24" s="428"/>
      <c r="B24" s="1381"/>
      <c r="C24" s="447"/>
      <c r="D24" s="448"/>
      <c r="E24" s="2602"/>
      <c r="F24" s="449"/>
      <c r="G24" s="2601"/>
      <c r="H24" s="448"/>
      <c r="I24" s="2602"/>
      <c r="J24" s="448"/>
      <c r="K24" s="615"/>
      <c r="L24" s="1137"/>
      <c r="M24" s="1128"/>
      <c r="N24" s="1128"/>
      <c r="O24" s="1136"/>
      <c r="P24" s="3215"/>
      <c r="Q24" s="1807"/>
      <c r="R24" s="774"/>
      <c r="S24" s="775"/>
      <c r="T24" s="774"/>
      <c r="U24" s="775"/>
      <c r="V24" s="774"/>
      <c r="W24" s="775"/>
      <c r="X24" s="1810"/>
      <c r="Y24" s="3215"/>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15"/>
      <c r="Q25" s="1807">
        <f>B25</f>
        <v>111</v>
      </c>
      <c r="R25" s="774" t="s">
        <v>17</v>
      </c>
      <c r="S25" s="775">
        <f>F25</f>
        <v>100</v>
      </c>
      <c r="T25" s="774" t="s">
        <v>17</v>
      </c>
      <c r="U25" s="775">
        <f>H25</f>
        <v>100</v>
      </c>
      <c r="V25" s="774" t="s">
        <v>17</v>
      </c>
      <c r="W25" s="775">
        <f>J25</f>
        <v>100</v>
      </c>
      <c r="X25" s="1810"/>
      <c r="Y25" s="3215"/>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15"/>
      <c r="Q26" s="1807">
        <f t="shared" ref="Q26:Q40" si="11">B26</f>
        <v>111</v>
      </c>
      <c r="R26" s="774" t="s">
        <v>17</v>
      </c>
      <c r="S26" s="775">
        <f>F26</f>
        <v>100</v>
      </c>
      <c r="T26" s="774" t="s">
        <v>17</v>
      </c>
      <c r="U26" s="775">
        <f>H26</f>
        <v>100</v>
      </c>
      <c r="V26" s="774" t="s">
        <v>17</v>
      </c>
      <c r="W26" s="775">
        <f>J26</f>
        <v>100</v>
      </c>
      <c r="X26" s="1810"/>
      <c r="Y26" s="3215"/>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15"/>
      <c r="Q27" s="1792">
        <f t="shared" si="11"/>
        <v>111</v>
      </c>
      <c r="R27" s="770" t="s">
        <v>17</v>
      </c>
      <c r="S27" s="771">
        <f>F27</f>
        <v>100</v>
      </c>
      <c r="T27" s="770" t="s">
        <v>17</v>
      </c>
      <c r="U27" s="771">
        <f>H27</f>
        <v>100</v>
      </c>
      <c r="V27" s="770" t="s">
        <v>17</v>
      </c>
      <c r="W27" s="771">
        <f>J27</f>
        <v>100</v>
      </c>
      <c r="X27" s="772"/>
      <c r="Y27" s="3215"/>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15"/>
      <c r="Q28" s="1807">
        <f t="shared" si="11"/>
        <v>111</v>
      </c>
      <c r="R28" s="774" t="s">
        <v>17</v>
      </c>
      <c r="S28" s="775">
        <f t="shared" ref="S28:S40" si="12">F28</f>
        <v>100</v>
      </c>
      <c r="T28" s="774" t="s">
        <v>17</v>
      </c>
      <c r="U28" s="775">
        <f t="shared" ref="U28:U40" si="13">H28</f>
        <v>100</v>
      </c>
      <c r="V28" s="774" t="s">
        <v>17</v>
      </c>
      <c r="W28" s="775">
        <f t="shared" ref="W28:W40" si="14">J28</f>
        <v>100</v>
      </c>
      <c r="X28" s="1810"/>
      <c r="Y28" s="3215"/>
      <c r="Z28" s="1811">
        <f t="shared" ref="Z28:Z40" si="15">Q28</f>
        <v>111</v>
      </c>
      <c r="AA28" s="1808">
        <f t="shared" si="3"/>
        <v>1</v>
      </c>
      <c r="AB28" s="1808">
        <f t="shared" si="4"/>
        <v>1</v>
      </c>
      <c r="AC28" s="1808">
        <f t="shared" si="5"/>
        <v>1</v>
      </c>
    </row>
    <row r="29" spans="1:29" ht="15">
      <c r="A29" s="466" t="s">
        <v>2565</v>
      </c>
      <c r="B29" s="71" t="s">
        <v>2695</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240" t="s">
        <v>2567</v>
      </c>
      <c r="Q29" s="1807" t="str">
        <f t="shared" si="11"/>
        <v>建筑类型</v>
      </c>
      <c r="R29" s="774" t="s">
        <v>17</v>
      </c>
      <c r="S29" s="775">
        <f t="shared" si="12"/>
        <v>100</v>
      </c>
      <c r="T29" s="774" t="s">
        <v>17</v>
      </c>
      <c r="U29" s="775">
        <f t="shared" si="13"/>
        <v>100</v>
      </c>
      <c r="V29" s="774" t="s">
        <v>17</v>
      </c>
      <c r="W29" s="775">
        <f t="shared" si="14"/>
        <v>100</v>
      </c>
      <c r="X29" s="1810"/>
      <c r="Y29" s="3219" t="s">
        <v>2567</v>
      </c>
      <c r="Z29" s="1811" t="str">
        <f t="shared" si="15"/>
        <v>建筑类型</v>
      </c>
      <c r="AA29" s="1808">
        <f t="shared" si="3"/>
        <v>1</v>
      </c>
      <c r="AB29" s="1808">
        <f t="shared" si="4"/>
        <v>1</v>
      </c>
      <c r="AC29" s="1808">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08" t="e">
        <f t="shared" si="3"/>
        <v>#N/A</v>
      </c>
      <c r="AB30" s="1808" t="e">
        <f t="shared" si="4"/>
        <v>#N/A</v>
      </c>
      <c r="AC30" s="1808"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9"/>
      <c r="Q31" s="1807" t="str">
        <f t="shared" si="11"/>
        <v>建筑结构</v>
      </c>
      <c r="R31" s="774" t="s">
        <v>17</v>
      </c>
      <c r="S31" s="775">
        <f t="shared" si="12"/>
        <v>100</v>
      </c>
      <c r="T31" s="774" t="s">
        <v>17</v>
      </c>
      <c r="U31" s="775">
        <f t="shared" si="13"/>
        <v>100</v>
      </c>
      <c r="V31" s="774" t="s">
        <v>17</v>
      </c>
      <c r="W31" s="775">
        <f t="shared" si="14"/>
        <v>100</v>
      </c>
      <c r="X31" s="1810"/>
      <c r="Y31" s="3219"/>
      <c r="Z31" s="1811" t="str">
        <f t="shared" si="15"/>
        <v>建筑结构</v>
      </c>
      <c r="AA31" s="1808">
        <f t="shared" si="3"/>
        <v>1</v>
      </c>
      <c r="AB31" s="1808">
        <f t="shared" si="4"/>
        <v>1</v>
      </c>
      <c r="AC31" s="1808">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9"/>
      <c r="Q32" s="1807" t="str">
        <f t="shared" si="11"/>
        <v>公共部分装修</v>
      </c>
      <c r="R32" s="774" t="s">
        <v>17</v>
      </c>
      <c r="S32" s="775">
        <f t="shared" si="12"/>
        <v>100</v>
      </c>
      <c r="T32" s="774" t="s">
        <v>17</v>
      </c>
      <c r="U32" s="775">
        <f t="shared" si="13"/>
        <v>100</v>
      </c>
      <c r="V32" s="774" t="s">
        <v>17</v>
      </c>
      <c r="W32" s="775">
        <f t="shared" si="14"/>
        <v>100</v>
      </c>
      <c r="X32" s="1810"/>
      <c r="Y32" s="3219"/>
      <c r="Z32" s="1811" t="str">
        <f t="shared" si="15"/>
        <v>公共部分装修</v>
      </c>
      <c r="AA32" s="1808">
        <f t="shared" si="3"/>
        <v>1</v>
      </c>
      <c r="AB32" s="1808">
        <f t="shared" si="4"/>
        <v>1</v>
      </c>
      <c r="AC32" s="1808">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9"/>
      <c r="Q33" s="1807" t="str">
        <f t="shared" si="11"/>
        <v>成新度</v>
      </c>
      <c r="R33" s="774" t="s">
        <v>17</v>
      </c>
      <c r="S33" s="775" t="e">
        <f t="shared" si="12"/>
        <v>#N/A</v>
      </c>
      <c r="T33" s="774" t="s">
        <v>17</v>
      </c>
      <c r="U33" s="775" t="e">
        <f t="shared" si="13"/>
        <v>#N/A</v>
      </c>
      <c r="V33" s="774" t="s">
        <v>17</v>
      </c>
      <c r="W33" s="775" t="e">
        <f t="shared" si="14"/>
        <v>#N/A</v>
      </c>
      <c r="X33" s="1810"/>
      <c r="Y33" s="3219"/>
      <c r="Z33" s="1811" t="str">
        <f t="shared" si="15"/>
        <v>成新度</v>
      </c>
      <c r="AA33" s="1808" t="e">
        <f t="shared" si="3"/>
        <v>#N/A</v>
      </c>
      <c r="AB33" s="1808" t="e">
        <f t="shared" si="4"/>
        <v>#N/A</v>
      </c>
      <c r="AC33" s="1808"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9"/>
      <c r="Q34" s="1792"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9" t="s">
        <v>2567</v>
      </c>
      <c r="Q35" s="1807" t="str">
        <f t="shared" si="11"/>
        <v>市政基础设施</v>
      </c>
      <c r="R35" s="774" t="s">
        <v>17</v>
      </c>
      <c r="S35" s="775">
        <f t="shared" si="12"/>
        <v>100</v>
      </c>
      <c r="T35" s="774" t="s">
        <v>17</v>
      </c>
      <c r="U35" s="775">
        <f t="shared" si="13"/>
        <v>100</v>
      </c>
      <c r="V35" s="774" t="s">
        <v>17</v>
      </c>
      <c r="W35" s="775">
        <f t="shared" si="14"/>
        <v>100</v>
      </c>
      <c r="X35" s="1810"/>
      <c r="Y35" s="3219" t="s">
        <v>2567</v>
      </c>
      <c r="Z35" s="1811" t="str">
        <f t="shared" si="15"/>
        <v>市政基础设施</v>
      </c>
      <c r="AA35" s="1808">
        <f t="shared" si="3"/>
        <v>1</v>
      </c>
      <c r="AB35" s="1808">
        <f t="shared" si="4"/>
        <v>1</v>
      </c>
      <c r="AC35" s="1808">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9"/>
      <c r="Q36" s="1807" t="str">
        <f t="shared" si="11"/>
        <v>内部装修</v>
      </c>
      <c r="R36" s="774" t="s">
        <v>17</v>
      </c>
      <c r="S36" s="775">
        <f t="shared" si="12"/>
        <v>100</v>
      </c>
      <c r="T36" s="774" t="s">
        <v>17</v>
      </c>
      <c r="U36" s="775">
        <f t="shared" si="13"/>
        <v>100</v>
      </c>
      <c r="V36" s="774" t="s">
        <v>17</v>
      </c>
      <c r="W36" s="775">
        <f t="shared" si="14"/>
        <v>100</v>
      </c>
      <c r="X36" s="1810"/>
      <c r="Y36" s="3219"/>
      <c r="Z36" s="1811" t="str">
        <f t="shared" si="15"/>
        <v>内部装修</v>
      </c>
      <c r="AA36" s="1808">
        <f t="shared" si="3"/>
        <v>1</v>
      </c>
      <c r="AB36" s="1808">
        <f t="shared" si="4"/>
        <v>1</v>
      </c>
      <c r="AC36" s="1808">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9"/>
      <c r="Q37" s="1807" t="str">
        <f t="shared" si="11"/>
        <v>内部装修状况</v>
      </c>
      <c r="R37" s="774" t="s">
        <v>17</v>
      </c>
      <c r="S37" s="775">
        <f t="shared" si="12"/>
        <v>100</v>
      </c>
      <c r="T37" s="774" t="s">
        <v>17</v>
      </c>
      <c r="U37" s="775">
        <f t="shared" si="13"/>
        <v>100</v>
      </c>
      <c r="V37" s="774" t="s">
        <v>17</v>
      </c>
      <c r="W37" s="775">
        <f t="shared" si="14"/>
        <v>100</v>
      </c>
      <c r="X37" s="1810"/>
      <c r="Y37" s="3219"/>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9"/>
      <c r="Q39" s="1807">
        <f t="shared" si="11"/>
        <v>111</v>
      </c>
      <c r="R39" s="774" t="s">
        <v>17</v>
      </c>
      <c r="S39" s="775">
        <f t="shared" si="12"/>
        <v>100</v>
      </c>
      <c r="T39" s="774" t="s">
        <v>17</v>
      </c>
      <c r="U39" s="775">
        <f t="shared" si="13"/>
        <v>100</v>
      </c>
      <c r="V39" s="774" t="s">
        <v>17</v>
      </c>
      <c r="W39" s="775">
        <f t="shared" si="14"/>
        <v>100</v>
      </c>
      <c r="X39" s="1810"/>
      <c r="Y39" s="3219"/>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20"/>
      <c r="Q40" s="1807">
        <f t="shared" si="11"/>
        <v>111</v>
      </c>
      <c r="R40" s="774" t="s">
        <v>17</v>
      </c>
      <c r="S40" s="775">
        <f t="shared" si="12"/>
        <v>100</v>
      </c>
      <c r="T40" s="774" t="s">
        <v>17</v>
      </c>
      <c r="U40" s="775">
        <f t="shared" si="13"/>
        <v>100</v>
      </c>
      <c r="V40" s="774" t="s">
        <v>17</v>
      </c>
      <c r="W40" s="775">
        <f t="shared" si="14"/>
        <v>100</v>
      </c>
      <c r="X40" s="1810"/>
      <c r="Y40" s="3220"/>
      <c r="Z40" s="1811">
        <f t="shared" si="15"/>
        <v>111</v>
      </c>
      <c r="AA40" s="1808">
        <f t="shared" si="3"/>
        <v>1</v>
      </c>
      <c r="AB40" s="1808">
        <f t="shared" si="4"/>
        <v>1</v>
      </c>
      <c r="AC40" s="1808">
        <f t="shared" si="5"/>
        <v>1</v>
      </c>
    </row>
    <row r="41" spans="1:29" ht="15">
      <c r="A41" s="479" t="s">
        <v>2579</v>
      </c>
      <c r="B41" s="480"/>
      <c r="C41" s="1404" t="s">
        <v>1</v>
      </c>
      <c r="D41" s="1405"/>
      <c r="E41" s="1406"/>
      <c r="F41" s="1407"/>
      <c r="G41" s="1408"/>
      <c r="H41" s="1409"/>
      <c r="I41" s="1406"/>
      <c r="J41" s="1409"/>
      <c r="K41" s="783"/>
      <c r="L41" s="1140"/>
      <c r="M41" s="1141"/>
      <c r="N41" s="1128"/>
      <c r="O41" s="1141"/>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2671</v>
      </c>
      <c r="B42" s="487"/>
      <c r="C42" s="1410" t="e">
        <f>R43</f>
        <v>#DIV/0!</v>
      </c>
      <c r="D42" s="1411"/>
      <c r="E42" s="1412" t="e">
        <f>R42</f>
        <v>#DIV/0!</v>
      </c>
      <c r="F42" s="1412"/>
      <c r="G42" s="1410" t="e">
        <f>T42</f>
        <v>#DIV/0!</v>
      </c>
      <c r="H42" s="1411"/>
      <c r="I42" s="1412" t="e">
        <f>V42</f>
        <v>#DIV/0!</v>
      </c>
      <c r="J42" s="1411"/>
      <c r="K42" s="784"/>
      <c r="L42" s="1140"/>
      <c r="M42" s="1141"/>
      <c r="N42" s="1128"/>
      <c r="O42" s="1141"/>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2672</v>
      </c>
      <c r="B43" s="493"/>
      <c r="C43" s="1414" t="e">
        <f>R43</f>
        <v>#DIV/0!</v>
      </c>
      <c r="D43" s="1414"/>
      <c r="E43" s="1414"/>
      <c r="F43" s="1414"/>
      <c r="G43" s="1414"/>
      <c r="H43" s="1414"/>
      <c r="I43" s="1414"/>
      <c r="J43" s="1414"/>
      <c r="K43" s="785"/>
      <c r="L43" s="1140"/>
      <c r="M43" s="1141"/>
      <c r="N43" s="1141"/>
      <c r="O43" s="1141"/>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2676</v>
      </c>
      <c r="B51" s="759"/>
      <c r="C51" s="764"/>
      <c r="D51" s="764"/>
      <c r="E51" s="764"/>
      <c r="F51" s="765"/>
      <c r="G51" s="765"/>
      <c r="H51" s="764"/>
      <c r="I51" s="764"/>
      <c r="J51" s="764"/>
      <c r="K51" s="1157"/>
      <c r="L51" s="1158"/>
      <c r="M51" s="1156"/>
      <c r="N51" s="1156"/>
      <c r="O51" s="1156"/>
      <c r="P51" s="503"/>
      <c r="Q51" s="504"/>
    </row>
    <row r="52" spans="1:17" s="508" customFormat="1" ht="15">
      <c r="A52" s="505" t="s">
        <v>2550</v>
      </c>
      <c r="B52" s="506"/>
      <c r="C52" s="1571" t="str">
        <f>YEAR(C7)&amp;"-"&amp;MONTH(C7)</f>
        <v>2018-5</v>
      </c>
      <c r="D52" s="1572">
        <f>EDATE(C52,-1)</f>
        <v>43191</v>
      </c>
      <c r="E52" s="1572">
        <f t="shared" ref="E52:O52" si="16">EDATE(D52,-1)</f>
        <v>43160</v>
      </c>
      <c r="F52" s="1572">
        <f t="shared" si="16"/>
        <v>43132</v>
      </c>
      <c r="G52" s="1572">
        <f t="shared" si="16"/>
        <v>43101</v>
      </c>
      <c r="H52" s="1572">
        <f t="shared" si="16"/>
        <v>43070</v>
      </c>
      <c r="I52" s="1572">
        <f t="shared" si="16"/>
        <v>43040</v>
      </c>
      <c r="J52" s="1572">
        <f t="shared" si="16"/>
        <v>43009</v>
      </c>
      <c r="K52" s="1572">
        <f t="shared" si="16"/>
        <v>42979</v>
      </c>
      <c r="L52" s="1572">
        <f t="shared" si="16"/>
        <v>42948</v>
      </c>
      <c r="M52" s="1572">
        <f t="shared" si="16"/>
        <v>42917</v>
      </c>
      <c r="N52" s="1572">
        <f t="shared" si="16"/>
        <v>42887</v>
      </c>
      <c r="O52" s="1572">
        <f t="shared" si="16"/>
        <v>42856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2590</v>
      </c>
      <c r="B57" s="528" t="s">
        <v>2556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2565</v>
      </c>
      <c r="B88" s="528" t="s">
        <v>2614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2620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2622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19"/>
      <c r="F1" s="2581"/>
      <c r="G1" s="1620" t="s">
        <v>2645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2329</v>
      </c>
      <c r="B2" s="1415" t="e">
        <f ca="1">IF(C2="——",IF(B37="元/平方米",ROUND(C39*D3/10000,0),ROUND(F3*C39/10000,0)),IF(B37="元/平方米",ROUND(C39*D3/10000,0),ROUND(F3*C39/10000,0))-D2)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182" t="s">
        <v>2649</v>
      </c>
      <c r="S4" s="3183"/>
      <c r="T4" s="3182" t="s">
        <v>2650</v>
      </c>
      <c r="U4" s="3183"/>
      <c r="V4" s="3207" t="s">
        <v>2651</v>
      </c>
      <c r="W4" s="3207"/>
      <c r="X4" s="1810"/>
      <c r="Y4" s="3182" t="s">
        <v>2653</v>
      </c>
      <c r="Z4" s="3183"/>
      <c r="AA4" s="3177" t="s">
        <v>2649</v>
      </c>
      <c r="AB4" s="3178" t="s">
        <v>2650</v>
      </c>
      <c r="AC4" s="3177" t="s">
        <v>2651</v>
      </c>
    </row>
    <row r="5" spans="1:29" ht="15">
      <c r="A5" s="404"/>
      <c r="B5" s="405"/>
      <c r="C5" s="3188" t="s">
        <v>2544</v>
      </c>
      <c r="D5" s="3189"/>
      <c r="E5" s="3186" t="s">
        <v>2545</v>
      </c>
      <c r="F5" s="3187"/>
      <c r="G5" s="3188" t="s">
        <v>2546</v>
      </c>
      <c r="H5" s="3189"/>
      <c r="I5" s="3188" t="s">
        <v>2547</v>
      </c>
      <c r="J5" s="3189"/>
      <c r="K5" s="610"/>
      <c r="L5" s="1127"/>
      <c r="M5" s="1128"/>
      <c r="N5" s="1128"/>
      <c r="O5" s="1128"/>
      <c r="P5" s="3201"/>
      <c r="Q5" s="3202"/>
      <c r="R5" s="3184"/>
      <c r="S5" s="3185"/>
      <c r="T5" s="3184"/>
      <c r="U5" s="3185"/>
      <c r="V5" s="3207"/>
      <c r="W5" s="3207"/>
      <c r="X5" s="1810"/>
      <c r="Y5" s="3184"/>
      <c r="Z5" s="3185"/>
      <c r="AA5" s="3178"/>
      <c r="AB5" s="3178"/>
      <c r="AC5" s="3178"/>
    </row>
    <row r="6" spans="1:29" ht="15.75" thickBot="1">
      <c r="A6" s="406"/>
      <c r="B6" s="407"/>
      <c r="C6" s="3190" t="s">
        <v>2548</v>
      </c>
      <c r="D6" s="3191"/>
      <c r="E6" s="3192" t="s">
        <v>2548</v>
      </c>
      <c r="F6" s="3193"/>
      <c r="G6" s="3190" t="s">
        <v>2548</v>
      </c>
      <c r="H6" s="3191"/>
      <c r="I6" s="3190" t="s">
        <v>2548</v>
      </c>
      <c r="J6" s="3191"/>
      <c r="K6" s="610" t="s">
        <v>2549</v>
      </c>
      <c r="L6" s="1127"/>
      <c r="M6" s="1128"/>
      <c r="N6" s="1128"/>
      <c r="O6" s="1128"/>
      <c r="P6" s="3203"/>
      <c r="Q6" s="3204"/>
      <c r="R6" s="3184"/>
      <c r="S6" s="3185"/>
      <c r="T6" s="3205"/>
      <c r="U6" s="3206"/>
      <c r="V6" s="3207"/>
      <c r="W6" s="3207"/>
      <c r="X6" s="1810"/>
      <c r="Y6" s="3205"/>
      <c r="Z6" s="3206"/>
      <c r="AA6" s="3179"/>
      <c r="AB6" s="3179"/>
      <c r="AC6" s="3179"/>
    </row>
    <row r="7" spans="1:29" s="117" customFormat="1" ht="15.75" thickBot="1">
      <c r="A7" s="408" t="s">
        <v>2550</v>
      </c>
      <c r="B7" s="409"/>
      <c r="C7" s="410">
        <f>'数据-取费表'!B2</f>
        <v>43238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80" t="s">
        <v>2551</v>
      </c>
      <c r="Q7" s="3208"/>
      <c r="R7" s="770" t="s">
        <v>17</v>
      </c>
      <c r="S7" s="771">
        <f t="shared" ref="S7:S14" si="0">F7</f>
        <v>0</v>
      </c>
      <c r="T7" s="770" t="s">
        <v>17</v>
      </c>
      <c r="U7" s="771">
        <f t="shared" ref="U7:U14" si="1">H7</f>
        <v>0</v>
      </c>
      <c r="V7" s="770" t="s">
        <v>17</v>
      </c>
      <c r="W7" s="771">
        <f t="shared" ref="W7:W14" si="2">J7</f>
        <v>0</v>
      </c>
      <c r="X7" s="772"/>
      <c r="Y7" s="3180" t="s">
        <v>2551</v>
      </c>
      <c r="Z7" s="318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80" t="s">
        <v>2554</v>
      </c>
      <c r="Q8" s="3181"/>
      <c r="R8" s="770" t="s">
        <v>17</v>
      </c>
      <c r="S8" s="771">
        <f t="shared" si="0"/>
        <v>0</v>
      </c>
      <c r="T8" s="770" t="s">
        <v>17</v>
      </c>
      <c r="U8" s="771">
        <f t="shared" si="1"/>
        <v>0</v>
      </c>
      <c r="V8" s="770" t="s">
        <v>17</v>
      </c>
      <c r="W8" s="771">
        <f t="shared" si="2"/>
        <v>0</v>
      </c>
      <c r="X8" s="772"/>
      <c r="Y8" s="3180" t="s">
        <v>2554</v>
      </c>
      <c r="Z8" s="318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12" t="s">
        <v>2557</v>
      </c>
      <c r="Q9" s="1792" t="str">
        <f t="shared" ref="Q9:Q14" si="6">B9</f>
        <v>用途</v>
      </c>
      <c r="R9" s="770" t="s">
        <v>17</v>
      </c>
      <c r="S9" s="771">
        <f t="shared" si="0"/>
        <v>100</v>
      </c>
      <c r="T9" s="770" t="s">
        <v>17</v>
      </c>
      <c r="U9" s="771">
        <f t="shared" si="1"/>
        <v>100</v>
      </c>
      <c r="V9" s="770" t="s">
        <v>17</v>
      </c>
      <c r="W9" s="771">
        <f t="shared" si="2"/>
        <v>100</v>
      </c>
      <c r="X9" s="772"/>
      <c r="Y9" s="3027"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12"/>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12"/>
      <c r="Q11" s="1792">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12"/>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12"/>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2561</v>
      </c>
      <c r="B14" s="629" t="s">
        <v>2711</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14" t="s">
        <v>2562</v>
      </c>
      <c r="Q14" s="1807" t="str">
        <f t="shared" si="6"/>
        <v>交通便捷度</v>
      </c>
      <c r="R14" s="774" t="s">
        <v>17</v>
      </c>
      <c r="S14" s="775">
        <f t="shared" si="0"/>
        <v>100</v>
      </c>
      <c r="T14" s="774" t="s">
        <v>17</v>
      </c>
      <c r="U14" s="775">
        <f t="shared" si="1"/>
        <v>100</v>
      </c>
      <c r="V14" s="774" t="s">
        <v>17</v>
      </c>
      <c r="W14" s="775">
        <f t="shared" si="2"/>
        <v>100</v>
      </c>
      <c r="X14" s="1810"/>
      <c r="Y14" s="3214" t="s">
        <v>2562</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15"/>
      <c r="Q15" s="1807"/>
      <c r="R15" s="774"/>
      <c r="S15" s="775"/>
      <c r="T15" s="774"/>
      <c r="U15" s="775"/>
      <c r="V15" s="774"/>
      <c r="W15" s="775"/>
      <c r="X15" s="1810"/>
      <c r="Y15" s="3215"/>
      <c r="Z15" s="1811"/>
      <c r="AA15" s="1808">
        <v>1</v>
      </c>
      <c r="AB15" s="1808">
        <v>1</v>
      </c>
      <c r="AC15" s="1808">
        <v>1</v>
      </c>
    </row>
    <row r="16" spans="1:29" ht="42.75">
      <c r="A16" s="404"/>
      <c r="B16" s="631" t="s">
        <v>2690</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15"/>
      <c r="Q16" s="1807" t="str">
        <f>B16</f>
        <v>公共配套设施</v>
      </c>
      <c r="R16" s="774" t="s">
        <v>17</v>
      </c>
      <c r="S16" s="775">
        <f>F16</f>
        <v>100</v>
      </c>
      <c r="T16" s="774" t="s">
        <v>17</v>
      </c>
      <c r="U16" s="775">
        <f>H16</f>
        <v>100</v>
      </c>
      <c r="V16" s="774" t="s">
        <v>17</v>
      </c>
      <c r="W16" s="775">
        <f>J16</f>
        <v>100</v>
      </c>
      <c r="X16" s="1810"/>
      <c r="Y16" s="3215"/>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7"/>
      <c r="M17" s="1128"/>
      <c r="N17" s="1128"/>
      <c r="O17" s="1128"/>
      <c r="P17" s="3215"/>
      <c r="Q17" s="1807"/>
      <c r="R17" s="774"/>
      <c r="S17" s="775"/>
      <c r="T17" s="774"/>
      <c r="U17" s="775"/>
      <c r="V17" s="774"/>
      <c r="W17" s="775"/>
      <c r="X17" s="1810"/>
      <c r="Y17" s="3215"/>
      <c r="Z17" s="1811"/>
      <c r="AA17" s="1808">
        <v>1</v>
      </c>
      <c r="AB17" s="1808">
        <v>1</v>
      </c>
      <c r="AC17" s="1808">
        <v>1</v>
      </c>
    </row>
    <row r="18" spans="1:29" ht="28.5">
      <c r="A18" s="404"/>
      <c r="B18" s="633" t="s">
        <v>2691</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15"/>
      <c r="Q18" s="1807" t="str">
        <f>B18</f>
        <v>基础设施水平</v>
      </c>
      <c r="R18" s="774" t="s">
        <v>17</v>
      </c>
      <c r="S18" s="775">
        <f>F18</f>
        <v>100</v>
      </c>
      <c r="T18" s="774" t="s">
        <v>17</v>
      </c>
      <c r="U18" s="775">
        <f>H18</f>
        <v>100</v>
      </c>
      <c r="V18" s="774" t="s">
        <v>17</v>
      </c>
      <c r="W18" s="775">
        <f>J18</f>
        <v>100</v>
      </c>
      <c r="X18" s="1810"/>
      <c r="Y18" s="3215"/>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0"/>
      <c r="L19" s="1137"/>
      <c r="M19" s="1128"/>
      <c r="N19" s="1128"/>
      <c r="O19" s="1128"/>
      <c r="P19" s="3215"/>
      <c r="Q19" s="1807"/>
      <c r="R19" s="774"/>
      <c r="S19" s="775"/>
      <c r="T19" s="774"/>
      <c r="U19" s="775"/>
      <c r="V19" s="774"/>
      <c r="W19" s="775"/>
      <c r="X19" s="1810"/>
      <c r="Y19" s="3215"/>
      <c r="Z19" s="1811"/>
      <c r="AA19" s="1808">
        <v>1</v>
      </c>
      <c r="AB19" s="1808">
        <v>1</v>
      </c>
      <c r="AC19" s="1808">
        <v>1</v>
      </c>
    </row>
    <row r="20" spans="1:29" ht="57">
      <c r="A20" s="404"/>
      <c r="B20" s="631" t="s">
        <v>2712</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15"/>
      <c r="Q20" s="1807" t="str">
        <f>B20</f>
        <v>自然及人文环境</v>
      </c>
      <c r="R20" s="774" t="s">
        <v>17</v>
      </c>
      <c r="S20" s="775">
        <f>F20</f>
        <v>100</v>
      </c>
      <c r="T20" s="774" t="s">
        <v>17</v>
      </c>
      <c r="U20" s="775">
        <f>H20</f>
        <v>100</v>
      </c>
      <c r="V20" s="774" t="s">
        <v>17</v>
      </c>
      <c r="W20" s="775">
        <f>J20</f>
        <v>100</v>
      </c>
      <c r="X20" s="1810"/>
      <c r="Y20" s="3215"/>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15"/>
      <c r="Q21" s="1807"/>
      <c r="R21" s="774"/>
      <c r="S21" s="775"/>
      <c r="T21" s="774"/>
      <c r="U21" s="775"/>
      <c r="V21" s="774"/>
      <c r="W21" s="775"/>
      <c r="X21" s="1810"/>
      <c r="Y21" s="3215"/>
      <c r="Z21" s="1811"/>
      <c r="AA21" s="1808">
        <v>1</v>
      </c>
      <c r="AB21" s="1808">
        <v>1</v>
      </c>
      <c r="AC21" s="1808">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15"/>
      <c r="Q22" s="1807" t="str">
        <f>B22</f>
        <v>楼层</v>
      </c>
      <c r="R22" s="774" t="s">
        <v>17</v>
      </c>
      <c r="S22" s="775">
        <f>F22</f>
        <v>100</v>
      </c>
      <c r="T22" s="774" t="s">
        <v>17</v>
      </c>
      <c r="U22" s="775">
        <f>H22</f>
        <v>100</v>
      </c>
      <c r="V22" s="774" t="s">
        <v>17</v>
      </c>
      <c r="W22" s="775">
        <f>J22</f>
        <v>100</v>
      </c>
      <c r="X22" s="1810"/>
      <c r="Y22" s="3215"/>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15"/>
      <c r="Q23" s="1807">
        <f>B23</f>
        <v>111</v>
      </c>
      <c r="R23" s="774" t="s">
        <v>17</v>
      </c>
      <c r="S23" s="775">
        <f>F23</f>
        <v>100</v>
      </c>
      <c r="T23" s="774" t="s">
        <v>17</v>
      </c>
      <c r="U23" s="775">
        <f>H23</f>
        <v>100</v>
      </c>
      <c r="V23" s="774" t="s">
        <v>17</v>
      </c>
      <c r="W23" s="775">
        <f>J23</f>
        <v>100</v>
      </c>
      <c r="X23" s="1810"/>
      <c r="Y23" s="3215"/>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15"/>
      <c r="Q24" s="1807">
        <f t="shared" ref="Q24:Q36" si="11">B24</f>
        <v>111</v>
      </c>
      <c r="R24" s="774" t="s">
        <v>17</v>
      </c>
      <c r="S24" s="775">
        <f>F24</f>
        <v>100</v>
      </c>
      <c r="T24" s="774" t="s">
        <v>17</v>
      </c>
      <c r="U24" s="775">
        <f>H24</f>
        <v>100</v>
      </c>
      <c r="V24" s="774" t="s">
        <v>17</v>
      </c>
      <c r="W24" s="775">
        <f>J24</f>
        <v>100</v>
      </c>
      <c r="X24" s="1810"/>
      <c r="Y24" s="3215"/>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15"/>
      <c r="Q25" s="1792">
        <f t="shared" si="11"/>
        <v>111</v>
      </c>
      <c r="R25" s="770" t="s">
        <v>17</v>
      </c>
      <c r="S25" s="771">
        <f>F25</f>
        <v>100</v>
      </c>
      <c r="T25" s="770" t="s">
        <v>17</v>
      </c>
      <c r="U25" s="771">
        <f>H25</f>
        <v>100</v>
      </c>
      <c r="V25" s="770" t="s">
        <v>17</v>
      </c>
      <c r="W25" s="771">
        <f>J25</f>
        <v>100</v>
      </c>
      <c r="X25" s="772"/>
      <c r="Y25" s="3215"/>
      <c r="Z25" s="55">
        <f>Q25</f>
        <v>111</v>
      </c>
      <c r="AA25" s="1808">
        <f>D25/F25</f>
        <v>1</v>
      </c>
      <c r="AB25" s="1808">
        <f>D25/H25</f>
        <v>1</v>
      </c>
      <c r="AC25" s="1808">
        <f>D25/J25</f>
        <v>1</v>
      </c>
    </row>
    <row r="26" spans="1:29" ht="15">
      <c r="A26" s="652" t="s">
        <v>2565</v>
      </c>
      <c r="B26" s="70" t="s">
        <v>2714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40" t="s">
        <v>2567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19" t="s">
        <v>2567</v>
      </c>
      <c r="Z26" s="1811" t="str">
        <f t="shared" ref="Z26:Z36" si="15">Q26</f>
        <v>配套类型</v>
      </c>
      <c r="AA26" s="1808">
        <f t="shared" si="3"/>
        <v>1</v>
      </c>
      <c r="AB26" s="1808">
        <f t="shared" si="4"/>
        <v>1</v>
      </c>
      <c r="AC26" s="1808">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08">
        <f t="shared" si="3"/>
        <v>1</v>
      </c>
      <c r="AB27" s="1808">
        <f t="shared" si="4"/>
        <v>1</v>
      </c>
      <c r="AC27" s="1808">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19"/>
      <c r="Q28" s="1807" t="str">
        <f t="shared" si="11"/>
        <v>公共部分装修</v>
      </c>
      <c r="R28" s="774" t="s">
        <v>17</v>
      </c>
      <c r="S28" s="775">
        <f t="shared" si="12"/>
        <v>100</v>
      </c>
      <c r="T28" s="774" t="s">
        <v>17</v>
      </c>
      <c r="U28" s="775">
        <f t="shared" si="13"/>
        <v>100</v>
      </c>
      <c r="V28" s="774" t="s">
        <v>17</v>
      </c>
      <c r="W28" s="775">
        <f t="shared" si="14"/>
        <v>100</v>
      </c>
      <c r="X28" s="1810"/>
      <c r="Y28" s="3219"/>
      <c r="Z28" s="1811" t="str">
        <f t="shared" si="15"/>
        <v>公共部分装修</v>
      </c>
      <c r="AA28" s="1808">
        <f t="shared" si="3"/>
        <v>1</v>
      </c>
      <c r="AB28" s="1808">
        <f t="shared" si="4"/>
        <v>1</v>
      </c>
      <c r="AC28" s="1808">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19"/>
      <c r="Q29" s="1807" t="str">
        <f t="shared" si="11"/>
        <v>成新率</v>
      </c>
      <c r="R29" s="774" t="s">
        <v>17</v>
      </c>
      <c r="S29" s="775" t="e">
        <f t="shared" si="12"/>
        <v>#N/A</v>
      </c>
      <c r="T29" s="774" t="s">
        <v>17</v>
      </c>
      <c r="U29" s="775" t="e">
        <f t="shared" si="13"/>
        <v>#N/A</v>
      </c>
      <c r="V29" s="774" t="s">
        <v>17</v>
      </c>
      <c r="W29" s="775" t="e">
        <f t="shared" si="14"/>
        <v>#N/A</v>
      </c>
      <c r="X29" s="1810"/>
      <c r="Y29" s="3219"/>
      <c r="Z29" s="1811" t="str">
        <f t="shared" si="15"/>
        <v>成新率</v>
      </c>
      <c r="AA29" s="1808" t="e">
        <f t="shared" si="3"/>
        <v>#N/A</v>
      </c>
      <c r="AB29" s="1808" t="e">
        <f t="shared" si="4"/>
        <v>#N/A</v>
      </c>
      <c r="AC29" s="1808"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19"/>
      <c r="Q30" s="1807" t="str">
        <f t="shared" si="11"/>
        <v>物业等级</v>
      </c>
      <c r="R30" s="774" t="s">
        <v>17</v>
      </c>
      <c r="S30" s="775">
        <f t="shared" si="12"/>
        <v>100</v>
      </c>
      <c r="T30" s="774" t="s">
        <v>17</v>
      </c>
      <c r="U30" s="775">
        <f t="shared" si="13"/>
        <v>100</v>
      </c>
      <c r="V30" s="774" t="s">
        <v>17</v>
      </c>
      <c r="W30" s="775">
        <f t="shared" si="14"/>
        <v>100</v>
      </c>
      <c r="X30" s="1810"/>
      <c r="Y30" s="3219"/>
      <c r="Z30" s="1811" t="str">
        <f t="shared" si="15"/>
        <v>物业等级</v>
      </c>
      <c r="AA30" s="1808">
        <f t="shared" si="3"/>
        <v>1</v>
      </c>
      <c r="AB30" s="1808">
        <f t="shared" si="4"/>
        <v>1</v>
      </c>
      <c r="AC30" s="1808">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19"/>
      <c r="Q31" s="1792"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19" t="s">
        <v>2567</v>
      </c>
      <c r="Q32" s="1807" t="str">
        <f t="shared" si="11"/>
        <v>车位类型</v>
      </c>
      <c r="R32" s="774" t="s">
        <v>17</v>
      </c>
      <c r="S32" s="775">
        <f t="shared" si="12"/>
        <v>100</v>
      </c>
      <c r="T32" s="774" t="s">
        <v>17</v>
      </c>
      <c r="U32" s="775">
        <f t="shared" si="13"/>
        <v>100</v>
      </c>
      <c r="V32" s="774" t="s">
        <v>17</v>
      </c>
      <c r="W32" s="775">
        <f t="shared" si="14"/>
        <v>100</v>
      </c>
      <c r="X32" s="1810"/>
      <c r="Y32" s="3219" t="s">
        <v>2567</v>
      </c>
      <c r="Z32" s="1811" t="str">
        <f t="shared" si="15"/>
        <v>车位类型</v>
      </c>
      <c r="AA32" s="1808">
        <f t="shared" si="3"/>
        <v>1</v>
      </c>
      <c r="AB32" s="1808">
        <f t="shared" si="4"/>
        <v>1</v>
      </c>
      <c r="AC32" s="1808">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19"/>
      <c r="Q33" s="1807" t="str">
        <f t="shared" si="11"/>
        <v>是否直接入户</v>
      </c>
      <c r="R33" s="774" t="s">
        <v>17</v>
      </c>
      <c r="S33" s="775">
        <f t="shared" si="12"/>
        <v>100</v>
      </c>
      <c r="T33" s="774" t="s">
        <v>17</v>
      </c>
      <c r="U33" s="775">
        <f t="shared" si="13"/>
        <v>100</v>
      </c>
      <c r="V33" s="774" t="s">
        <v>17</v>
      </c>
      <c r="W33" s="775">
        <f t="shared" si="14"/>
        <v>100</v>
      </c>
      <c r="X33" s="1810"/>
      <c r="Y33" s="3219"/>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9"/>
      <c r="Q34" s="1807">
        <f t="shared" si="11"/>
        <v>111</v>
      </c>
      <c r="R34" s="774" t="s">
        <v>17</v>
      </c>
      <c r="S34" s="775">
        <f t="shared" si="12"/>
        <v>100</v>
      </c>
      <c r="T34" s="774" t="s">
        <v>17</v>
      </c>
      <c r="U34" s="775">
        <f t="shared" si="13"/>
        <v>100</v>
      </c>
      <c r="V34" s="774" t="s">
        <v>17</v>
      </c>
      <c r="W34" s="775">
        <f t="shared" si="14"/>
        <v>100</v>
      </c>
      <c r="X34" s="1810"/>
      <c r="Y34" s="3219"/>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9"/>
      <c r="Q36" s="1807">
        <f t="shared" si="11"/>
        <v>111</v>
      </c>
      <c r="R36" s="774" t="s">
        <v>17</v>
      </c>
      <c r="S36" s="775">
        <f t="shared" si="12"/>
        <v>100</v>
      </c>
      <c r="T36" s="774" t="s">
        <v>17</v>
      </c>
      <c r="U36" s="775">
        <f t="shared" si="13"/>
        <v>100</v>
      </c>
      <c r="V36" s="774" t="s">
        <v>17</v>
      </c>
      <c r="W36" s="775">
        <f t="shared" si="14"/>
        <v>100</v>
      </c>
      <c r="X36" s="1810"/>
      <c r="Y36" s="3219"/>
      <c r="Z36" s="1811">
        <f t="shared" si="15"/>
        <v>111</v>
      </c>
      <c r="AA36" s="1808">
        <f t="shared" si="3"/>
        <v>1</v>
      </c>
      <c r="AB36" s="1808">
        <f t="shared" si="4"/>
        <v>1</v>
      </c>
      <c r="AC36" s="1808">
        <f t="shared" si="5"/>
        <v>1</v>
      </c>
    </row>
    <row r="37" spans="1:29" ht="15">
      <c r="A37" s="479" t="s">
        <v>2722</v>
      </c>
      <c r="B37" s="2692" t="s">
        <v>2723</v>
      </c>
      <c r="C37" s="1404" t="s">
        <v>1</v>
      </c>
      <c r="D37" s="1405"/>
      <c r="E37" s="1406"/>
      <c r="F37" s="1407"/>
      <c r="G37" s="1408"/>
      <c r="H37" s="1409"/>
      <c r="I37" s="1406"/>
      <c r="J37" s="1409"/>
      <c r="K37" s="619"/>
      <c r="L37" s="1140"/>
      <c r="M37" s="1141"/>
      <c r="N37" s="1128"/>
      <c r="O37" s="1141"/>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2724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2725</v>
      </c>
      <c r="B39" s="493"/>
      <c r="C39" s="1414" t="e">
        <f>R39</f>
        <v>#DIV/0!</v>
      </c>
      <c r="D39" s="1414"/>
      <c r="E39" s="1414"/>
      <c r="F39" s="1414"/>
      <c r="G39" s="1414"/>
      <c r="H39" s="1414"/>
      <c r="I39" s="1414"/>
      <c r="J39" s="1414"/>
      <c r="K39" s="621"/>
      <c r="L39" s="1140"/>
      <c r="M39" s="1141"/>
      <c r="N39" s="1141"/>
      <c r="O39" s="1141"/>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2730</v>
      </c>
      <c r="B48" s="506"/>
      <c r="C48" s="1571" t="str">
        <f>YEAR(C7)&amp;"-"&amp;MONTH(C7)</f>
        <v>2018-5</v>
      </c>
      <c r="D48" s="1572">
        <f>EDATE(C48,-1)</f>
        <v>43191</v>
      </c>
      <c r="E48" s="1572">
        <f t="shared" ref="E48:O48" si="16">EDATE(D48,-1)</f>
        <v>43160</v>
      </c>
      <c r="F48" s="1572">
        <f t="shared" si="16"/>
        <v>43132</v>
      </c>
      <c r="G48" s="1572">
        <f t="shared" si="16"/>
        <v>43101</v>
      </c>
      <c r="H48" s="1572">
        <f t="shared" si="16"/>
        <v>43070</v>
      </c>
      <c r="I48" s="1572">
        <f t="shared" si="16"/>
        <v>43040</v>
      </c>
      <c r="J48" s="1572">
        <f t="shared" si="16"/>
        <v>43009</v>
      </c>
      <c r="K48" s="1572">
        <f t="shared" si="16"/>
        <v>42979</v>
      </c>
      <c r="L48" s="1572">
        <f t="shared" si="16"/>
        <v>42948</v>
      </c>
      <c r="M48" s="1572">
        <f t="shared" si="16"/>
        <v>42917</v>
      </c>
      <c r="N48" s="1572">
        <f t="shared" si="16"/>
        <v>42887</v>
      </c>
      <c r="O48" s="1572">
        <f t="shared" si="16"/>
        <v>42856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2552</v>
      </c>
      <c r="B51" s="510"/>
      <c r="C51" s="522" t="s">
        <v>2654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2590</v>
      </c>
      <c r="B53" s="528" t="s">
        <v>2556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2605</v>
      </c>
      <c r="C65" s="578" t="s">
        <v>2599</v>
      </c>
      <c r="D65" s="578" t="s">
        <v>2600</v>
      </c>
      <c r="E65" s="578" t="s">
        <v>2601</v>
      </c>
      <c r="F65" s="578" t="s">
        <v>2602</v>
      </c>
      <c r="G65" s="578" t="s">
        <v>2603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2691</v>
      </c>
      <c r="C67" s="660" t="s">
        <v>2677</v>
      </c>
      <c r="D67" s="660" t="s">
        <v>2678</v>
      </c>
      <c r="E67" s="660" t="s">
        <v>2679</v>
      </c>
      <c r="F67" s="660" t="s">
        <v>2680</v>
      </c>
      <c r="G67" s="660" t="s">
        <v>2681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2611</v>
      </c>
      <c r="C69" s="578" t="s">
        <v>2599</v>
      </c>
      <c r="D69" s="578" t="s">
        <v>2600</v>
      </c>
      <c r="E69" s="578" t="s">
        <v>2601</v>
      </c>
      <c r="F69" s="578" t="s">
        <v>2602</v>
      </c>
      <c r="G69" s="578" t="s">
        <v>2603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2731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2565</v>
      </c>
      <c r="B79" s="528" t="s">
        <v>2732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2733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2735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IF(C2="——",ROUND(C37*D3/10000,0),ROUND(C37*D3/10000,0)-D2)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182" t="s">
        <v>2649</v>
      </c>
      <c r="S4" s="3183"/>
      <c r="T4" s="3182" t="s">
        <v>2650</v>
      </c>
      <c r="U4" s="3183"/>
      <c r="V4" s="3207" t="s">
        <v>2651</v>
      </c>
      <c r="W4" s="3207"/>
      <c r="X4" s="1810"/>
      <c r="Y4" s="3182" t="s">
        <v>2653</v>
      </c>
      <c r="Z4" s="3183"/>
      <c r="AA4" s="3177" t="s">
        <v>2649</v>
      </c>
      <c r="AB4" s="3178" t="s">
        <v>2650</v>
      </c>
      <c r="AC4" s="3177" t="s">
        <v>2651</v>
      </c>
    </row>
    <row r="5" spans="1:29" ht="15">
      <c r="A5" s="404"/>
      <c r="B5" s="405"/>
      <c r="C5" s="3188" t="s">
        <v>2544</v>
      </c>
      <c r="D5" s="3189"/>
      <c r="E5" s="3186" t="s">
        <v>2545</v>
      </c>
      <c r="F5" s="3187"/>
      <c r="G5" s="3188" t="s">
        <v>2546</v>
      </c>
      <c r="H5" s="3189"/>
      <c r="I5" s="3188" t="s">
        <v>2547</v>
      </c>
      <c r="J5" s="3189"/>
      <c r="K5" s="610"/>
      <c r="L5" s="1127"/>
      <c r="M5" s="1128"/>
      <c r="N5" s="1128"/>
      <c r="O5" s="1128"/>
      <c r="P5" s="3201"/>
      <c r="Q5" s="3202"/>
      <c r="R5" s="3184"/>
      <c r="S5" s="3185"/>
      <c r="T5" s="3184"/>
      <c r="U5" s="3185"/>
      <c r="V5" s="3207"/>
      <c r="W5" s="3207"/>
      <c r="X5" s="1810"/>
      <c r="Y5" s="3184"/>
      <c r="Z5" s="3185"/>
      <c r="AA5" s="3178"/>
      <c r="AB5" s="3178"/>
      <c r="AC5" s="3178"/>
    </row>
    <row r="6" spans="1:29" ht="15.75" thickBot="1">
      <c r="A6" s="406"/>
      <c r="B6" s="407"/>
      <c r="C6" s="3190" t="s">
        <v>2548</v>
      </c>
      <c r="D6" s="3191"/>
      <c r="E6" s="3192" t="s">
        <v>2548</v>
      </c>
      <c r="F6" s="3193"/>
      <c r="G6" s="3190" t="s">
        <v>2548</v>
      </c>
      <c r="H6" s="3191"/>
      <c r="I6" s="3190" t="s">
        <v>2548</v>
      </c>
      <c r="J6" s="3191"/>
      <c r="K6" s="610" t="s">
        <v>2549</v>
      </c>
      <c r="L6" s="1127"/>
      <c r="M6" s="1128"/>
      <c r="N6" s="1128"/>
      <c r="O6" s="1128"/>
      <c r="P6" s="3203"/>
      <c r="Q6" s="3204"/>
      <c r="R6" s="3184"/>
      <c r="S6" s="3185"/>
      <c r="T6" s="3205"/>
      <c r="U6" s="3206"/>
      <c r="V6" s="3207"/>
      <c r="W6" s="3207"/>
      <c r="X6" s="1810"/>
      <c r="Y6" s="3205"/>
      <c r="Z6" s="3206"/>
      <c r="AA6" s="3179"/>
      <c r="AB6" s="3179"/>
      <c r="AC6" s="3179"/>
    </row>
    <row r="7" spans="1:29" s="117" customFormat="1" ht="15.75" thickBot="1">
      <c r="A7" s="408" t="s">
        <v>2550</v>
      </c>
      <c r="B7" s="409"/>
      <c r="C7" s="410">
        <f>'数据-取费表'!B2</f>
        <v>43238</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180" t="s">
        <v>2551</v>
      </c>
      <c r="Q7" s="3208"/>
      <c r="R7" s="770" t="s">
        <v>17</v>
      </c>
      <c r="S7" s="771">
        <f t="shared" ref="S7:S14" si="0">F7</f>
        <v>0</v>
      </c>
      <c r="T7" s="770" t="s">
        <v>17</v>
      </c>
      <c r="U7" s="771">
        <f t="shared" ref="U7:U14" si="1">H7</f>
        <v>0</v>
      </c>
      <c r="V7" s="770" t="s">
        <v>17</v>
      </c>
      <c r="W7" s="771">
        <f t="shared" ref="W7:W14" si="2">J7</f>
        <v>0</v>
      </c>
      <c r="X7" s="772"/>
      <c r="Y7" s="3180" t="s">
        <v>2551</v>
      </c>
      <c r="Z7" s="318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80" t="s">
        <v>2554</v>
      </c>
      <c r="Q8" s="3181"/>
      <c r="R8" s="770" t="s">
        <v>17</v>
      </c>
      <c r="S8" s="771">
        <f t="shared" si="0"/>
        <v>0</v>
      </c>
      <c r="T8" s="770" t="s">
        <v>17</v>
      </c>
      <c r="U8" s="771">
        <f t="shared" si="1"/>
        <v>0</v>
      </c>
      <c r="V8" s="770" t="s">
        <v>17</v>
      </c>
      <c r="W8" s="771">
        <f t="shared" si="2"/>
        <v>0</v>
      </c>
      <c r="X8" s="772"/>
      <c r="Y8" s="3180" t="s">
        <v>2554</v>
      </c>
      <c r="Z8" s="318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12" t="s">
        <v>2557</v>
      </c>
      <c r="Q9" s="1792" t="str">
        <f t="shared" ref="Q9:Q14" si="6">B9</f>
        <v>用途</v>
      </c>
      <c r="R9" s="770" t="s">
        <v>17</v>
      </c>
      <c r="S9" s="771">
        <f t="shared" si="0"/>
        <v>100</v>
      </c>
      <c r="T9" s="770" t="s">
        <v>17</v>
      </c>
      <c r="U9" s="771">
        <f t="shared" si="1"/>
        <v>100</v>
      </c>
      <c r="V9" s="770" t="s">
        <v>17</v>
      </c>
      <c r="W9" s="771">
        <f t="shared" si="2"/>
        <v>100</v>
      </c>
      <c r="X9" s="772"/>
      <c r="Y9" s="3027"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12"/>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12"/>
      <c r="Q11" s="1792">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12"/>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212"/>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2561</v>
      </c>
      <c r="B14" s="69" t="s">
        <v>2711</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14" t="s">
        <v>2562</v>
      </c>
      <c r="Q14" s="1807" t="str">
        <f t="shared" si="6"/>
        <v>交通便捷度</v>
      </c>
      <c r="R14" s="774" t="s">
        <v>17</v>
      </c>
      <c r="S14" s="775">
        <f t="shared" si="0"/>
        <v>100</v>
      </c>
      <c r="T14" s="774" t="s">
        <v>17</v>
      </c>
      <c r="U14" s="775">
        <f t="shared" si="1"/>
        <v>100</v>
      </c>
      <c r="V14" s="774" t="s">
        <v>17</v>
      </c>
      <c r="W14" s="775">
        <f t="shared" si="2"/>
        <v>100</v>
      </c>
      <c r="X14" s="1810"/>
      <c r="Y14" s="3214" t="s">
        <v>2562</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15"/>
      <c r="Q15" s="1807"/>
      <c r="R15" s="774"/>
      <c r="S15" s="775"/>
      <c r="T15" s="774"/>
      <c r="U15" s="775"/>
      <c r="V15" s="774"/>
      <c r="W15" s="775"/>
      <c r="X15" s="1810"/>
      <c r="Y15" s="3215"/>
      <c r="Z15" s="1811"/>
      <c r="AA15" s="1808">
        <v>1</v>
      </c>
      <c r="AB15" s="1808">
        <v>1</v>
      </c>
      <c r="AC15" s="1808">
        <v>1</v>
      </c>
    </row>
    <row r="16" spans="1:29" ht="42.75">
      <c r="A16" s="428"/>
      <c r="B16" s="451" t="s">
        <v>2690</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15"/>
      <c r="Q16" s="1807" t="str">
        <f>B16</f>
        <v>公共配套设施</v>
      </c>
      <c r="R16" s="774" t="s">
        <v>17</v>
      </c>
      <c r="S16" s="775">
        <f>F16</f>
        <v>100</v>
      </c>
      <c r="T16" s="774" t="s">
        <v>17</v>
      </c>
      <c r="U16" s="775">
        <f>H16</f>
        <v>100</v>
      </c>
      <c r="V16" s="774" t="s">
        <v>17</v>
      </c>
      <c r="W16" s="775">
        <f>J16</f>
        <v>100</v>
      </c>
      <c r="X16" s="1810"/>
      <c r="Y16" s="3215"/>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7"/>
      <c r="M17" s="1128"/>
      <c r="N17" s="1128"/>
      <c r="O17" s="1136"/>
      <c r="P17" s="3215"/>
      <c r="Q17" s="1807"/>
      <c r="R17" s="774"/>
      <c r="S17" s="775"/>
      <c r="T17" s="774"/>
      <c r="U17" s="775"/>
      <c r="V17" s="774"/>
      <c r="W17" s="775"/>
      <c r="X17" s="1810"/>
      <c r="Y17" s="3215"/>
      <c r="Z17" s="1811"/>
      <c r="AA17" s="1808">
        <v>1</v>
      </c>
      <c r="AB17" s="1808">
        <v>1</v>
      </c>
      <c r="AC17" s="1808">
        <v>1</v>
      </c>
    </row>
    <row r="18" spans="1:29" ht="28.5">
      <c r="A18" s="428"/>
      <c r="B18" s="1381" t="s">
        <v>2691</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15"/>
      <c r="Q18" s="1807" t="str">
        <f>B18</f>
        <v>基础设施水平</v>
      </c>
      <c r="R18" s="774" t="s">
        <v>17</v>
      </c>
      <c r="S18" s="775">
        <f>F18</f>
        <v>100</v>
      </c>
      <c r="T18" s="774" t="s">
        <v>17</v>
      </c>
      <c r="U18" s="775">
        <f>H18</f>
        <v>100</v>
      </c>
      <c r="V18" s="774" t="s">
        <v>17</v>
      </c>
      <c r="W18" s="775">
        <f>J18</f>
        <v>100</v>
      </c>
      <c r="X18" s="1810"/>
      <c r="Y18" s="3215"/>
      <c r="Z18" s="1811" t="str">
        <f>Q18</f>
        <v>基础设施水平</v>
      </c>
      <c r="AA18" s="1808">
        <f t="shared" ref="AA18" si="8">D18/F18</f>
        <v>1</v>
      </c>
      <c r="AB18" s="1808">
        <f t="shared" ref="AB18" si="9">D18/H18</f>
        <v>1</v>
      </c>
      <c r="AC18" s="1808">
        <f t="shared" ref="AC18" si="10">D18/J18</f>
        <v>1</v>
      </c>
    </row>
    <row r="19" spans="1:29" ht="15">
      <c r="A19" s="428"/>
      <c r="B19" s="1381"/>
      <c r="C19" s="2605"/>
      <c r="D19" s="450"/>
      <c r="E19" s="2605"/>
      <c r="F19" s="453"/>
      <c r="G19" s="2605"/>
      <c r="H19" s="448"/>
      <c r="I19" s="447"/>
      <c r="J19" s="448"/>
      <c r="K19" s="1380"/>
      <c r="L19" s="1137"/>
      <c r="M19" s="1128"/>
      <c r="N19" s="1128"/>
      <c r="O19" s="1136"/>
      <c r="P19" s="3215"/>
      <c r="Q19" s="1807"/>
      <c r="R19" s="774"/>
      <c r="S19" s="775"/>
      <c r="T19" s="774"/>
      <c r="U19" s="775"/>
      <c r="V19" s="774"/>
      <c r="W19" s="775"/>
      <c r="X19" s="1810"/>
      <c r="Y19" s="3215"/>
      <c r="Z19" s="1811"/>
      <c r="AA19" s="1808">
        <v>1</v>
      </c>
      <c r="AB19" s="1808">
        <v>1</v>
      </c>
      <c r="AC19" s="1808">
        <v>1</v>
      </c>
    </row>
    <row r="20" spans="1:29" ht="57">
      <c r="A20" s="428"/>
      <c r="B20" s="451" t="s">
        <v>2712</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15"/>
      <c r="Q20" s="1807" t="str">
        <f>B20</f>
        <v>自然及人文环境</v>
      </c>
      <c r="R20" s="774" t="s">
        <v>17</v>
      </c>
      <c r="S20" s="775">
        <f>F20</f>
        <v>100</v>
      </c>
      <c r="T20" s="774" t="s">
        <v>17</v>
      </c>
      <c r="U20" s="775">
        <f>H20</f>
        <v>100</v>
      </c>
      <c r="V20" s="774" t="s">
        <v>17</v>
      </c>
      <c r="W20" s="775">
        <f>J20</f>
        <v>100</v>
      </c>
      <c r="X20" s="1810"/>
      <c r="Y20" s="3215"/>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15"/>
      <c r="Q21" s="1807"/>
      <c r="R21" s="774"/>
      <c r="S21" s="775"/>
      <c r="T21" s="774"/>
      <c r="U21" s="775"/>
      <c r="V21" s="774"/>
      <c r="W21" s="775"/>
      <c r="X21" s="1810"/>
      <c r="Y21" s="3215"/>
      <c r="Z21" s="1811"/>
      <c r="AA21" s="1808">
        <v>1</v>
      </c>
      <c r="AB21" s="1808">
        <v>1</v>
      </c>
      <c r="AC21" s="1808">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15"/>
      <c r="Q22" s="1807" t="str">
        <f>B22</f>
        <v>楼层</v>
      </c>
      <c r="R22" s="774" t="s">
        <v>17</v>
      </c>
      <c r="S22" s="775">
        <f>F22</f>
        <v>100</v>
      </c>
      <c r="T22" s="774" t="s">
        <v>17</v>
      </c>
      <c r="U22" s="775">
        <f>H22</f>
        <v>100</v>
      </c>
      <c r="V22" s="774" t="s">
        <v>17</v>
      </c>
      <c r="W22" s="775">
        <f>J22</f>
        <v>100</v>
      </c>
      <c r="X22" s="1810"/>
      <c r="Y22" s="3215"/>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15"/>
      <c r="Q23" s="1807">
        <f>B23</f>
        <v>111</v>
      </c>
      <c r="R23" s="774" t="s">
        <v>17</v>
      </c>
      <c r="S23" s="775">
        <f>F23</f>
        <v>100</v>
      </c>
      <c r="T23" s="774" t="s">
        <v>17</v>
      </c>
      <c r="U23" s="775">
        <f>H23</f>
        <v>100</v>
      </c>
      <c r="V23" s="774" t="s">
        <v>17</v>
      </c>
      <c r="W23" s="775">
        <f>J23</f>
        <v>100</v>
      </c>
      <c r="X23" s="1810"/>
      <c r="Y23" s="3215"/>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15"/>
      <c r="Q24" s="1807">
        <f t="shared" ref="Q24:Q34" si="11">B24</f>
        <v>111</v>
      </c>
      <c r="R24" s="774" t="s">
        <v>17</v>
      </c>
      <c r="S24" s="775">
        <f>F24</f>
        <v>100</v>
      </c>
      <c r="T24" s="774" t="s">
        <v>17</v>
      </c>
      <c r="U24" s="775">
        <f>H24</f>
        <v>100</v>
      </c>
      <c r="V24" s="774" t="s">
        <v>17</v>
      </c>
      <c r="W24" s="775">
        <f>J24</f>
        <v>100</v>
      </c>
      <c r="X24" s="1810"/>
      <c r="Y24" s="3215"/>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215"/>
      <c r="Q25" s="1792">
        <f t="shared" si="11"/>
        <v>111</v>
      </c>
      <c r="R25" s="770" t="s">
        <v>17</v>
      </c>
      <c r="S25" s="771">
        <f>F25</f>
        <v>100</v>
      </c>
      <c r="T25" s="770" t="s">
        <v>17</v>
      </c>
      <c r="U25" s="771">
        <f>H25</f>
        <v>100</v>
      </c>
      <c r="V25" s="770" t="s">
        <v>17</v>
      </c>
      <c r="W25" s="771">
        <f>J25</f>
        <v>100</v>
      </c>
      <c r="X25" s="772"/>
      <c r="Y25" s="3215"/>
      <c r="Z25" s="55">
        <f>Q25</f>
        <v>111</v>
      </c>
      <c r="AA25" s="1808">
        <f>D25/F25</f>
        <v>1</v>
      </c>
      <c r="AB25" s="1808">
        <f>D25/H25</f>
        <v>1</v>
      </c>
      <c r="AC25" s="1808">
        <f>D25/J25</f>
        <v>1</v>
      </c>
    </row>
    <row r="26" spans="1:29" ht="15">
      <c r="A26" s="466" t="s">
        <v>2565</v>
      </c>
      <c r="B26" s="71" t="s">
        <v>2716</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240" t="s">
        <v>2567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19" t="s">
        <v>2567</v>
      </c>
      <c r="Z26" s="1811" t="str">
        <f t="shared" ref="Z26:Z34" si="15">Q26</f>
        <v>公共部分装修</v>
      </c>
      <c r="AA26" s="1808">
        <f t="shared" si="3"/>
        <v>1</v>
      </c>
      <c r="AB26" s="1808">
        <f t="shared" si="4"/>
        <v>1</v>
      </c>
      <c r="AC26" s="1808">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08" t="e">
        <f t="shared" si="3"/>
        <v>#N/A</v>
      </c>
      <c r="AB27" s="1808" t="e">
        <f t="shared" si="4"/>
        <v>#N/A</v>
      </c>
      <c r="AC27" s="1808"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9"/>
      <c r="Q28" s="1807" t="str">
        <f t="shared" si="11"/>
        <v>物业等级</v>
      </c>
      <c r="R28" s="774" t="s">
        <v>17</v>
      </c>
      <c r="S28" s="775">
        <f t="shared" si="12"/>
        <v>100</v>
      </c>
      <c r="T28" s="774" t="s">
        <v>17</v>
      </c>
      <c r="U28" s="775">
        <f t="shared" si="13"/>
        <v>100</v>
      </c>
      <c r="V28" s="774" t="s">
        <v>17</v>
      </c>
      <c r="W28" s="775">
        <f t="shared" si="14"/>
        <v>100</v>
      </c>
      <c r="X28" s="1810"/>
      <c r="Y28" s="3219"/>
      <c r="Z28" s="1811" t="str">
        <f t="shared" si="15"/>
        <v>物业等级</v>
      </c>
      <c r="AA28" s="1808">
        <f t="shared" si="3"/>
        <v>1</v>
      </c>
      <c r="AB28" s="1808">
        <f t="shared" si="4"/>
        <v>1</v>
      </c>
      <c r="AC28" s="1808">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19"/>
      <c r="Q29" s="1807" t="str">
        <f t="shared" si="11"/>
        <v>有无电梯</v>
      </c>
      <c r="R29" s="774" t="s">
        <v>17</v>
      </c>
      <c r="S29" s="775">
        <f t="shared" si="12"/>
        <v>100</v>
      </c>
      <c r="T29" s="774" t="s">
        <v>17</v>
      </c>
      <c r="U29" s="775">
        <f t="shared" si="13"/>
        <v>100</v>
      </c>
      <c r="V29" s="774" t="s">
        <v>17</v>
      </c>
      <c r="W29" s="775">
        <f t="shared" si="14"/>
        <v>100</v>
      </c>
      <c r="X29" s="1810"/>
      <c r="Y29" s="3219"/>
      <c r="Z29" s="1811" t="str">
        <f t="shared" si="15"/>
        <v>有无电梯</v>
      </c>
      <c r="AA29" s="1808">
        <f t="shared" si="3"/>
        <v>1</v>
      </c>
      <c r="AB29" s="1808">
        <f t="shared" si="4"/>
        <v>1</v>
      </c>
      <c r="AC29" s="1808">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9"/>
      <c r="Q30" s="1807" t="str">
        <f t="shared" si="11"/>
        <v>建筑面积</v>
      </c>
      <c r="R30" s="774" t="s">
        <v>17</v>
      </c>
      <c r="S30" s="775" t="e">
        <f t="shared" si="12"/>
        <v>#N/A</v>
      </c>
      <c r="T30" s="774" t="s">
        <v>17</v>
      </c>
      <c r="U30" s="775" t="e">
        <f t="shared" si="13"/>
        <v>#N/A</v>
      </c>
      <c r="V30" s="774" t="s">
        <v>17</v>
      </c>
      <c r="W30" s="775" t="e">
        <f t="shared" si="14"/>
        <v>#N/A</v>
      </c>
      <c r="X30" s="1810"/>
      <c r="Y30" s="3219"/>
      <c r="Z30" s="1811" t="str">
        <f t="shared" si="15"/>
        <v>建筑面积</v>
      </c>
      <c r="AA30" s="1808" t="e">
        <f t="shared" si="3"/>
        <v>#N/A</v>
      </c>
      <c r="AB30" s="1808" t="e">
        <f t="shared" si="4"/>
        <v>#N/A</v>
      </c>
      <c r="AC30" s="1808"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19"/>
      <c r="Q31" s="1792"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9" t="s">
        <v>2567</v>
      </c>
      <c r="Q32" s="1807">
        <f t="shared" si="11"/>
        <v>111</v>
      </c>
      <c r="R32" s="774" t="s">
        <v>17</v>
      </c>
      <c r="S32" s="775">
        <f t="shared" si="12"/>
        <v>100</v>
      </c>
      <c r="T32" s="774" t="s">
        <v>17</v>
      </c>
      <c r="U32" s="775">
        <f t="shared" si="13"/>
        <v>100</v>
      </c>
      <c r="V32" s="774" t="s">
        <v>17</v>
      </c>
      <c r="W32" s="775">
        <f t="shared" si="14"/>
        <v>100</v>
      </c>
      <c r="X32" s="1810"/>
      <c r="Y32" s="3219" t="s">
        <v>2567</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9"/>
      <c r="Q33" s="1807">
        <f t="shared" si="11"/>
        <v>111</v>
      </c>
      <c r="R33" s="774" t="s">
        <v>17</v>
      </c>
      <c r="S33" s="775">
        <f t="shared" si="12"/>
        <v>100</v>
      </c>
      <c r="T33" s="774" t="s">
        <v>17</v>
      </c>
      <c r="U33" s="775">
        <f t="shared" si="13"/>
        <v>100</v>
      </c>
      <c r="V33" s="774" t="s">
        <v>17</v>
      </c>
      <c r="W33" s="775">
        <f t="shared" si="14"/>
        <v>100</v>
      </c>
      <c r="X33" s="1810"/>
      <c r="Y33" s="3219"/>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219"/>
      <c r="Q34" s="1807">
        <f t="shared" si="11"/>
        <v>111</v>
      </c>
      <c r="R34" s="774" t="s">
        <v>17</v>
      </c>
      <c r="S34" s="775">
        <f t="shared" si="12"/>
        <v>100</v>
      </c>
      <c r="T34" s="774" t="s">
        <v>17</v>
      </c>
      <c r="U34" s="775">
        <f t="shared" si="13"/>
        <v>100</v>
      </c>
      <c r="V34" s="774" t="s">
        <v>17</v>
      </c>
      <c r="W34" s="775">
        <f t="shared" si="14"/>
        <v>100</v>
      </c>
      <c r="X34" s="1810"/>
      <c r="Y34" s="3219"/>
      <c r="Z34" s="1811">
        <f t="shared" si="15"/>
        <v>111</v>
      </c>
      <c r="AA34" s="1808">
        <f t="shared" si="3"/>
        <v>1</v>
      </c>
      <c r="AB34" s="1808">
        <f t="shared" si="4"/>
        <v>1</v>
      </c>
      <c r="AC34" s="1808">
        <f t="shared" si="5"/>
        <v>1</v>
      </c>
    </row>
    <row r="35" spans="1:29" ht="15">
      <c r="A35" s="479" t="s">
        <v>2579</v>
      </c>
      <c r="B35" s="480"/>
      <c r="C35" s="1404" t="s">
        <v>1</v>
      </c>
      <c r="D35" s="1405"/>
      <c r="E35" s="1406"/>
      <c r="F35" s="1407"/>
      <c r="G35" s="1408"/>
      <c r="H35" s="1409"/>
      <c r="I35" s="1406"/>
      <c r="J35" s="1409"/>
      <c r="K35" s="783"/>
      <c r="L35" s="1140"/>
      <c r="M35" s="1141"/>
      <c r="N35" s="1128"/>
      <c r="O35" s="1141"/>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2671</v>
      </c>
      <c r="B36" s="487"/>
      <c r="C36" s="1410" t="e">
        <f>R37</f>
        <v>#DIV/0!</v>
      </c>
      <c r="D36" s="1411"/>
      <c r="E36" s="1412" t="e">
        <f>R36</f>
        <v>#DIV/0!</v>
      </c>
      <c r="F36" s="1412"/>
      <c r="G36" s="1410" t="e">
        <f>T36</f>
        <v>#DIV/0!</v>
      </c>
      <c r="H36" s="1411"/>
      <c r="I36" s="1412" t="e">
        <f>V36</f>
        <v>#DIV/0!</v>
      </c>
      <c r="J36" s="1411"/>
      <c r="K36" s="784"/>
      <c r="L36" s="1140"/>
      <c r="M36" s="1141"/>
      <c r="N36" s="1128"/>
      <c r="O36" s="1141"/>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2672</v>
      </c>
      <c r="B37" s="493"/>
      <c r="C37" s="1414" t="e">
        <f>R37</f>
        <v>#DIV/0!</v>
      </c>
      <c r="D37" s="1414"/>
      <c r="E37" s="1414"/>
      <c r="F37" s="1414"/>
      <c r="G37" s="1414"/>
      <c r="H37" s="1414"/>
      <c r="I37" s="1414"/>
      <c r="J37" s="1414"/>
      <c r="K37" s="785"/>
      <c r="L37" s="1140"/>
      <c r="M37" s="1141"/>
      <c r="N37" s="1141"/>
      <c r="O37" s="1141"/>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1" t="str">
        <f>YEAR(C7)&amp;"-"&amp;MONTH(C7)</f>
        <v>2018-5</v>
      </c>
      <c r="D46" s="1572">
        <f>EDATE(C46,-1)</f>
        <v>43191</v>
      </c>
      <c r="E46" s="1572">
        <f t="shared" ref="E46:O46" si="16">EDATE(D46,-1)</f>
        <v>43160</v>
      </c>
      <c r="F46" s="1572">
        <f t="shared" si="16"/>
        <v>43132</v>
      </c>
      <c r="G46" s="1572">
        <f t="shared" si="16"/>
        <v>43101</v>
      </c>
      <c r="H46" s="1572">
        <f t="shared" si="16"/>
        <v>43070</v>
      </c>
      <c r="I46" s="1572">
        <f t="shared" si="16"/>
        <v>43040</v>
      </c>
      <c r="J46" s="1572">
        <f t="shared" si="16"/>
        <v>43009</v>
      </c>
      <c r="K46" s="1572">
        <f t="shared" si="16"/>
        <v>42979</v>
      </c>
      <c r="L46" s="1572">
        <f t="shared" si="16"/>
        <v>42948</v>
      </c>
      <c r="M46" s="1572">
        <f t="shared" si="16"/>
        <v>42917</v>
      </c>
      <c r="N46" s="1572">
        <f t="shared" si="16"/>
        <v>42887</v>
      </c>
      <c r="O46" s="1572">
        <f t="shared" si="16"/>
        <v>42856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2590</v>
      </c>
      <c r="B51" s="528" t="s">
        <v>2556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2731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2565</v>
      </c>
      <c r="B77" s="528" t="s">
        <v>2618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182" t="s">
        <v>2649</v>
      </c>
      <c r="S4" s="3183"/>
      <c r="T4" s="3182" t="s">
        <v>2650</v>
      </c>
      <c r="U4" s="3183"/>
      <c r="V4" s="3207" t="s">
        <v>2651</v>
      </c>
      <c r="W4" s="3207"/>
      <c r="X4" s="1810"/>
      <c r="Y4" s="3182" t="s">
        <v>2653</v>
      </c>
      <c r="Z4" s="3183"/>
      <c r="AA4" s="3177" t="s">
        <v>2649</v>
      </c>
      <c r="AB4" s="3178" t="s">
        <v>2650</v>
      </c>
      <c r="AC4" s="3177" t="s">
        <v>2651</v>
      </c>
    </row>
    <row r="5" spans="1:30" ht="15">
      <c r="A5" s="404"/>
      <c r="B5" s="405"/>
      <c r="C5" s="3188" t="s">
        <v>2544</v>
      </c>
      <c r="D5" s="3189"/>
      <c r="E5" s="3186" t="s">
        <v>2545</v>
      </c>
      <c r="F5" s="3187"/>
      <c r="G5" s="3188" t="s">
        <v>2546</v>
      </c>
      <c r="H5" s="3189"/>
      <c r="I5" s="3188" t="s">
        <v>2547</v>
      </c>
      <c r="J5" s="3189"/>
      <c r="K5" s="610"/>
      <c r="L5" s="1127"/>
      <c r="M5" s="1128"/>
      <c r="N5" s="1128"/>
      <c r="O5" s="1128"/>
      <c r="P5" s="3201"/>
      <c r="Q5" s="3202"/>
      <c r="R5" s="3184"/>
      <c r="S5" s="3185"/>
      <c r="T5" s="3184"/>
      <c r="U5" s="3185"/>
      <c r="V5" s="3207"/>
      <c r="W5" s="3207"/>
      <c r="X5" s="1810"/>
      <c r="Y5" s="3184"/>
      <c r="Z5" s="3185"/>
      <c r="AA5" s="3178"/>
      <c r="AB5" s="3178"/>
      <c r="AC5" s="3178"/>
    </row>
    <row r="6" spans="1:30" ht="15.75" thickBot="1">
      <c r="A6" s="406"/>
      <c r="B6" s="407"/>
      <c r="C6" s="3190" t="s">
        <v>2548</v>
      </c>
      <c r="D6" s="3191"/>
      <c r="E6" s="3192" t="s">
        <v>2548</v>
      </c>
      <c r="F6" s="3193"/>
      <c r="G6" s="3190" t="s">
        <v>2548</v>
      </c>
      <c r="H6" s="3191"/>
      <c r="I6" s="3190" t="s">
        <v>2548</v>
      </c>
      <c r="J6" s="3191"/>
      <c r="K6" s="610" t="s">
        <v>2549</v>
      </c>
      <c r="L6" s="1127"/>
      <c r="M6" s="1128"/>
      <c r="N6" s="1128"/>
      <c r="O6" s="1128"/>
      <c r="P6" s="3203"/>
      <c r="Q6" s="3204"/>
      <c r="R6" s="3184"/>
      <c r="S6" s="3185"/>
      <c r="T6" s="3205"/>
      <c r="U6" s="3206"/>
      <c r="V6" s="3207"/>
      <c r="W6" s="3207"/>
      <c r="X6" s="1810"/>
      <c r="Y6" s="3205"/>
      <c r="Z6" s="3206"/>
      <c r="AA6" s="3179"/>
      <c r="AB6" s="3179"/>
      <c r="AC6" s="3179"/>
    </row>
    <row r="7" spans="1:30" s="117" customFormat="1" ht="15.75" thickBot="1">
      <c r="A7" s="408" t="s">
        <v>2550</v>
      </c>
      <c r="B7" s="409"/>
      <c r="C7" s="410">
        <f>'数据-取费表'!B2</f>
        <v>43238</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9"/>
      <c r="M7" s="1130"/>
      <c r="N7" s="1130"/>
      <c r="O7" s="1130"/>
      <c r="P7" s="3180" t="s">
        <v>2551</v>
      </c>
      <c r="Q7" s="3208"/>
      <c r="R7" s="770" t="s">
        <v>17</v>
      </c>
      <c r="S7" s="771">
        <f t="shared" ref="S7:S15" si="0">F7</f>
        <v>0</v>
      </c>
      <c r="T7" s="770" t="s">
        <v>17</v>
      </c>
      <c r="U7" s="771">
        <f t="shared" ref="U7:U15" si="1">H7</f>
        <v>0</v>
      </c>
      <c r="V7" s="770" t="s">
        <v>17</v>
      </c>
      <c r="W7" s="771">
        <f t="shared" ref="W7:W15" si="2">J7</f>
        <v>0</v>
      </c>
      <c r="X7" s="772"/>
      <c r="Y7" s="3180" t="s">
        <v>2551</v>
      </c>
      <c r="Z7" s="318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80" t="s">
        <v>2554</v>
      </c>
      <c r="Q8" s="3181"/>
      <c r="R8" s="770" t="s">
        <v>17</v>
      </c>
      <c r="S8" s="771">
        <f t="shared" si="0"/>
        <v>0</v>
      </c>
      <c r="T8" s="770" t="s">
        <v>17</v>
      </c>
      <c r="U8" s="771">
        <f t="shared" si="1"/>
        <v>0</v>
      </c>
      <c r="V8" s="770" t="s">
        <v>17</v>
      </c>
      <c r="W8" s="771">
        <f t="shared" si="2"/>
        <v>0</v>
      </c>
      <c r="X8" s="772"/>
      <c r="Y8" s="3180" t="s">
        <v>2554</v>
      </c>
      <c r="Z8" s="3181"/>
      <c r="AA8" s="773" t="e">
        <f t="shared" ref="AA8:AA45" si="3">D8/F8</f>
        <v>#DIV/0!</v>
      </c>
      <c r="AB8" s="773" t="e">
        <f t="shared" ref="AB8:AB45" si="4">D8/H8</f>
        <v>#DIV/0!</v>
      </c>
      <c r="AC8" s="773" t="e">
        <f t="shared" ref="AC8:AC45" si="5">D8/J8</f>
        <v>#DIV/0!</v>
      </c>
    </row>
    <row r="9" spans="1:30" s="117" customFormat="1">
      <c r="A9" s="415" t="s">
        <v>2555</v>
      </c>
      <c r="B9" s="71" t="s">
        <v>2556</v>
      </c>
      <c r="C9" s="2696"/>
      <c r="D9" s="135">
        <v>100</v>
      </c>
      <c r="E9" s="2696"/>
      <c r="F9" s="135">
        <f>SUMIF(75:75,E9,76:76)-SUMIF(75:75,C9,76:76)+100</f>
        <v>100</v>
      </c>
      <c r="G9" s="2696"/>
      <c r="H9" s="135">
        <f>SUMIF(75:75,G9,76:76)-SUMIF(75:75,C9,76:76)+100</f>
        <v>100</v>
      </c>
      <c r="I9" s="2696"/>
      <c r="J9" s="135">
        <f>SUMIF(75:75,I9,76:76)-SUMIF(75:75,C9,76:76)+100</f>
        <v>100</v>
      </c>
      <c r="K9" s="611"/>
      <c r="L9" s="1129"/>
      <c r="M9" s="1130"/>
      <c r="N9" s="1130"/>
      <c r="O9" s="1131"/>
      <c r="P9" s="3212" t="s">
        <v>2557</v>
      </c>
      <c r="Q9" s="1792" t="str">
        <f t="shared" ref="Q9:Q15" si="6">B9</f>
        <v>用途</v>
      </c>
      <c r="R9" s="770" t="s">
        <v>17</v>
      </c>
      <c r="S9" s="771">
        <f t="shared" si="0"/>
        <v>100</v>
      </c>
      <c r="T9" s="770" t="s">
        <v>17</v>
      </c>
      <c r="U9" s="771">
        <f t="shared" si="1"/>
        <v>100</v>
      </c>
      <c r="V9" s="770" t="s">
        <v>17</v>
      </c>
      <c r="W9" s="771">
        <f t="shared" si="2"/>
        <v>100</v>
      </c>
      <c r="X9" s="772"/>
      <c r="Y9" s="3027"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212"/>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12"/>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7" t="s">
        <v>2749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12"/>
      <c r="Q12" s="1792"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12"/>
      <c r="Q13" s="1792">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12"/>
      <c r="Q14" s="1792">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2561</v>
      </c>
      <c r="B15" s="69" t="s">
        <v>2086</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14" t="s">
        <v>2562</v>
      </c>
      <c r="Q15" s="1807" t="str">
        <f t="shared" si="6"/>
        <v>居住社区成熟度</v>
      </c>
      <c r="R15" s="774" t="s">
        <v>17</v>
      </c>
      <c r="S15" s="775">
        <f t="shared" si="0"/>
        <v>100</v>
      </c>
      <c r="T15" s="774" t="s">
        <v>17</v>
      </c>
      <c r="U15" s="775">
        <f t="shared" si="1"/>
        <v>100</v>
      </c>
      <c r="V15" s="774" t="s">
        <v>17</v>
      </c>
      <c r="W15" s="775">
        <f t="shared" si="2"/>
        <v>100</v>
      </c>
      <c r="X15" s="1810"/>
      <c r="Y15" s="3214" t="s">
        <v>2562</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7"/>
      <c r="M16" s="1128"/>
      <c r="N16" s="1128"/>
      <c r="O16" s="1136"/>
      <c r="P16" s="3215"/>
      <c r="Q16" s="1807"/>
      <c r="R16" s="774"/>
      <c r="S16" s="775"/>
      <c r="T16" s="774"/>
      <c r="U16" s="775"/>
      <c r="V16" s="774"/>
      <c r="W16" s="775"/>
      <c r="X16" s="1810"/>
      <c r="Y16" s="3215"/>
      <c r="Z16" s="1811"/>
      <c r="AA16" s="1808">
        <v>1</v>
      </c>
      <c r="AB16" s="1808">
        <v>1</v>
      </c>
      <c r="AC16" s="1808">
        <v>1</v>
      </c>
    </row>
    <row r="17" spans="1:29" ht="71.25">
      <c r="A17" s="428"/>
      <c r="B17" s="451" t="s">
        <v>2655</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15"/>
      <c r="Q17" s="1807" t="str">
        <f>B17</f>
        <v>商业繁华度</v>
      </c>
      <c r="R17" s="774" t="s">
        <v>17</v>
      </c>
      <c r="S17" s="775">
        <f>F17</f>
        <v>100</v>
      </c>
      <c r="T17" s="774" t="s">
        <v>17</v>
      </c>
      <c r="U17" s="775">
        <f>H17</f>
        <v>100</v>
      </c>
      <c r="V17" s="774" t="s">
        <v>17</v>
      </c>
      <c r="W17" s="775">
        <f>J17</f>
        <v>100</v>
      </c>
      <c r="X17" s="1810"/>
      <c r="Y17" s="3215"/>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7"/>
      <c r="M18" s="1128"/>
      <c r="N18" s="1128"/>
      <c r="O18" s="1136"/>
      <c r="P18" s="3215"/>
      <c r="Q18" s="1807"/>
      <c r="R18" s="774"/>
      <c r="S18" s="775"/>
      <c r="T18" s="774"/>
      <c r="U18" s="775"/>
      <c r="V18" s="774"/>
      <c r="W18" s="775"/>
      <c r="X18" s="1810"/>
      <c r="Y18" s="3215"/>
      <c r="Z18" s="1811"/>
      <c r="AA18" s="1808">
        <v>1</v>
      </c>
      <c r="AB18" s="1808">
        <v>1</v>
      </c>
      <c r="AC18" s="1808">
        <v>1</v>
      </c>
    </row>
    <row r="19" spans="1:29" ht="71.25">
      <c r="A19" s="428"/>
      <c r="B19" s="451" t="s">
        <v>2689</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15"/>
      <c r="Q19" s="1807" t="str">
        <f>B19</f>
        <v>办公集聚程度</v>
      </c>
      <c r="R19" s="774" t="s">
        <v>17</v>
      </c>
      <c r="S19" s="775">
        <f>F19</f>
        <v>100</v>
      </c>
      <c r="T19" s="774" t="s">
        <v>17</v>
      </c>
      <c r="U19" s="775">
        <f>H19</f>
        <v>100</v>
      </c>
      <c r="V19" s="774" t="s">
        <v>17</v>
      </c>
      <c r="W19" s="775">
        <f>J19</f>
        <v>100</v>
      </c>
      <c r="X19" s="1810"/>
      <c r="Y19" s="3215"/>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7"/>
      <c r="M20" s="1128"/>
      <c r="N20" s="1128"/>
      <c r="O20" s="1136"/>
      <c r="P20" s="3215"/>
      <c r="Q20" s="1807"/>
      <c r="R20" s="774"/>
      <c r="S20" s="775"/>
      <c r="T20" s="774"/>
      <c r="U20" s="775"/>
      <c r="V20" s="774"/>
      <c r="W20" s="775"/>
      <c r="X20" s="1810"/>
      <c r="Y20" s="3215"/>
      <c r="Z20" s="1811"/>
      <c r="AA20" s="1808">
        <v>1</v>
      </c>
      <c r="AB20" s="1808">
        <v>1</v>
      </c>
      <c r="AC20" s="1808">
        <v>1</v>
      </c>
    </row>
    <row r="21" spans="1:29" ht="85.5">
      <c r="A21" s="428"/>
      <c r="B21" s="451" t="s">
        <v>2711</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15"/>
      <c r="Q21" s="1807" t="str">
        <f>B21</f>
        <v>交通便捷度</v>
      </c>
      <c r="R21" s="774" t="s">
        <v>17</v>
      </c>
      <c r="S21" s="775">
        <f>F21</f>
        <v>100</v>
      </c>
      <c r="T21" s="774" t="s">
        <v>17</v>
      </c>
      <c r="U21" s="775">
        <f>H21</f>
        <v>100</v>
      </c>
      <c r="V21" s="774" t="s">
        <v>17</v>
      </c>
      <c r="W21" s="775">
        <f>J21</f>
        <v>100</v>
      </c>
      <c r="X21" s="1810"/>
      <c r="Y21" s="3215"/>
      <c r="Z21" s="1811" t="str">
        <f>Q21</f>
        <v>交通便捷度</v>
      </c>
      <c r="AA21" s="1808">
        <f t="shared" si="3"/>
        <v>1</v>
      </c>
      <c r="AB21" s="1808">
        <f t="shared" si="4"/>
        <v>1</v>
      </c>
      <c r="AC21" s="1808">
        <f t="shared" si="5"/>
        <v>1</v>
      </c>
    </row>
    <row r="22" spans="1:29" ht="15">
      <c r="A22" s="428"/>
      <c r="B22" s="1381"/>
      <c r="C22" s="447"/>
      <c r="D22" s="450"/>
      <c r="E22" s="2602"/>
      <c r="F22" s="448"/>
      <c r="G22" s="2602"/>
      <c r="H22" s="448"/>
      <c r="I22" s="2601"/>
      <c r="J22" s="448"/>
      <c r="K22" s="672"/>
      <c r="L22" s="1137"/>
      <c r="M22" s="1128"/>
      <c r="N22" s="1128"/>
      <c r="O22" s="1136"/>
      <c r="P22" s="3215"/>
      <c r="Q22" s="1807"/>
      <c r="R22" s="774"/>
      <c r="S22" s="775"/>
      <c r="T22" s="774"/>
      <c r="U22" s="775"/>
      <c r="V22" s="774"/>
      <c r="W22" s="775"/>
      <c r="X22" s="1810"/>
      <c r="Y22" s="3215"/>
      <c r="Z22" s="1811"/>
      <c r="AA22" s="1808">
        <v>1</v>
      </c>
      <c r="AB22" s="1808">
        <v>1</v>
      </c>
      <c r="AC22" s="1808">
        <v>1</v>
      </c>
    </row>
    <row r="23" spans="1:29" ht="15">
      <c r="A23" s="404"/>
      <c r="B23" s="451" t="s">
        <v>2750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15"/>
      <c r="Q23" s="1807" t="str">
        <f t="shared" ref="Q23:Q37" si="8">B23</f>
        <v>区域土地利用方向</v>
      </c>
      <c r="R23" s="774" t="s">
        <v>17</v>
      </c>
      <c r="S23" s="775">
        <f>F23</f>
        <v>100</v>
      </c>
      <c r="T23" s="774" t="s">
        <v>17</v>
      </c>
      <c r="U23" s="775">
        <f>H23</f>
        <v>100</v>
      </c>
      <c r="V23" s="774" t="s">
        <v>17</v>
      </c>
      <c r="W23" s="775">
        <f>J23</f>
        <v>100</v>
      </c>
      <c r="X23" s="1810"/>
      <c r="Y23" s="3215"/>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06"/>
      <c r="L24" s="1137"/>
      <c r="M24" s="1128"/>
      <c r="N24" s="1128"/>
      <c r="O24" s="1136"/>
      <c r="P24" s="3215"/>
      <c r="Q24" s="1807"/>
      <c r="R24" s="774"/>
      <c r="S24" s="775"/>
      <c r="T24" s="774"/>
      <c r="U24" s="775"/>
      <c r="V24" s="774"/>
      <c r="W24" s="775"/>
      <c r="X24" s="1810"/>
      <c r="Y24" s="3215"/>
      <c r="Z24" s="1811"/>
      <c r="AA24" s="1808"/>
      <c r="AB24" s="1808"/>
      <c r="AC24" s="1808"/>
    </row>
    <row r="25" spans="1:29" ht="57">
      <c r="A25" s="404"/>
      <c r="B25" s="1381" t="s">
        <v>2751</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15"/>
      <c r="Q25" s="1807" t="str">
        <f t="shared" si="8"/>
        <v>自然及人文环境状况</v>
      </c>
      <c r="R25" s="774" t="s">
        <v>17</v>
      </c>
      <c r="S25" s="775">
        <f>F25</f>
        <v>100</v>
      </c>
      <c r="T25" s="774" t="s">
        <v>17</v>
      </c>
      <c r="U25" s="775">
        <f>H25</f>
        <v>100</v>
      </c>
      <c r="V25" s="774" t="s">
        <v>17</v>
      </c>
      <c r="W25" s="775">
        <f>J25</f>
        <v>100</v>
      </c>
      <c r="X25" s="1810"/>
      <c r="Y25" s="3215"/>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7"/>
      <c r="M26" s="1128"/>
      <c r="N26" s="1128"/>
      <c r="O26" s="1136"/>
      <c r="P26" s="3215"/>
      <c r="Q26" s="1807"/>
      <c r="R26" s="774"/>
      <c r="S26" s="775"/>
      <c r="T26" s="774"/>
      <c r="U26" s="775"/>
      <c r="V26" s="774"/>
      <c r="W26" s="775"/>
      <c r="X26" s="1810"/>
      <c r="Y26" s="3215"/>
      <c r="Z26" s="1811"/>
      <c r="AA26" s="1808">
        <v>1</v>
      </c>
      <c r="AB26" s="1808">
        <v>1</v>
      </c>
      <c r="AC26" s="1808">
        <v>1</v>
      </c>
    </row>
    <row r="27" spans="1:29" s="117" customFormat="1" ht="42.75">
      <c r="A27" s="649"/>
      <c r="B27" s="1381" t="s">
        <v>2656</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15"/>
      <c r="Q27" s="1792" t="str">
        <f t="shared" si="8"/>
        <v>公共配套设施</v>
      </c>
      <c r="R27" s="770" t="s">
        <v>17</v>
      </c>
      <c r="S27" s="771">
        <f>F27</f>
        <v>100</v>
      </c>
      <c r="T27" s="770" t="s">
        <v>17</v>
      </c>
      <c r="U27" s="771">
        <f>H27</f>
        <v>100</v>
      </c>
      <c r="V27" s="770" t="s">
        <v>17</v>
      </c>
      <c r="W27" s="771">
        <f>J27</f>
        <v>100</v>
      </c>
      <c r="X27" s="772"/>
      <c r="Y27" s="3215"/>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29"/>
      <c r="M28" s="1130"/>
      <c r="N28" s="1130"/>
      <c r="O28" s="1131"/>
      <c r="P28" s="3215"/>
      <c r="Q28" s="1792"/>
      <c r="R28" s="770"/>
      <c r="S28" s="771"/>
      <c r="T28" s="770"/>
      <c r="U28" s="771"/>
      <c r="V28" s="770"/>
      <c r="W28" s="771"/>
      <c r="X28" s="772"/>
      <c r="Y28" s="3215"/>
      <c r="Z28" s="55"/>
      <c r="AA28" s="1808">
        <v>1</v>
      </c>
      <c r="AB28" s="1808">
        <v>1</v>
      </c>
      <c r="AC28" s="1808">
        <v>1</v>
      </c>
    </row>
    <row r="29" spans="1:29" s="117" customFormat="1" ht="28.5">
      <c r="A29" s="649"/>
      <c r="B29" s="1381" t="s">
        <v>2657</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15"/>
      <c r="Q29" s="1792" t="str">
        <f t="shared" ref="Q29" si="9">B29</f>
        <v>基础设施水平</v>
      </c>
      <c r="R29" s="770" t="s">
        <v>17</v>
      </c>
      <c r="S29" s="771">
        <f>F29</f>
        <v>100</v>
      </c>
      <c r="T29" s="770" t="s">
        <v>17</v>
      </c>
      <c r="U29" s="771">
        <f>H29</f>
        <v>100</v>
      </c>
      <c r="V29" s="770" t="s">
        <v>17</v>
      </c>
      <c r="W29" s="771">
        <f>J29</f>
        <v>100</v>
      </c>
      <c r="X29" s="772"/>
      <c r="Y29" s="3215"/>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29"/>
      <c r="M30" s="1130"/>
      <c r="N30" s="1130"/>
      <c r="O30" s="1131"/>
      <c r="P30" s="3215"/>
      <c r="Q30" s="1792"/>
      <c r="R30" s="770"/>
      <c r="S30" s="771"/>
      <c r="T30" s="770"/>
      <c r="U30" s="771"/>
      <c r="V30" s="770"/>
      <c r="W30" s="771"/>
      <c r="X30" s="772"/>
      <c r="Y30" s="3215"/>
      <c r="Z30" s="55"/>
      <c r="AA30" s="1808">
        <v>1</v>
      </c>
      <c r="AB30" s="1808">
        <v>1</v>
      </c>
      <c r="AC30" s="1808">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15"/>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15"/>
      <c r="Z31" s="1811" t="str">
        <f t="shared" ref="Z31:Z45" si="13">Q31</f>
        <v>临街状况</v>
      </c>
      <c r="AA31" s="1808">
        <f t="shared" si="3"/>
        <v>1</v>
      </c>
      <c r="AB31" s="1808">
        <f t="shared" si="4"/>
        <v>1</v>
      </c>
      <c r="AC31" s="1808">
        <f t="shared" si="5"/>
        <v>1</v>
      </c>
    </row>
    <row r="32" spans="1:29" ht="27">
      <c r="A32" s="428"/>
      <c r="B32" s="1381"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15"/>
      <c r="Q32" s="1807" t="str">
        <f t="shared" si="8"/>
        <v>毗邻道路的类型与等级</v>
      </c>
      <c r="R32" s="774" t="s">
        <v>17</v>
      </c>
      <c r="S32" s="775">
        <f t="shared" si="10"/>
        <v>100</v>
      </c>
      <c r="T32" s="774" t="s">
        <v>17</v>
      </c>
      <c r="U32" s="775">
        <f t="shared" si="11"/>
        <v>100</v>
      </c>
      <c r="V32" s="774" t="s">
        <v>17</v>
      </c>
      <c r="W32" s="775">
        <f t="shared" si="12"/>
        <v>100</v>
      </c>
      <c r="X32" s="1810"/>
      <c r="Y32" s="3215"/>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7"/>
      <c r="M33" s="1128"/>
      <c r="N33" s="1128"/>
      <c r="O33" s="1136"/>
      <c r="P33" s="3215"/>
      <c r="Q33" s="1807"/>
      <c r="R33" s="774"/>
      <c r="S33" s="775"/>
      <c r="T33" s="774"/>
      <c r="U33" s="775"/>
      <c r="V33" s="774"/>
      <c r="W33" s="775"/>
      <c r="X33" s="1810"/>
      <c r="Y33" s="3215"/>
      <c r="Z33" s="1811"/>
      <c r="AA33" s="1808">
        <v>1</v>
      </c>
      <c r="AB33" s="1808">
        <v>1</v>
      </c>
      <c r="AC33" s="1808">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15"/>
      <c r="Q34" s="1807" t="str">
        <f t="shared" si="8"/>
        <v>土地级别</v>
      </c>
      <c r="R34" s="774" t="s">
        <v>17</v>
      </c>
      <c r="S34" s="775">
        <f t="shared" si="10"/>
        <v>100</v>
      </c>
      <c r="T34" s="774" t="s">
        <v>17</v>
      </c>
      <c r="U34" s="775">
        <f t="shared" si="11"/>
        <v>100</v>
      </c>
      <c r="V34" s="774" t="s">
        <v>17</v>
      </c>
      <c r="W34" s="775">
        <f t="shared" si="12"/>
        <v>100</v>
      </c>
      <c r="X34" s="1810"/>
      <c r="Y34" s="3215"/>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15"/>
      <c r="Q35" s="1807">
        <f t="shared" si="8"/>
        <v>111</v>
      </c>
      <c r="R35" s="774" t="s">
        <v>17</v>
      </c>
      <c r="S35" s="775">
        <f t="shared" si="10"/>
        <v>100</v>
      </c>
      <c r="T35" s="774" t="s">
        <v>17</v>
      </c>
      <c r="U35" s="775">
        <f t="shared" si="11"/>
        <v>100</v>
      </c>
      <c r="V35" s="774" t="s">
        <v>17</v>
      </c>
      <c r="W35" s="775">
        <f t="shared" si="12"/>
        <v>100</v>
      </c>
      <c r="X35" s="1810"/>
      <c r="Y35" s="3215"/>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40" t="s">
        <v>2567</v>
      </c>
      <c r="Q36" s="1807">
        <f t="shared" si="8"/>
        <v>111</v>
      </c>
      <c r="R36" s="774" t="s">
        <v>17</v>
      </c>
      <c r="S36" s="775">
        <f t="shared" si="10"/>
        <v>100</v>
      </c>
      <c r="T36" s="774" t="s">
        <v>17</v>
      </c>
      <c r="U36" s="775">
        <f t="shared" si="11"/>
        <v>100</v>
      </c>
      <c r="V36" s="774" t="s">
        <v>17</v>
      </c>
      <c r="W36" s="775">
        <f t="shared" si="12"/>
        <v>100</v>
      </c>
      <c r="X36" s="1810"/>
      <c r="Y36" s="3219" t="s">
        <v>2567</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19"/>
      <c r="Q37" s="1807">
        <f t="shared" si="8"/>
        <v>111</v>
      </c>
      <c r="R37" s="777" t="s">
        <v>17</v>
      </c>
      <c r="S37" s="778">
        <f t="shared" si="10"/>
        <v>100</v>
      </c>
      <c r="T37" s="777" t="s">
        <v>17</v>
      </c>
      <c r="U37" s="778">
        <f t="shared" si="11"/>
        <v>100</v>
      </c>
      <c r="V37" s="777" t="s">
        <v>17</v>
      </c>
      <c r="W37" s="778">
        <f t="shared" si="12"/>
        <v>100</v>
      </c>
      <c r="X37" s="779"/>
      <c r="Y37" s="3219"/>
      <c r="Z37" s="780">
        <f t="shared" si="13"/>
        <v>111</v>
      </c>
      <c r="AA37" s="1808">
        <f t="shared" si="3"/>
        <v>1</v>
      </c>
      <c r="AB37" s="1808">
        <f t="shared" si="4"/>
        <v>1</v>
      </c>
      <c r="AC37" s="1808">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19"/>
      <c r="Q38" s="1807" t="str">
        <f>B38</f>
        <v>宗地面积</v>
      </c>
      <c r="R38" s="774" t="s">
        <v>17</v>
      </c>
      <c r="S38" s="775" t="e">
        <f t="shared" si="10"/>
        <v>#N/A</v>
      </c>
      <c r="T38" s="774" t="s">
        <v>17</v>
      </c>
      <c r="U38" s="775" t="e">
        <f t="shared" si="11"/>
        <v>#N/A</v>
      </c>
      <c r="V38" s="774" t="s">
        <v>17</v>
      </c>
      <c r="W38" s="775" t="e">
        <f t="shared" si="12"/>
        <v>#N/A</v>
      </c>
      <c r="X38" s="1810"/>
      <c r="Y38" s="3219"/>
      <c r="Z38" s="1811" t="str">
        <f t="shared" si="13"/>
        <v>宗地面积</v>
      </c>
      <c r="AA38" s="1808" t="e">
        <f t="shared" si="3"/>
        <v>#N/A</v>
      </c>
      <c r="AB38" s="1808" t="e">
        <f t="shared" si="4"/>
        <v>#N/A</v>
      </c>
      <c r="AC38" s="1808" t="e">
        <f t="shared" si="5"/>
        <v>#N/A</v>
      </c>
    </row>
    <row r="39" spans="1:29" ht="15">
      <c r="A39" s="472"/>
      <c r="B39" s="422" t="s">
        <v>2754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7"/>
      <c r="M39" s="1128"/>
      <c r="N39" s="1128"/>
      <c r="O39" s="1136"/>
      <c r="P39" s="3219"/>
      <c r="Q39" s="1807" t="str">
        <f t="shared" ref="Q39:Q45" si="14">B39</f>
        <v>宗地形状</v>
      </c>
      <c r="R39" s="774" t="s">
        <v>17</v>
      </c>
      <c r="S39" s="775">
        <f t="shared" si="10"/>
        <v>100</v>
      </c>
      <c r="T39" s="774" t="s">
        <v>17</v>
      </c>
      <c r="U39" s="775">
        <f t="shared" si="11"/>
        <v>100</v>
      </c>
      <c r="V39" s="774" t="s">
        <v>17</v>
      </c>
      <c r="W39" s="775">
        <f t="shared" si="12"/>
        <v>100</v>
      </c>
      <c r="X39" s="1810"/>
      <c r="Y39" s="3219"/>
      <c r="Z39" s="1811" t="str">
        <f t="shared" si="13"/>
        <v>宗地形状</v>
      </c>
      <c r="AA39" s="1808">
        <f t="shared" si="3"/>
        <v>1</v>
      </c>
      <c r="AB39" s="1808">
        <f t="shared" si="4"/>
        <v>1</v>
      </c>
      <c r="AC39" s="1808">
        <f t="shared" si="5"/>
        <v>1</v>
      </c>
    </row>
    <row r="40" spans="1:29" ht="15">
      <c r="A40" s="472"/>
      <c r="B40" s="422" t="s">
        <v>2755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7"/>
      <c r="M40" s="1128"/>
      <c r="N40" s="1128"/>
      <c r="O40" s="1136"/>
      <c r="P40" s="3219"/>
      <c r="Q40" s="1807" t="str">
        <f t="shared" si="14"/>
        <v>临街宽度及深度</v>
      </c>
      <c r="R40" s="774" t="s">
        <v>17</v>
      </c>
      <c r="S40" s="775">
        <f t="shared" si="10"/>
        <v>100</v>
      </c>
      <c r="T40" s="774" t="s">
        <v>17</v>
      </c>
      <c r="U40" s="775">
        <f t="shared" si="11"/>
        <v>100</v>
      </c>
      <c r="V40" s="774" t="s">
        <v>17</v>
      </c>
      <c r="W40" s="775">
        <f t="shared" si="12"/>
        <v>100</v>
      </c>
      <c r="X40" s="1810"/>
      <c r="Y40" s="3219"/>
      <c r="Z40" s="1811" t="str">
        <f t="shared" si="13"/>
        <v>临街宽度及深度</v>
      </c>
      <c r="AA40" s="1808">
        <f t="shared" si="3"/>
        <v>1</v>
      </c>
      <c r="AB40" s="1808">
        <f t="shared" si="4"/>
        <v>1</v>
      </c>
      <c r="AC40" s="1808">
        <f t="shared" si="5"/>
        <v>1</v>
      </c>
    </row>
    <row r="41" spans="1:29" s="117" customFormat="1" ht="15">
      <c r="A41" s="473"/>
      <c r="B41" s="422" t="s">
        <v>2756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9"/>
      <c r="M41" s="1130"/>
      <c r="N41" s="1130"/>
      <c r="O41" s="1131"/>
      <c r="P41" s="3219"/>
      <c r="Q41" s="1807"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7"/>
      <c r="M42" s="1128"/>
      <c r="N42" s="1128"/>
      <c r="O42" s="1136"/>
      <c r="P42" s="3219" t="s">
        <v>2567</v>
      </c>
      <c r="Q42" s="1807" t="str">
        <f t="shared" si="14"/>
        <v>工程地质条件</v>
      </c>
      <c r="R42" s="774" t="s">
        <v>17</v>
      </c>
      <c r="S42" s="775">
        <f t="shared" si="10"/>
        <v>100</v>
      </c>
      <c r="T42" s="774" t="s">
        <v>17</v>
      </c>
      <c r="U42" s="775">
        <f t="shared" si="11"/>
        <v>100</v>
      </c>
      <c r="V42" s="774" t="s">
        <v>17</v>
      </c>
      <c r="W42" s="775">
        <f t="shared" si="12"/>
        <v>100</v>
      </c>
      <c r="X42" s="1810"/>
      <c r="Y42" s="3219" t="s">
        <v>2567</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19"/>
      <c r="Q43" s="1807">
        <f t="shared" si="14"/>
        <v>111</v>
      </c>
      <c r="R43" s="774" t="s">
        <v>17</v>
      </c>
      <c r="S43" s="775">
        <f t="shared" si="10"/>
        <v>100</v>
      </c>
      <c r="T43" s="774" t="s">
        <v>17</v>
      </c>
      <c r="U43" s="775">
        <f t="shared" si="11"/>
        <v>100</v>
      </c>
      <c r="V43" s="774" t="s">
        <v>17</v>
      </c>
      <c r="W43" s="775">
        <f t="shared" si="12"/>
        <v>100</v>
      </c>
      <c r="X43" s="1810"/>
      <c r="Y43" s="3219"/>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19"/>
      <c r="Q44" s="1807">
        <f t="shared" si="14"/>
        <v>111</v>
      </c>
      <c r="R44" s="774" t="s">
        <v>17</v>
      </c>
      <c r="S44" s="775">
        <f t="shared" si="10"/>
        <v>100</v>
      </c>
      <c r="T44" s="774" t="s">
        <v>17</v>
      </c>
      <c r="U44" s="775">
        <f t="shared" si="11"/>
        <v>100</v>
      </c>
      <c r="V44" s="774" t="s">
        <v>17</v>
      </c>
      <c r="W44" s="775">
        <f t="shared" si="12"/>
        <v>100</v>
      </c>
      <c r="X44" s="1810"/>
      <c r="Y44" s="3219"/>
      <c r="Z44" s="1811">
        <f t="shared" si="13"/>
        <v>111</v>
      </c>
      <c r="AA44" s="1808">
        <f t="shared" si="3"/>
        <v>1</v>
      </c>
      <c r="AB44" s="1808">
        <f t="shared" si="4"/>
        <v>1</v>
      </c>
      <c r="AC44" s="1808">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19"/>
      <c r="Q45" s="1807">
        <f t="shared" si="14"/>
        <v>111</v>
      </c>
      <c r="R45" s="777" t="s">
        <v>17</v>
      </c>
      <c r="S45" s="778">
        <f t="shared" si="10"/>
        <v>100</v>
      </c>
      <c r="T45" s="777" t="s">
        <v>17</v>
      </c>
      <c r="U45" s="778">
        <f t="shared" si="11"/>
        <v>100</v>
      </c>
      <c r="V45" s="777" t="s">
        <v>17</v>
      </c>
      <c r="W45" s="778">
        <f t="shared" si="12"/>
        <v>100</v>
      </c>
      <c r="X45" s="779"/>
      <c r="Y45" s="3219"/>
      <c r="Z45" s="780">
        <f t="shared" si="13"/>
        <v>111</v>
      </c>
      <c r="AA45" s="1808">
        <f t="shared" si="3"/>
        <v>1</v>
      </c>
      <c r="AB45" s="1808">
        <f t="shared" si="4"/>
        <v>1</v>
      </c>
      <c r="AC45" s="1808">
        <f t="shared" si="5"/>
        <v>1</v>
      </c>
    </row>
    <row r="46" spans="1:29" ht="15">
      <c r="A46" s="479" t="s">
        <v>2722</v>
      </c>
      <c r="B46" s="2701" t="s">
        <v>2758</v>
      </c>
      <c r="C46" s="682" t="s">
        <v>1</v>
      </c>
      <c r="D46" s="481"/>
      <c r="E46" s="482"/>
      <c r="F46" s="483"/>
      <c r="G46" s="484"/>
      <c r="H46" s="485"/>
      <c r="I46" s="482"/>
      <c r="J46" s="485"/>
      <c r="K46" s="783"/>
      <c r="L46" s="1140"/>
      <c r="M46" s="1141"/>
      <c r="N46" s="1128"/>
      <c r="O46" s="1141"/>
      <c r="P46" s="3212" t="str">
        <f>A46</f>
        <v>成交单价</v>
      </c>
      <c r="Q46" s="3212"/>
      <c r="R46" s="3207">
        <f>E46</f>
        <v>0</v>
      </c>
      <c r="S46" s="3207"/>
      <c r="T46" s="3207">
        <f>G46</f>
        <v>0</v>
      </c>
      <c r="U46" s="3207"/>
      <c r="V46" s="3207">
        <f>I46</f>
        <v>0</v>
      </c>
      <c r="W46" s="3207"/>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0"/>
      <c r="M47" s="1141"/>
      <c r="N47" s="1141"/>
      <c r="O47" s="1141"/>
      <c r="P47" s="3212" t="str">
        <f>A47</f>
        <v>比较价值（元/平方米）</v>
      </c>
      <c r="Q47" s="3212"/>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0"/>
      <c r="M48" s="1141"/>
      <c r="N48" s="1141"/>
      <c r="O48" s="1141"/>
      <c r="P48" s="3209" t="str">
        <f>A48</f>
        <v>估价对象XX用房的比较价值（楼面单价，元/平方米）</v>
      </c>
      <c r="Q48" s="3210"/>
      <c r="R48" s="3242" t="e">
        <f>ROUND(AVERAGE(R47:V47),0)</f>
        <v>#DIV/0!</v>
      </c>
      <c r="S48" s="3242"/>
      <c r="T48" s="3242"/>
      <c r="U48" s="3242"/>
      <c r="V48" s="3242"/>
      <c r="W48" s="3242"/>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2760</v>
      </c>
      <c r="B55" s="685" t="s">
        <v>2761</v>
      </c>
      <c r="C55" s="2702" t="s">
        <v>2762</v>
      </c>
      <c r="D55" s="2703" t="s">
        <v>2763</v>
      </c>
      <c r="E55" s="686" t="s">
        <v>2764</v>
      </c>
      <c r="F55" s="1104" t="s">
        <v>2765</v>
      </c>
      <c r="G55" s="3195" t="s">
        <v>2766</v>
      </c>
      <c r="H55" s="3243"/>
      <c r="I55" s="144" t="s">
        <v>2767</v>
      </c>
      <c r="J55" s="2704">
        <f>项目基本情况!F35</f>
        <v>0</v>
      </c>
      <c r="K55" s="2705" t="s">
        <v>2768</v>
      </c>
      <c r="L55" s="1103"/>
      <c r="M55" s="1141"/>
      <c r="N55" s="1141"/>
      <c r="O55" s="1141"/>
    </row>
    <row r="56" spans="1:15" s="692" customFormat="1">
      <c r="A56" s="688" t="s">
        <v>2769</v>
      </c>
      <c r="B56" s="689" t="e">
        <f>C48</f>
        <v>#DIV/0!</v>
      </c>
      <c r="C56" s="690">
        <v>1</v>
      </c>
      <c r="D56" s="1160">
        <v>1</v>
      </c>
      <c r="E56" s="690">
        <f>'数据-汇总表'!E8+'数据-汇总表'!E9</f>
        <v>4704.8599999999997</v>
      </c>
      <c r="F56" s="1100" t="e">
        <f t="shared" ref="F56:F65" si="15">ROUND(B56*E56/10000,0)</f>
        <v>#DIV/0!</v>
      </c>
      <c r="G56" s="3194"/>
      <c r="H56" s="3212"/>
      <c r="I56" s="1105">
        <v>1</v>
      </c>
      <c r="J56" s="1108">
        <v>1</v>
      </c>
      <c r="K56" s="1142"/>
      <c r="L56" s="938"/>
      <c r="M56" s="938"/>
      <c r="N56" s="938"/>
      <c r="O56" s="938"/>
    </row>
    <row r="57" spans="1:15" s="692" customFormat="1">
      <c r="A57" s="693" t="s">
        <v>2770</v>
      </c>
      <c r="B57" s="262" t="e">
        <f>ROUND($C$48*C57*D57,0)</f>
        <v>#DIV/0!</v>
      </c>
      <c r="C57" s="200">
        <f t="shared" ref="C57:C65" si="16">IF($C$55="北京市系数",I57,J57)</f>
        <v>0.7</v>
      </c>
      <c r="D57" s="1161">
        <v>0.25</v>
      </c>
      <c r="E57" s="694"/>
      <c r="F57" s="1100" t="e">
        <f t="shared" si="15"/>
        <v>#DIV/0!</v>
      </c>
      <c r="G57" s="3244" t="s">
        <v>2771</v>
      </c>
      <c r="H57" s="1101" t="str">
        <f>项目基本情况!B37</f>
        <v>六级</v>
      </c>
      <c r="I57" s="1105">
        <f>SUMIF(修正!A45:A56,H57,修正!B45:B56)</f>
        <v>0.7</v>
      </c>
      <c r="J57" s="1109"/>
      <c r="K57" s="1141"/>
      <c r="L57" s="938"/>
      <c r="M57" s="938"/>
      <c r="N57" s="938"/>
      <c r="O57" s="938"/>
    </row>
    <row r="58" spans="1:15" s="692" customFormat="1">
      <c r="A58" s="693" t="s">
        <v>2772</v>
      </c>
      <c r="B58" s="262" t="e">
        <f t="shared" ref="B58:B65" si="17">ROUND($C$48*C58*D58,0)</f>
        <v>#DIV/0!</v>
      </c>
      <c r="C58" s="200">
        <f t="shared" si="16"/>
        <v>0.4</v>
      </c>
      <c r="D58" s="1161">
        <v>0.25</v>
      </c>
      <c r="E58" s="694"/>
      <c r="F58" s="1100" t="e">
        <f t="shared" si="15"/>
        <v>#DIV/0!</v>
      </c>
      <c r="G58" s="3244"/>
      <c r="H58" s="1101" t="str">
        <f>项目基本情况!B37</f>
        <v>六级</v>
      </c>
      <c r="I58" s="1105">
        <f>SUMIF(修正!A45:A56,H58,修正!C45:C56)</f>
        <v>0.4</v>
      </c>
      <c r="J58" s="1109"/>
      <c r="K58" s="1142"/>
      <c r="L58" s="938"/>
      <c r="M58" s="938"/>
      <c r="N58" s="938"/>
      <c r="O58" s="938"/>
    </row>
    <row r="59" spans="1:15" s="692" customFormat="1">
      <c r="A59" s="693" t="s">
        <v>2773</v>
      </c>
      <c r="B59" s="262" t="e">
        <f t="shared" si="17"/>
        <v>#DIV/0!</v>
      </c>
      <c r="C59" s="200">
        <f t="shared" si="16"/>
        <v>0.28000000000000003</v>
      </c>
      <c r="D59" s="1161">
        <v>0.25</v>
      </c>
      <c r="E59" s="694"/>
      <c r="F59" s="1100" t="e">
        <f t="shared" si="15"/>
        <v>#DIV/0!</v>
      </c>
      <c r="G59" s="3244"/>
      <c r="H59" s="1101" t="str">
        <f>项目基本情况!B37</f>
        <v>六级</v>
      </c>
      <c r="I59" s="1105">
        <f>SUMIF(修正!A45:A56,H59,修正!D45:D56)</f>
        <v>0.28000000000000003</v>
      </c>
      <c r="J59" s="1109"/>
      <c r="K59" s="1141"/>
      <c r="L59" s="938"/>
      <c r="M59" s="938"/>
      <c r="N59" s="938"/>
      <c r="O59" s="938"/>
    </row>
    <row r="60" spans="1:15" s="692" customFormat="1">
      <c r="A60" s="693" t="s">
        <v>2774</v>
      </c>
      <c r="B60" s="262" t="e">
        <f t="shared" si="17"/>
        <v>#DIV/0!</v>
      </c>
      <c r="C60" s="200">
        <f t="shared" si="16"/>
        <v>0.25</v>
      </c>
      <c r="D60" s="1161">
        <v>0.25</v>
      </c>
      <c r="E60" s="694"/>
      <c r="F60" s="1100" t="e">
        <f t="shared" si="15"/>
        <v>#DIV/0!</v>
      </c>
      <c r="G60" s="3244"/>
      <c r="H60" s="1101" t="str">
        <f>项目基本情况!B37</f>
        <v>六级</v>
      </c>
      <c r="I60" s="1105">
        <f>SUMIF(修正!A45:A56,H60,修正!E45:E56)</f>
        <v>0.25</v>
      </c>
      <c r="J60" s="1109"/>
      <c r="K60" s="1142"/>
      <c r="L60" s="938"/>
      <c r="M60" s="938"/>
      <c r="N60" s="938"/>
      <c r="O60" s="938"/>
    </row>
    <row r="61" spans="1:15" s="692" customFormat="1">
      <c r="A61" s="693" t="s">
        <v>2775</v>
      </c>
      <c r="B61" s="262" t="e">
        <f t="shared" si="17"/>
        <v>#DIV/0!</v>
      </c>
      <c r="C61" s="200">
        <f t="shared" si="16"/>
        <v>0</v>
      </c>
      <c r="D61" s="1161">
        <v>0.25</v>
      </c>
      <c r="E61" s="261">
        <f>'数据-汇总表'!E11</f>
        <v>0</v>
      </c>
      <c r="F61" s="1100" t="e">
        <f t="shared" si="15"/>
        <v>#DIV/0!</v>
      </c>
      <c r="G61" s="2706" t="s">
        <v>2776</v>
      </c>
      <c r="H61" s="1101">
        <f>项目基本情况!C37</f>
        <v>0</v>
      </c>
      <c r="I61" s="1105">
        <f>SUMIF(修正!A45:A56,H61,修正!F45:F56)</f>
        <v>0</v>
      </c>
      <c r="J61" s="1109"/>
      <c r="K61" s="1141"/>
      <c r="L61" s="938"/>
      <c r="M61" s="938"/>
      <c r="N61" s="938"/>
      <c r="O61" s="938"/>
    </row>
    <row r="62" spans="1:15" s="692" customFormat="1">
      <c r="A62" s="693" t="s">
        <v>2777</v>
      </c>
      <c r="B62" s="262" t="e">
        <f t="shared" si="17"/>
        <v>#DIV/0!</v>
      </c>
      <c r="C62" s="200">
        <f t="shared" si="16"/>
        <v>0</v>
      </c>
      <c r="D62" s="1161">
        <v>0.25</v>
      </c>
      <c r="E62" s="261">
        <f>'数据-汇总表'!E12</f>
        <v>0</v>
      </c>
      <c r="F62" s="1100" t="e">
        <f t="shared" si="15"/>
        <v>#DIV/0!</v>
      </c>
      <c r="G62" s="1106" t="s">
        <v>2778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2779</v>
      </c>
      <c r="B63" s="262" t="e">
        <f t="shared" si="17"/>
        <v>#DIV/0!</v>
      </c>
      <c r="C63" s="200">
        <f t="shared" si="16"/>
        <v>0</v>
      </c>
      <c r="D63" s="1161">
        <v>0.25</v>
      </c>
      <c r="E63" s="261">
        <f>'数据-汇总表'!E13</f>
        <v>0</v>
      </c>
      <c r="F63" s="1100" t="e">
        <f t="shared" si="15"/>
        <v>#DIV/0!</v>
      </c>
      <c r="G63" s="1106" t="s">
        <v>2780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2781</v>
      </c>
      <c r="B64" s="262" t="e">
        <f t="shared" si="17"/>
        <v>#DIV/0!</v>
      </c>
      <c r="C64" s="200">
        <f t="shared" si="16"/>
        <v>0.2</v>
      </c>
      <c r="D64" s="1161">
        <v>0.25</v>
      </c>
      <c r="E64" s="261">
        <f>'数据-汇总表'!E14</f>
        <v>0</v>
      </c>
      <c r="F64" s="1100" t="e">
        <f t="shared" si="15"/>
        <v>#DIV/0!</v>
      </c>
      <c r="G64" s="2706" t="s">
        <v>2771</v>
      </c>
      <c r="H64" s="1101" t="str">
        <f>项目基本情况!B37</f>
        <v>六级</v>
      </c>
      <c r="I64" s="1105">
        <f>SUMIF(修正!A45:A56,H64,修正!H45:H56)</f>
        <v>0.2</v>
      </c>
      <c r="J64" s="1109"/>
      <c r="K64" s="1142"/>
      <c r="L64" s="938"/>
      <c r="M64" s="938"/>
      <c r="N64" s="938"/>
      <c r="O64" s="938"/>
    </row>
    <row r="65" spans="1:17" s="692" customFormat="1" ht="15" thickBot="1">
      <c r="A65" s="693" t="s">
        <v>2782</v>
      </c>
      <c r="B65" s="262" t="e">
        <f t="shared" si="17"/>
        <v>#DIV/0!</v>
      </c>
      <c r="C65" s="200">
        <f t="shared" si="16"/>
        <v>0</v>
      </c>
      <c r="D65" s="1161">
        <v>0.25</v>
      </c>
      <c r="E65" s="261">
        <f>'数据-汇总表'!E15</f>
        <v>0</v>
      </c>
      <c r="F65" s="1100" t="e">
        <f t="shared" si="15"/>
        <v>#DIV/0!</v>
      </c>
      <c r="G65" s="2707" t="s">
        <v>2776</v>
      </c>
      <c r="H65" s="1111">
        <f>项目基本情况!C37</f>
        <v>0</v>
      </c>
      <c r="I65" s="1107">
        <f>SUMIF(修正!A45:A56,H65,修正!H45:H56)</f>
        <v>0</v>
      </c>
      <c r="J65" s="1110"/>
      <c r="K65" s="1141"/>
      <c r="L65" s="938"/>
      <c r="M65" s="938"/>
      <c r="N65" s="938"/>
      <c r="O65" s="938"/>
    </row>
    <row r="66" spans="1:17" s="692" customFormat="1" ht="13.5" thickBot="1">
      <c r="A66" s="695" t="s">
        <v>2783</v>
      </c>
      <c r="B66" s="696" t="s">
        <v>28</v>
      </c>
      <c r="C66" s="696" t="s">
        <v>29</v>
      </c>
      <c r="D66" s="696" t="s">
        <v>1029</v>
      </c>
      <c r="E66" s="696">
        <f>IF(B46="楼面地价",SUM(E56:E65),'数据-汇总表'!D3)</f>
        <v>4704.8599999999997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2676</v>
      </c>
      <c r="B69" s="759"/>
      <c r="C69" s="764"/>
      <c r="D69" s="764"/>
      <c r="E69" s="764"/>
      <c r="F69" s="765"/>
      <c r="G69" s="765"/>
      <c r="H69" s="764"/>
      <c r="I69" s="764"/>
      <c r="J69" s="1156"/>
      <c r="K69" s="1157"/>
      <c r="L69" s="1158"/>
      <c r="M69" s="1156"/>
      <c r="N69" s="1156"/>
      <c r="O69" s="1156"/>
      <c r="P69" s="503"/>
      <c r="Q69" s="504"/>
    </row>
    <row r="70" spans="1:17" s="508" customFormat="1" ht="15">
      <c r="A70" s="2708" t="s">
        <v>2784</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7"/>
    </row>
    <row r="71" spans="1:17" s="117" customFormat="1" ht="30" customHeight="1">
      <c r="A71" s="2709" t="s">
        <v>2785</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4"/>
      <c r="N71" s="595"/>
      <c r="O71" s="1565"/>
      <c r="P71" s="504"/>
    </row>
    <row r="72" spans="1:17" s="117" customFormat="1" ht="15.75" thickBot="1">
      <c r="A72" s="515" t="s">
        <v>2587</v>
      </c>
      <c r="B72" s="516"/>
      <c r="C72" s="517"/>
      <c r="D72" s="518"/>
      <c r="E72" s="518"/>
      <c r="F72" s="518"/>
      <c r="G72" s="518"/>
      <c r="H72" s="518"/>
      <c r="I72" s="518"/>
      <c r="J72" s="518"/>
      <c r="K72" s="518"/>
      <c r="L72" s="518"/>
      <c r="M72" s="519"/>
      <c r="N72" s="518"/>
      <c r="O72" s="1159"/>
      <c r="P72" s="504"/>
      <c r="Q72" s="504"/>
    </row>
    <row r="73" spans="1:17" s="117" customFormat="1" ht="15">
      <c r="A73" s="521" t="s">
        <v>2552</v>
      </c>
      <c r="B73" s="510"/>
      <c r="C73" s="522" t="s">
        <v>2654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2590</v>
      </c>
      <c r="B75" s="528" t="s">
        <v>2556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2693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2752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2794</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2795</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2796</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2797</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5" t="s">
        <v>2648</v>
      </c>
      <c r="D4" s="3196"/>
      <c r="E4" s="3197" t="s">
        <v>2649</v>
      </c>
      <c r="F4" s="3198"/>
      <c r="G4" s="3195" t="s">
        <v>2650</v>
      </c>
      <c r="H4" s="3196"/>
      <c r="I4" s="3195" t="s">
        <v>2651</v>
      </c>
      <c r="J4" s="3196"/>
      <c r="K4" s="610" t="s">
        <v>2652</v>
      </c>
      <c r="L4" s="1127"/>
      <c r="M4" s="1128"/>
      <c r="N4" s="1128"/>
      <c r="O4" s="1128"/>
      <c r="P4" s="3199" t="s">
        <v>2653</v>
      </c>
      <c r="Q4" s="3200"/>
      <c r="R4" s="3182" t="s">
        <v>2649</v>
      </c>
      <c r="S4" s="3183"/>
      <c r="T4" s="3182" t="s">
        <v>2650</v>
      </c>
      <c r="U4" s="3183"/>
      <c r="V4" s="3207" t="s">
        <v>2651</v>
      </c>
      <c r="W4" s="3207"/>
      <c r="X4" s="1810"/>
      <c r="Y4" s="3182" t="s">
        <v>2653</v>
      </c>
      <c r="Z4" s="3183"/>
      <c r="AA4" s="3177" t="s">
        <v>2649</v>
      </c>
      <c r="AB4" s="3178" t="s">
        <v>2650</v>
      </c>
      <c r="AC4" s="3177" t="s">
        <v>2651</v>
      </c>
    </row>
    <row r="5" spans="1:29" ht="15">
      <c r="A5" s="404"/>
      <c r="B5" s="405"/>
      <c r="C5" s="3188" t="s">
        <v>2544</v>
      </c>
      <c r="D5" s="3189"/>
      <c r="E5" s="3186" t="s">
        <v>2545</v>
      </c>
      <c r="F5" s="3187"/>
      <c r="G5" s="3188" t="s">
        <v>2546</v>
      </c>
      <c r="H5" s="3189"/>
      <c r="I5" s="3188" t="s">
        <v>2547</v>
      </c>
      <c r="J5" s="3189"/>
      <c r="K5" s="610"/>
      <c r="L5" s="1127"/>
      <c r="M5" s="1128"/>
      <c r="N5" s="1128"/>
      <c r="O5" s="1128"/>
      <c r="P5" s="3201"/>
      <c r="Q5" s="3202"/>
      <c r="R5" s="3184"/>
      <c r="S5" s="3185"/>
      <c r="T5" s="3184"/>
      <c r="U5" s="3185"/>
      <c r="V5" s="3207"/>
      <c r="W5" s="3207"/>
      <c r="X5" s="1810"/>
      <c r="Y5" s="3184"/>
      <c r="Z5" s="3185"/>
      <c r="AA5" s="3178"/>
      <c r="AB5" s="3178"/>
      <c r="AC5" s="3178"/>
    </row>
    <row r="6" spans="1:29" ht="15.75" thickBot="1">
      <c r="A6" s="406"/>
      <c r="B6" s="407"/>
      <c r="C6" s="3245" t="s">
        <v>2799</v>
      </c>
      <c r="D6" s="3246"/>
      <c r="E6" s="3247" t="s">
        <v>2799</v>
      </c>
      <c r="F6" s="3248"/>
      <c r="G6" s="3245" t="s">
        <v>2799</v>
      </c>
      <c r="H6" s="3246"/>
      <c r="I6" s="3245" t="s">
        <v>2799</v>
      </c>
      <c r="J6" s="3246"/>
      <c r="K6" s="610" t="s">
        <v>2549</v>
      </c>
      <c r="L6" s="1127"/>
      <c r="M6" s="1128"/>
      <c r="N6" s="1128"/>
      <c r="O6" s="1128"/>
      <c r="P6" s="3203"/>
      <c r="Q6" s="3204"/>
      <c r="R6" s="3184"/>
      <c r="S6" s="3185"/>
      <c r="T6" s="3205"/>
      <c r="U6" s="3206"/>
      <c r="V6" s="3207"/>
      <c r="W6" s="3207"/>
      <c r="X6" s="1810"/>
      <c r="Y6" s="3205"/>
      <c r="Z6" s="3206"/>
      <c r="AA6" s="3179"/>
      <c r="AB6" s="3179"/>
      <c r="AC6" s="3179"/>
    </row>
    <row r="7" spans="1:29" s="117" customFormat="1" ht="15.75" thickBot="1">
      <c r="A7" s="408" t="s">
        <v>2550</v>
      </c>
      <c r="B7" s="409"/>
      <c r="C7" s="410">
        <f>'数据-取费表'!B2</f>
        <v>43238</v>
      </c>
      <c r="D7" s="411">
        <v>100</v>
      </c>
      <c r="E7" s="412"/>
      <c r="F7" s="413">
        <f>SUMIF(65:65,YEAR(E7)&amp;"-"&amp;INT((MONTH(E7)+2)/3),66:66)</f>
        <v>0</v>
      </c>
      <c r="G7" s="2693"/>
      <c r="H7" s="411">
        <f>SUMIF(65:65,YEAR(G7)&amp;"-"&amp;INT((MONTH(G7)+2)/3),66:66)</f>
        <v>0</v>
      </c>
      <c r="I7" s="2693"/>
      <c r="J7" s="411">
        <f>SUMIF(65:65,YEAR(I7)&amp;"-"&amp;INT((MONTH(I7)+2)/3),66:66)</f>
        <v>0</v>
      </c>
      <c r="K7" s="611"/>
      <c r="L7" s="1129"/>
      <c r="M7" s="1130"/>
      <c r="N7" s="1130"/>
      <c r="O7" s="1130"/>
      <c r="P7" s="3180" t="s">
        <v>2551</v>
      </c>
      <c r="Q7" s="3208"/>
      <c r="R7" s="770" t="s">
        <v>17</v>
      </c>
      <c r="S7" s="771">
        <f t="shared" ref="S7:S15" si="0">F7</f>
        <v>0</v>
      </c>
      <c r="T7" s="770" t="s">
        <v>17</v>
      </c>
      <c r="U7" s="771">
        <f t="shared" ref="U7:U15" si="1">H7</f>
        <v>0</v>
      </c>
      <c r="V7" s="770" t="s">
        <v>17</v>
      </c>
      <c r="W7" s="771">
        <f t="shared" ref="W7:W15" si="2">J7</f>
        <v>0</v>
      </c>
      <c r="X7" s="772"/>
      <c r="Y7" s="3180" t="s">
        <v>2551</v>
      </c>
      <c r="Z7" s="318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80" t="s">
        <v>2554</v>
      </c>
      <c r="Q8" s="3181"/>
      <c r="R8" s="770" t="s">
        <v>17</v>
      </c>
      <c r="S8" s="771">
        <f t="shared" si="0"/>
        <v>0</v>
      </c>
      <c r="T8" s="770" t="s">
        <v>17</v>
      </c>
      <c r="U8" s="771">
        <f t="shared" si="1"/>
        <v>0</v>
      </c>
      <c r="V8" s="770" t="s">
        <v>17</v>
      </c>
      <c r="W8" s="771">
        <f t="shared" si="2"/>
        <v>0</v>
      </c>
      <c r="X8" s="772"/>
      <c r="Y8" s="3180" t="s">
        <v>2554</v>
      </c>
      <c r="Z8" s="3181"/>
      <c r="AA8" s="773" t="e">
        <f t="shared" ref="AA8:AA40" si="3">D8/F8</f>
        <v>#DIV/0!</v>
      </c>
      <c r="AB8" s="773" t="e">
        <f t="shared" ref="AB8:AB40" si="4">D8/H8</f>
        <v>#DIV/0!</v>
      </c>
      <c r="AC8" s="773" t="e">
        <f t="shared" ref="AC8:AC40" si="5">D8/J8</f>
        <v>#DIV/0!</v>
      </c>
    </row>
    <row r="9" spans="1:29" s="117" customFormat="1">
      <c r="A9" s="415" t="s">
        <v>2555</v>
      </c>
      <c r="B9" s="71" t="s">
        <v>2556</v>
      </c>
      <c r="C9" s="2696"/>
      <c r="D9" s="135">
        <v>100</v>
      </c>
      <c r="E9" s="2696"/>
      <c r="F9" s="135">
        <f>SUMIF(70:70,E9,71:71)-SUMIF(70:70,C9,71:71)+100</f>
        <v>100</v>
      </c>
      <c r="G9" s="2696"/>
      <c r="H9" s="135">
        <f>SUMIF(70:70,G9,71:71)-SUMIF(70:70,C9,71:71)+100</f>
        <v>100</v>
      </c>
      <c r="I9" s="2696"/>
      <c r="J9" s="135">
        <f>SUMIF(70:70,I9,71:71)-SUMIF(70:70,C9,71:71)+100</f>
        <v>100</v>
      </c>
      <c r="K9" s="611"/>
      <c r="L9" s="1129"/>
      <c r="M9" s="1130"/>
      <c r="N9" s="1130"/>
      <c r="O9" s="1131"/>
      <c r="P9" s="3212" t="s">
        <v>2557</v>
      </c>
      <c r="Q9" s="1792" t="str">
        <f t="shared" ref="Q9:Q15" si="6">B9</f>
        <v>用途</v>
      </c>
      <c r="R9" s="770" t="s">
        <v>17</v>
      </c>
      <c r="S9" s="771">
        <f t="shared" si="0"/>
        <v>100</v>
      </c>
      <c r="T9" s="770" t="s">
        <v>17</v>
      </c>
      <c r="U9" s="771">
        <f t="shared" si="1"/>
        <v>100</v>
      </c>
      <c r="V9" s="770" t="s">
        <v>17</v>
      </c>
      <c r="W9" s="771">
        <f t="shared" si="2"/>
        <v>100</v>
      </c>
      <c r="X9" s="772"/>
      <c r="Y9" s="3027"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100</v>
      </c>
      <c r="G10" s="432"/>
      <c r="H10" s="136">
        <f>ROUND(100/'数据-取费表'!G16,0)</f>
        <v>100</v>
      </c>
      <c r="I10" s="432"/>
      <c r="J10" s="136">
        <f>ROUND(100/'数据-取费表'!G16,0)</f>
        <v>100</v>
      </c>
      <c r="K10" s="672"/>
      <c r="L10" s="1132"/>
      <c r="M10" s="1133"/>
      <c r="N10" s="1133"/>
      <c r="O10" s="1134"/>
      <c r="P10" s="3212"/>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12"/>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12"/>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12"/>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12"/>
      <c r="Q14" s="1792">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2561</v>
      </c>
      <c r="B15" s="629" t="s">
        <v>2800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14" t="s">
        <v>2562</v>
      </c>
      <c r="Q15" s="1807" t="str">
        <f t="shared" si="6"/>
        <v>产业集聚程度</v>
      </c>
      <c r="R15" s="774" t="s">
        <v>17</v>
      </c>
      <c r="S15" s="775">
        <f t="shared" si="0"/>
        <v>100</v>
      </c>
      <c r="T15" s="774" t="s">
        <v>17</v>
      </c>
      <c r="U15" s="775">
        <f t="shared" si="1"/>
        <v>100</v>
      </c>
      <c r="V15" s="774" t="s">
        <v>17</v>
      </c>
      <c r="W15" s="775">
        <f t="shared" si="2"/>
        <v>100</v>
      </c>
      <c r="X15" s="1810"/>
      <c r="Y15" s="3214" t="s">
        <v>2562</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7"/>
      <c r="M16" s="1128"/>
      <c r="N16" s="1128"/>
      <c r="O16" s="1136"/>
      <c r="P16" s="3215"/>
      <c r="Q16" s="1807"/>
      <c r="R16" s="774"/>
      <c r="S16" s="775"/>
      <c r="T16" s="774"/>
      <c r="U16" s="775"/>
      <c r="V16" s="774"/>
      <c r="W16" s="775"/>
      <c r="X16" s="1810"/>
      <c r="Y16" s="3215"/>
      <c r="Z16" s="1811"/>
      <c r="AA16" s="1808">
        <v>1</v>
      </c>
      <c r="AB16" s="1808">
        <v>1</v>
      </c>
      <c r="AC16" s="1808">
        <v>1</v>
      </c>
    </row>
    <row r="17" spans="1:29" ht="85.5">
      <c r="A17" s="428"/>
      <c r="B17" s="631" t="s">
        <v>2711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15"/>
      <c r="Q17" s="1807" t="str">
        <f>B17</f>
        <v>交通便捷度</v>
      </c>
      <c r="R17" s="774" t="s">
        <v>17</v>
      </c>
      <c r="S17" s="775">
        <f>F17</f>
        <v>100</v>
      </c>
      <c r="T17" s="774" t="s">
        <v>17</v>
      </c>
      <c r="U17" s="775">
        <f>H17</f>
        <v>100</v>
      </c>
      <c r="V17" s="774" t="s">
        <v>17</v>
      </c>
      <c r="W17" s="775">
        <f>J17</f>
        <v>100</v>
      </c>
      <c r="X17" s="1810"/>
      <c r="Y17" s="3215"/>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7"/>
      <c r="M18" s="1128"/>
      <c r="N18" s="1128"/>
      <c r="O18" s="1136"/>
      <c r="P18" s="3215"/>
      <c r="Q18" s="1807"/>
      <c r="R18" s="774"/>
      <c r="S18" s="775"/>
      <c r="T18" s="774"/>
      <c r="U18" s="775"/>
      <c r="V18" s="774"/>
      <c r="W18" s="775"/>
      <c r="X18" s="1810"/>
      <c r="Y18" s="3215"/>
      <c r="Z18" s="1811"/>
      <c r="AA18" s="1808">
        <v>1</v>
      </c>
      <c r="AB18" s="1808">
        <v>1</v>
      </c>
      <c r="AC18" s="1808">
        <v>1</v>
      </c>
    </row>
    <row r="19" spans="1:29" ht="15">
      <c r="A19" s="428"/>
      <c r="B19" s="631" t="s">
        <v>2750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15"/>
      <c r="Q19" s="1807" t="str">
        <f t="shared" ref="Q19:Q33" si="8">B19</f>
        <v>区域土地利用方向</v>
      </c>
      <c r="R19" s="774" t="s">
        <v>17</v>
      </c>
      <c r="S19" s="775">
        <f>F19</f>
        <v>100</v>
      </c>
      <c r="T19" s="774" t="s">
        <v>17</v>
      </c>
      <c r="U19" s="775">
        <f>H19</f>
        <v>100</v>
      </c>
      <c r="V19" s="774" t="s">
        <v>17</v>
      </c>
      <c r="W19" s="775">
        <f>J19</f>
        <v>100</v>
      </c>
      <c r="X19" s="1810"/>
      <c r="Y19" s="3215"/>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06"/>
      <c r="L20" s="1137"/>
      <c r="M20" s="1128"/>
      <c r="N20" s="1128"/>
      <c r="O20" s="1136"/>
      <c r="P20" s="3215"/>
      <c r="Q20" s="1807"/>
      <c r="R20" s="774"/>
      <c r="S20" s="775"/>
      <c r="T20" s="774"/>
      <c r="U20" s="775"/>
      <c r="V20" s="774"/>
      <c r="W20" s="775"/>
      <c r="X20" s="1810"/>
      <c r="Y20" s="3215"/>
      <c r="Z20" s="1811"/>
      <c r="AA20" s="1808"/>
      <c r="AB20" s="1808"/>
      <c r="AC20" s="1808"/>
    </row>
    <row r="21" spans="1:29" ht="71.25">
      <c r="A21" s="404"/>
      <c r="B21" s="631" t="s">
        <v>2801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15"/>
      <c r="Q21" s="1807" t="str">
        <f t="shared" si="8"/>
        <v>环境状况</v>
      </c>
      <c r="R21" s="774" t="s">
        <v>17</v>
      </c>
      <c r="S21" s="775">
        <f>F21</f>
        <v>100</v>
      </c>
      <c r="T21" s="774" t="s">
        <v>17</v>
      </c>
      <c r="U21" s="775">
        <f>H21</f>
        <v>100</v>
      </c>
      <c r="V21" s="774" t="s">
        <v>17</v>
      </c>
      <c r="W21" s="775">
        <f>J21</f>
        <v>100</v>
      </c>
      <c r="X21" s="1810"/>
      <c r="Y21" s="3215"/>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7"/>
      <c r="M22" s="1128"/>
      <c r="N22" s="1128"/>
      <c r="O22" s="1136"/>
      <c r="P22" s="3215"/>
      <c r="Q22" s="1807"/>
      <c r="R22" s="774"/>
      <c r="S22" s="775"/>
      <c r="T22" s="774"/>
      <c r="U22" s="775"/>
      <c r="V22" s="774"/>
      <c r="W22" s="775"/>
      <c r="X22" s="1810"/>
      <c r="Y22" s="3215"/>
      <c r="Z22" s="1811"/>
      <c r="AA22" s="1808">
        <v>1</v>
      </c>
      <c r="AB22" s="1808">
        <v>1</v>
      </c>
      <c r="AC22" s="1808">
        <v>1</v>
      </c>
    </row>
    <row r="23" spans="1:29" s="117" customFormat="1" ht="42.75">
      <c r="A23" s="649"/>
      <c r="B23" s="633" t="s">
        <v>2656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15"/>
      <c r="Q23" s="1792" t="str">
        <f t="shared" si="8"/>
        <v>公共配套设施</v>
      </c>
      <c r="R23" s="770" t="s">
        <v>17</v>
      </c>
      <c r="S23" s="771">
        <f>F23</f>
        <v>100</v>
      </c>
      <c r="T23" s="770" t="s">
        <v>17</v>
      </c>
      <c r="U23" s="771">
        <f>H23</f>
        <v>100</v>
      </c>
      <c r="V23" s="770" t="s">
        <v>17</v>
      </c>
      <c r="W23" s="771">
        <f>J23</f>
        <v>100</v>
      </c>
      <c r="X23" s="772"/>
      <c r="Y23" s="3215"/>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29"/>
      <c r="M24" s="1130"/>
      <c r="N24" s="1130"/>
      <c r="O24" s="1131"/>
      <c r="P24" s="3215"/>
      <c r="Q24" s="1792"/>
      <c r="R24" s="770"/>
      <c r="S24" s="771"/>
      <c r="T24" s="770"/>
      <c r="U24" s="771"/>
      <c r="V24" s="770"/>
      <c r="W24" s="771"/>
      <c r="X24" s="772"/>
      <c r="Y24" s="3215"/>
      <c r="Z24" s="55"/>
      <c r="AA24" s="773">
        <v>1</v>
      </c>
      <c r="AB24" s="773">
        <v>1</v>
      </c>
      <c r="AC24" s="773">
        <v>1</v>
      </c>
    </row>
    <row r="25" spans="1:29" s="117" customFormat="1" ht="28.5">
      <c r="A25" s="649"/>
      <c r="B25" s="633" t="s">
        <v>2657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15"/>
      <c r="Q25" s="1792" t="str">
        <f t="shared" ref="Q25" si="9">B25</f>
        <v>基础设施水平</v>
      </c>
      <c r="R25" s="770" t="s">
        <v>17</v>
      </c>
      <c r="S25" s="771">
        <f>F25</f>
        <v>100</v>
      </c>
      <c r="T25" s="770" t="s">
        <v>17</v>
      </c>
      <c r="U25" s="771">
        <f>H25</f>
        <v>100</v>
      </c>
      <c r="V25" s="770" t="s">
        <v>17</v>
      </c>
      <c r="W25" s="771">
        <f>J25</f>
        <v>100</v>
      </c>
      <c r="X25" s="772"/>
      <c r="Y25" s="3215"/>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29"/>
      <c r="M26" s="1130"/>
      <c r="N26" s="1130"/>
      <c r="O26" s="1131"/>
      <c r="P26" s="3215"/>
      <c r="Q26" s="1792"/>
      <c r="R26" s="770"/>
      <c r="S26" s="771"/>
      <c r="T26" s="770"/>
      <c r="U26" s="771"/>
      <c r="V26" s="770"/>
      <c r="W26" s="771"/>
      <c r="X26" s="772"/>
      <c r="Y26" s="3215"/>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15"/>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15"/>
      <c r="Z27" s="1811" t="str">
        <f t="shared" ref="Z27:Z40" si="13">Q27</f>
        <v>临街状况</v>
      </c>
      <c r="AA27" s="1808">
        <f t="shared" si="3"/>
        <v>1</v>
      </c>
      <c r="AB27" s="1808">
        <f t="shared" si="4"/>
        <v>1</v>
      </c>
      <c r="AC27" s="1808">
        <f t="shared" si="5"/>
        <v>1</v>
      </c>
    </row>
    <row r="28" spans="1:29" ht="27">
      <c r="A28" s="428"/>
      <c r="B28" s="633" t="s">
        <v>2693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15"/>
      <c r="Q28" s="1807" t="str">
        <f t="shared" si="8"/>
        <v>毗邻道路的类型与等级</v>
      </c>
      <c r="R28" s="774" t="s">
        <v>17</v>
      </c>
      <c r="S28" s="775">
        <f t="shared" si="10"/>
        <v>100</v>
      </c>
      <c r="T28" s="774" t="s">
        <v>17</v>
      </c>
      <c r="U28" s="775">
        <f t="shared" si="11"/>
        <v>100</v>
      </c>
      <c r="V28" s="774" t="s">
        <v>17</v>
      </c>
      <c r="W28" s="775">
        <f t="shared" si="12"/>
        <v>100</v>
      </c>
      <c r="X28" s="1810"/>
      <c r="Y28" s="3215"/>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7"/>
      <c r="M29" s="1128"/>
      <c r="N29" s="1128"/>
      <c r="O29" s="1136"/>
      <c r="P29" s="3215"/>
      <c r="Q29" s="1807"/>
      <c r="R29" s="774"/>
      <c r="S29" s="775"/>
      <c r="T29" s="774"/>
      <c r="U29" s="775"/>
      <c r="V29" s="774"/>
      <c r="W29" s="775"/>
      <c r="X29" s="1810"/>
      <c r="Y29" s="3215"/>
      <c r="Z29" s="1811"/>
      <c r="AA29" s="1808">
        <v>1</v>
      </c>
      <c r="AB29" s="1808">
        <v>1</v>
      </c>
      <c r="AC29" s="1808">
        <v>1</v>
      </c>
    </row>
    <row r="30" spans="1:29" ht="15">
      <c r="A30" s="428"/>
      <c r="B30" s="654" t="s">
        <v>2752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15"/>
      <c r="Q30" s="1807" t="str">
        <f t="shared" si="8"/>
        <v>土地级别</v>
      </c>
      <c r="R30" s="774" t="s">
        <v>17</v>
      </c>
      <c r="S30" s="775">
        <f t="shared" si="10"/>
        <v>100</v>
      </c>
      <c r="T30" s="774" t="s">
        <v>17</v>
      </c>
      <c r="U30" s="775">
        <f t="shared" si="11"/>
        <v>100</v>
      </c>
      <c r="V30" s="774" t="s">
        <v>17</v>
      </c>
      <c r="W30" s="775">
        <f t="shared" si="12"/>
        <v>100</v>
      </c>
      <c r="X30" s="1810"/>
      <c r="Y30" s="3215"/>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15"/>
      <c r="Q31" s="1807">
        <f t="shared" si="8"/>
        <v>111</v>
      </c>
      <c r="R31" s="774" t="s">
        <v>17</v>
      </c>
      <c r="S31" s="775">
        <f t="shared" si="10"/>
        <v>100</v>
      </c>
      <c r="T31" s="774" t="s">
        <v>17</v>
      </c>
      <c r="U31" s="775">
        <f t="shared" si="11"/>
        <v>100</v>
      </c>
      <c r="V31" s="774" t="s">
        <v>17</v>
      </c>
      <c r="W31" s="775">
        <f t="shared" si="12"/>
        <v>100</v>
      </c>
      <c r="X31" s="1810"/>
      <c r="Y31" s="3215"/>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40" t="s">
        <v>2567</v>
      </c>
      <c r="Q32" s="1807">
        <f t="shared" si="8"/>
        <v>111</v>
      </c>
      <c r="R32" s="774" t="s">
        <v>17</v>
      </c>
      <c r="S32" s="775">
        <f t="shared" si="10"/>
        <v>100</v>
      </c>
      <c r="T32" s="774" t="s">
        <v>17</v>
      </c>
      <c r="U32" s="775">
        <f t="shared" si="11"/>
        <v>100</v>
      </c>
      <c r="V32" s="774" t="s">
        <v>17</v>
      </c>
      <c r="W32" s="775">
        <f t="shared" si="12"/>
        <v>100</v>
      </c>
      <c r="X32" s="1810"/>
      <c r="Y32" s="3219" t="s">
        <v>2567</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19"/>
      <c r="Q33" s="1807">
        <f t="shared" si="8"/>
        <v>111</v>
      </c>
      <c r="R33" s="777" t="s">
        <v>17</v>
      </c>
      <c r="S33" s="778">
        <f t="shared" si="10"/>
        <v>100</v>
      </c>
      <c r="T33" s="777" t="s">
        <v>17</v>
      </c>
      <c r="U33" s="778">
        <f t="shared" si="11"/>
        <v>100</v>
      </c>
      <c r="V33" s="777" t="s">
        <v>17</v>
      </c>
      <c r="W33" s="778">
        <f t="shared" si="12"/>
        <v>100</v>
      </c>
      <c r="X33" s="779"/>
      <c r="Y33" s="3219"/>
      <c r="Z33" s="780">
        <f t="shared" si="13"/>
        <v>111</v>
      </c>
      <c r="AA33" s="1808">
        <f t="shared" si="3"/>
        <v>1</v>
      </c>
      <c r="AB33" s="1808">
        <f t="shared" si="4"/>
        <v>1</v>
      </c>
      <c r="AC33" s="1808">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19"/>
      <c r="Q34" s="1807" t="str">
        <f>B34</f>
        <v>宗地面积</v>
      </c>
      <c r="R34" s="774" t="s">
        <v>17</v>
      </c>
      <c r="S34" s="775" t="e">
        <f t="shared" si="10"/>
        <v>#N/A</v>
      </c>
      <c r="T34" s="774" t="s">
        <v>17</v>
      </c>
      <c r="U34" s="775" t="e">
        <f t="shared" si="11"/>
        <v>#N/A</v>
      </c>
      <c r="V34" s="774" t="s">
        <v>17</v>
      </c>
      <c r="W34" s="775" t="e">
        <f t="shared" si="12"/>
        <v>#N/A</v>
      </c>
      <c r="X34" s="1810"/>
      <c r="Y34" s="3219"/>
      <c r="Z34" s="1811" t="str">
        <f t="shared" si="13"/>
        <v>宗地面积</v>
      </c>
      <c r="AA34" s="1808" t="e">
        <f t="shared" si="3"/>
        <v>#N/A</v>
      </c>
      <c r="AB34" s="1808" t="e">
        <f t="shared" si="4"/>
        <v>#N/A</v>
      </c>
      <c r="AC34" s="1808" t="e">
        <f t="shared" si="5"/>
        <v>#N/A</v>
      </c>
    </row>
    <row r="35" spans="1:29" ht="15">
      <c r="A35" s="472"/>
      <c r="B35" s="422" t="s">
        <v>2754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7"/>
      <c r="M35" s="1128"/>
      <c r="N35" s="1128"/>
      <c r="O35" s="1136"/>
      <c r="P35" s="3219"/>
      <c r="Q35" s="1807" t="str">
        <f t="shared" ref="Q35:Q40" si="14">B35</f>
        <v>宗地形状</v>
      </c>
      <c r="R35" s="774" t="s">
        <v>17</v>
      </c>
      <c r="S35" s="775">
        <f t="shared" si="10"/>
        <v>100</v>
      </c>
      <c r="T35" s="774" t="s">
        <v>17</v>
      </c>
      <c r="U35" s="775">
        <f t="shared" si="11"/>
        <v>100</v>
      </c>
      <c r="V35" s="774" t="s">
        <v>17</v>
      </c>
      <c r="W35" s="775">
        <f t="shared" si="12"/>
        <v>100</v>
      </c>
      <c r="X35" s="1810"/>
      <c r="Y35" s="3219"/>
      <c r="Z35" s="1811" t="str">
        <f t="shared" si="13"/>
        <v>宗地形状</v>
      </c>
      <c r="AA35" s="1808">
        <f t="shared" si="3"/>
        <v>1</v>
      </c>
      <c r="AB35" s="1808">
        <f t="shared" si="4"/>
        <v>1</v>
      </c>
      <c r="AC35" s="1808">
        <f t="shared" si="5"/>
        <v>1</v>
      </c>
    </row>
    <row r="36" spans="1:29" s="117" customFormat="1" ht="15">
      <c r="A36" s="473"/>
      <c r="B36" s="422" t="s">
        <v>2756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9"/>
      <c r="M36" s="1130"/>
      <c r="N36" s="1130"/>
      <c r="O36" s="1131"/>
      <c r="P36" s="3219"/>
      <c r="Q36" s="1807"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7"/>
      <c r="M37" s="1128"/>
      <c r="N37" s="1128"/>
      <c r="O37" s="1136"/>
      <c r="P37" s="3219" t="s">
        <v>2567</v>
      </c>
      <c r="Q37" s="1807" t="str">
        <f t="shared" si="14"/>
        <v>工程地质条件</v>
      </c>
      <c r="R37" s="774" t="s">
        <v>17</v>
      </c>
      <c r="S37" s="775">
        <f t="shared" si="10"/>
        <v>100</v>
      </c>
      <c r="T37" s="774" t="s">
        <v>17</v>
      </c>
      <c r="U37" s="775">
        <f t="shared" si="11"/>
        <v>100</v>
      </c>
      <c r="V37" s="774" t="s">
        <v>17</v>
      </c>
      <c r="W37" s="775">
        <f t="shared" si="12"/>
        <v>100</v>
      </c>
      <c r="X37" s="1810"/>
      <c r="Y37" s="3219" t="s">
        <v>2567</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19"/>
      <c r="Q38" s="1807">
        <f t="shared" si="14"/>
        <v>111</v>
      </c>
      <c r="R38" s="774" t="s">
        <v>17</v>
      </c>
      <c r="S38" s="775">
        <f t="shared" si="10"/>
        <v>100</v>
      </c>
      <c r="T38" s="774" t="s">
        <v>17</v>
      </c>
      <c r="U38" s="775">
        <f t="shared" si="11"/>
        <v>100</v>
      </c>
      <c r="V38" s="774" t="s">
        <v>17</v>
      </c>
      <c r="W38" s="775">
        <f t="shared" si="12"/>
        <v>100</v>
      </c>
      <c r="X38" s="1810"/>
      <c r="Y38" s="3219"/>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19"/>
      <c r="Q39" s="1807">
        <f t="shared" si="14"/>
        <v>111</v>
      </c>
      <c r="R39" s="774" t="s">
        <v>17</v>
      </c>
      <c r="S39" s="775">
        <f t="shared" si="10"/>
        <v>100</v>
      </c>
      <c r="T39" s="774" t="s">
        <v>17</v>
      </c>
      <c r="U39" s="775">
        <f t="shared" si="11"/>
        <v>100</v>
      </c>
      <c r="V39" s="774" t="s">
        <v>17</v>
      </c>
      <c r="W39" s="775">
        <f t="shared" si="12"/>
        <v>100</v>
      </c>
      <c r="X39" s="1810"/>
      <c r="Y39" s="3219"/>
      <c r="Z39" s="1811">
        <f t="shared" si="13"/>
        <v>111</v>
      </c>
      <c r="AA39" s="1808">
        <f t="shared" si="3"/>
        <v>1</v>
      </c>
      <c r="AB39" s="1808">
        <f t="shared" si="4"/>
        <v>1</v>
      </c>
      <c r="AC39" s="1808">
        <f t="shared" si="5"/>
        <v>1</v>
      </c>
    </row>
    <row r="40" spans="1:29" s="471" customFormat="1" ht="15.75"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19"/>
      <c r="Q40" s="1807">
        <f t="shared" si="14"/>
        <v>111</v>
      </c>
      <c r="R40" s="777" t="s">
        <v>17</v>
      </c>
      <c r="S40" s="778">
        <f t="shared" si="10"/>
        <v>100</v>
      </c>
      <c r="T40" s="777" t="s">
        <v>17</v>
      </c>
      <c r="U40" s="778">
        <f t="shared" si="11"/>
        <v>100</v>
      </c>
      <c r="V40" s="777" t="s">
        <v>17</v>
      </c>
      <c r="W40" s="778">
        <f t="shared" si="12"/>
        <v>100</v>
      </c>
      <c r="X40" s="779"/>
      <c r="Y40" s="3219"/>
      <c r="Z40" s="780">
        <f t="shared" si="13"/>
        <v>111</v>
      </c>
      <c r="AA40" s="1808">
        <f t="shared" si="3"/>
        <v>1</v>
      </c>
      <c r="AB40" s="1808">
        <f t="shared" si="4"/>
        <v>1</v>
      </c>
      <c r="AC40" s="1808">
        <f t="shared" si="5"/>
        <v>1</v>
      </c>
    </row>
    <row r="41" spans="1:29" ht="15">
      <c r="A41" s="479" t="s">
        <v>2722</v>
      </c>
      <c r="B41" s="2701" t="s">
        <v>2802</v>
      </c>
      <c r="C41" s="682" t="s">
        <v>1</v>
      </c>
      <c r="D41" s="481"/>
      <c r="E41" s="482"/>
      <c r="F41" s="483"/>
      <c r="G41" s="484"/>
      <c r="H41" s="485"/>
      <c r="I41" s="482"/>
      <c r="J41" s="485"/>
      <c r="K41" s="783"/>
      <c r="L41" s="1140"/>
      <c r="M41" s="1128"/>
      <c r="N41" s="1128"/>
      <c r="O41" s="1141"/>
      <c r="P41" s="3212" t="str">
        <f>A41</f>
        <v>成交单价</v>
      </c>
      <c r="Q41" s="3212"/>
      <c r="R41" s="3207">
        <f>E41</f>
        <v>0</v>
      </c>
      <c r="S41" s="3207"/>
      <c r="T41" s="3207">
        <f>G41</f>
        <v>0</v>
      </c>
      <c r="U41" s="3207"/>
      <c r="V41" s="3207">
        <f>I41</f>
        <v>0</v>
      </c>
      <c r="W41" s="3207"/>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0"/>
      <c r="M42" s="1128"/>
      <c r="N42" s="1128"/>
      <c r="O42" s="1141"/>
      <c r="P42" s="3212" t="str">
        <f>A42</f>
        <v>比较价值（元/平方米）</v>
      </c>
      <c r="Q42" s="3212"/>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0"/>
      <c r="M43" s="1128"/>
      <c r="N43" s="1128"/>
      <c r="O43" s="1141"/>
      <c r="P43" s="3209" t="str">
        <f>A43</f>
        <v>估价对象XX用房的比较价值（楼面单价，元/平方米）</v>
      </c>
      <c r="Q43" s="3210"/>
      <c r="R43" s="3242" t="e">
        <f>ROUND(AVERAGE(R42:V42),0)</f>
        <v>#DIV/0!</v>
      </c>
      <c r="S43" s="3242"/>
      <c r="T43" s="3242"/>
      <c r="U43" s="3242"/>
      <c r="V43" s="3242"/>
      <c r="W43" s="3242"/>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2760</v>
      </c>
      <c r="B50" s="685" t="s">
        <v>2761</v>
      </c>
      <c r="C50" s="2702" t="s">
        <v>2762</v>
      </c>
      <c r="D50" s="2703" t="s">
        <v>2763</v>
      </c>
      <c r="E50" s="686" t="s">
        <v>2764</v>
      </c>
      <c r="F50" s="687" t="s">
        <v>2765</v>
      </c>
      <c r="G50" s="3195" t="s">
        <v>2766</v>
      </c>
      <c r="H50" s="3243"/>
      <c r="I50" s="1811" t="s">
        <v>2803</v>
      </c>
      <c r="J50" s="1811">
        <f>项目基本情况!F35</f>
        <v>0</v>
      </c>
      <c r="K50" s="2705" t="s">
        <v>2768</v>
      </c>
      <c r="L50" s="1103"/>
      <c r="M50" s="1141"/>
      <c r="N50" s="1141"/>
      <c r="O50" s="1141"/>
    </row>
    <row r="51" spans="1:17" s="692" customFormat="1">
      <c r="A51" s="688" t="s">
        <v>2769</v>
      </c>
      <c r="B51" s="689" t="e">
        <f>C43</f>
        <v>#DIV/0!</v>
      </c>
      <c r="C51" s="690">
        <v>1</v>
      </c>
      <c r="D51" s="1160">
        <v>1</v>
      </c>
      <c r="E51" s="690">
        <f>'数据-汇总表'!E8+'数据-汇总表'!E9</f>
        <v>4704.8599999999997</v>
      </c>
      <c r="F51" s="691" t="e">
        <f t="shared" ref="F51:F60" si="15">ROUND(B51*E51/10000,0)</f>
        <v>#DIV/0!</v>
      </c>
      <c r="G51" s="3194"/>
      <c r="H51" s="3212"/>
      <c r="I51" s="939">
        <v>1</v>
      </c>
      <c r="J51" s="939">
        <v>1</v>
      </c>
      <c r="K51" s="1142"/>
      <c r="L51" s="938"/>
      <c r="M51" s="938"/>
      <c r="N51" s="938"/>
      <c r="O51" s="938"/>
    </row>
    <row r="52" spans="1:17" s="692" customFormat="1">
      <c r="A52" s="693" t="s">
        <v>2770</v>
      </c>
      <c r="B52" s="262" t="e">
        <f>ROUND($C$43*C52*D52,0)</f>
        <v>#DIV/0!</v>
      </c>
      <c r="C52" s="200">
        <f t="shared" ref="C52:C60" si="16">IF($C$50="北京市系数",I52,J52)</f>
        <v>0.7</v>
      </c>
      <c r="D52" s="1161">
        <v>0.25</v>
      </c>
      <c r="E52" s="694"/>
      <c r="F52" s="691" t="e">
        <f t="shared" si="15"/>
        <v>#DIV/0!</v>
      </c>
      <c r="G52" s="3244" t="s">
        <v>2771</v>
      </c>
      <c r="H52" s="1101" t="str">
        <f>项目基本情况!B37</f>
        <v>六级</v>
      </c>
      <c r="I52" s="939">
        <f>SUMIF(修正!A45:A56,H52,修正!B45:B56)</f>
        <v>0.7</v>
      </c>
      <c r="J52" s="940"/>
      <c r="K52" s="1141"/>
      <c r="L52" s="938"/>
      <c r="M52" s="938"/>
      <c r="N52" s="938"/>
      <c r="O52" s="938"/>
    </row>
    <row r="53" spans="1:17" s="692" customFormat="1">
      <c r="A53" s="693" t="s">
        <v>2772</v>
      </c>
      <c r="B53" s="262" t="e">
        <f t="shared" ref="B53:B60" si="17">ROUND($C$43*C53*D53,0)</f>
        <v>#DIV/0!</v>
      </c>
      <c r="C53" s="200">
        <f t="shared" si="16"/>
        <v>0.4</v>
      </c>
      <c r="D53" s="1161">
        <v>0.25</v>
      </c>
      <c r="E53" s="694"/>
      <c r="F53" s="691" t="e">
        <f t="shared" si="15"/>
        <v>#DIV/0!</v>
      </c>
      <c r="G53" s="3244"/>
      <c r="H53" s="1101" t="str">
        <f>项目基本情况!B37</f>
        <v>六级</v>
      </c>
      <c r="I53" s="939">
        <f>SUMIF(修正!A45:A56,H53,修正!C45:C56)</f>
        <v>0.4</v>
      </c>
      <c r="J53" s="940"/>
      <c r="K53" s="1142"/>
      <c r="L53" s="938"/>
      <c r="M53" s="938"/>
      <c r="N53" s="938"/>
      <c r="O53" s="938"/>
    </row>
    <row r="54" spans="1:17" s="692" customFormat="1">
      <c r="A54" s="693" t="s">
        <v>2773</v>
      </c>
      <c r="B54" s="262" t="e">
        <f t="shared" si="17"/>
        <v>#DIV/0!</v>
      </c>
      <c r="C54" s="200">
        <f t="shared" si="16"/>
        <v>0.28000000000000003</v>
      </c>
      <c r="D54" s="1161">
        <v>0.25</v>
      </c>
      <c r="E54" s="694"/>
      <c r="F54" s="691" t="e">
        <f t="shared" si="15"/>
        <v>#DIV/0!</v>
      </c>
      <c r="G54" s="3244"/>
      <c r="H54" s="1101" t="str">
        <f>项目基本情况!B37</f>
        <v>六级</v>
      </c>
      <c r="I54" s="939">
        <f>SUMIF(修正!A45:A56,H54,修正!D45:D56)</f>
        <v>0.28000000000000003</v>
      </c>
      <c r="J54" s="940"/>
      <c r="K54" s="1141"/>
      <c r="L54" s="938"/>
      <c r="M54" s="938"/>
      <c r="N54" s="938"/>
      <c r="O54" s="938"/>
    </row>
    <row r="55" spans="1:17" s="692" customFormat="1">
      <c r="A55" s="693" t="s">
        <v>2774</v>
      </c>
      <c r="B55" s="262" t="e">
        <f t="shared" si="17"/>
        <v>#DIV/0!</v>
      </c>
      <c r="C55" s="200">
        <f t="shared" si="16"/>
        <v>0.25</v>
      </c>
      <c r="D55" s="1161">
        <v>0.25</v>
      </c>
      <c r="E55" s="694"/>
      <c r="F55" s="691" t="e">
        <f t="shared" si="15"/>
        <v>#DIV/0!</v>
      </c>
      <c r="G55" s="3244"/>
      <c r="H55" s="1101" t="str">
        <f>项目基本情况!B37</f>
        <v>六级</v>
      </c>
      <c r="I55" s="939">
        <f>SUMIF(修正!A45:A56,H55,修正!E45:E56)</f>
        <v>0.25</v>
      </c>
      <c r="J55" s="940"/>
      <c r="K55" s="1142"/>
      <c r="L55" s="938"/>
      <c r="M55" s="938"/>
      <c r="N55" s="938"/>
      <c r="O55" s="938"/>
    </row>
    <row r="56" spans="1:17" s="692" customFormat="1">
      <c r="A56" s="693" t="s">
        <v>2775</v>
      </c>
      <c r="B56" s="262" t="e">
        <f t="shared" si="17"/>
        <v>#DIV/0!</v>
      </c>
      <c r="C56" s="200">
        <f t="shared" si="16"/>
        <v>0</v>
      </c>
      <c r="D56" s="1161">
        <v>0.25</v>
      </c>
      <c r="E56" s="261">
        <f>'数据-汇总表'!E11</f>
        <v>0</v>
      </c>
      <c r="F56" s="691" t="e">
        <f t="shared" si="15"/>
        <v>#DIV/0!</v>
      </c>
      <c r="G56" s="2706" t="s">
        <v>2776</v>
      </c>
      <c r="H56" s="1101">
        <f>项目基本情况!C37</f>
        <v>0</v>
      </c>
      <c r="I56" s="939">
        <f>SUMIF(修正!A45:A56,H56,修正!F45:F56)</f>
        <v>0</v>
      </c>
      <c r="J56" s="940"/>
      <c r="K56" s="1141"/>
      <c r="L56" s="938"/>
      <c r="M56" s="938"/>
      <c r="N56" s="938"/>
      <c r="O56" s="938"/>
    </row>
    <row r="57" spans="1:17" s="692" customFormat="1">
      <c r="A57" s="693" t="s">
        <v>2777</v>
      </c>
      <c r="B57" s="262" t="e">
        <f t="shared" si="17"/>
        <v>#DIV/0!</v>
      </c>
      <c r="C57" s="200">
        <f t="shared" si="16"/>
        <v>0</v>
      </c>
      <c r="D57" s="1161">
        <v>0.25</v>
      </c>
      <c r="E57" s="261">
        <f>'数据-汇总表'!E12</f>
        <v>0</v>
      </c>
      <c r="F57" s="691" t="e">
        <f t="shared" si="15"/>
        <v>#DIV/0!</v>
      </c>
      <c r="G57" s="1106" t="s">
        <v>2778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2779</v>
      </c>
      <c r="B58" s="262" t="e">
        <f t="shared" si="17"/>
        <v>#DIV/0!</v>
      </c>
      <c r="C58" s="200">
        <f t="shared" si="16"/>
        <v>0</v>
      </c>
      <c r="D58" s="1161">
        <v>0.25</v>
      </c>
      <c r="E58" s="261">
        <f>'数据-汇总表'!E13</f>
        <v>0</v>
      </c>
      <c r="F58" s="691" t="e">
        <f t="shared" si="15"/>
        <v>#DIV/0!</v>
      </c>
      <c r="G58" s="1106" t="s">
        <v>2780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2781</v>
      </c>
      <c r="B59" s="262" t="e">
        <f t="shared" si="17"/>
        <v>#DIV/0!</v>
      </c>
      <c r="C59" s="200">
        <f t="shared" si="16"/>
        <v>0.2</v>
      </c>
      <c r="D59" s="1161">
        <v>0.25</v>
      </c>
      <c r="E59" s="261">
        <f>'数据-汇总表'!E14</f>
        <v>0</v>
      </c>
      <c r="F59" s="691" t="e">
        <f t="shared" si="15"/>
        <v>#DIV/0!</v>
      </c>
      <c r="G59" s="2706" t="s">
        <v>2771</v>
      </c>
      <c r="H59" s="1101" t="str">
        <f>项目基本情况!B37</f>
        <v>六级</v>
      </c>
      <c r="I59" s="939">
        <f>SUMIF(修正!A45:A56,H59,修正!H45:H56)</f>
        <v>0.2</v>
      </c>
      <c r="J59" s="940"/>
      <c r="K59" s="1142"/>
      <c r="L59" s="938"/>
      <c r="M59" s="938"/>
      <c r="N59" s="938"/>
      <c r="O59" s="938"/>
    </row>
    <row r="60" spans="1:17" s="692" customFormat="1" ht="15" thickBot="1">
      <c r="A60" s="693" t="s">
        <v>2782</v>
      </c>
      <c r="B60" s="262" t="e">
        <f t="shared" si="17"/>
        <v>#DIV/0!</v>
      </c>
      <c r="C60" s="200">
        <f t="shared" si="16"/>
        <v>0</v>
      </c>
      <c r="D60" s="1161">
        <v>0.25</v>
      </c>
      <c r="E60" s="261">
        <f>'数据-汇总表'!E15</f>
        <v>0</v>
      </c>
      <c r="F60" s="691" t="e">
        <f t="shared" si="15"/>
        <v>#DIV/0!</v>
      </c>
      <c r="G60" s="2707" t="s">
        <v>2776</v>
      </c>
      <c r="H60" s="1111">
        <f>项目基本情况!C37</f>
        <v>0</v>
      </c>
      <c r="I60" s="939">
        <f>SUMIF(修正!A45:A56,H60,修正!H45:H56)</f>
        <v>0</v>
      </c>
      <c r="J60" s="940"/>
      <c r="K60" s="1141"/>
      <c r="L60" s="938"/>
      <c r="M60" s="938"/>
      <c r="N60" s="938"/>
      <c r="O60" s="938"/>
    </row>
    <row r="61" spans="1:17" s="692" customFormat="1" ht="15" thickBot="1">
      <c r="A61" s="695" t="s">
        <v>2783</v>
      </c>
      <c r="B61" s="696" t="s">
        <v>28</v>
      </c>
      <c r="C61" s="696" t="s">
        <v>29</v>
      </c>
      <c r="D61" s="696" t="s">
        <v>1029</v>
      </c>
      <c r="E61" s="696">
        <f>IF(B41="楼面地价",SUM(E51:E60),'数据-汇总表'!D3)</f>
        <v>2957.47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2676</v>
      </c>
      <c r="B64" s="759"/>
      <c r="C64" s="764"/>
      <c r="D64" s="764"/>
      <c r="E64" s="764"/>
      <c r="F64" s="765"/>
      <c r="G64" s="765"/>
      <c r="H64" s="764"/>
      <c r="I64" s="764"/>
      <c r="J64" s="764"/>
      <c r="K64" s="766"/>
      <c r="L64" s="767"/>
      <c r="M64" s="764"/>
      <c r="N64" s="764"/>
      <c r="O64" s="1156"/>
      <c r="P64" s="503"/>
      <c r="Q64" s="504"/>
    </row>
    <row r="65" spans="1:17" s="508" customFormat="1" ht="15">
      <c r="A65" s="2708" t="s">
        <v>2784</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7"/>
    </row>
    <row r="66" spans="1:17" s="117" customFormat="1" ht="30.75" customHeight="1">
      <c r="A66" s="2713" t="s">
        <v>2804</v>
      </c>
      <c r="B66" s="332" t="str">
        <f>"北京市平均增长率"&amp;TEXT(基准地价修正!P24,"0.00%")</f>
        <v>北京市平均增长率1.35%</v>
      </c>
      <c r="C66" s="603">
        <v>100</v>
      </c>
      <c r="D66" s="595"/>
      <c r="E66" s="595"/>
      <c r="F66" s="595"/>
      <c r="G66" s="595"/>
      <c r="H66" s="595"/>
      <c r="I66" s="595"/>
      <c r="J66" s="595"/>
      <c r="K66" s="595"/>
      <c r="L66" s="595"/>
      <c r="M66" s="1564"/>
      <c r="N66" s="1564"/>
      <c r="O66" s="1566"/>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2590</v>
      </c>
      <c r="B70" s="528" t="s">
        <v>2556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2752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5:C37"/>
  <sheetViews>
    <sheetView topLeftCell="F16" workbookViewId="0">
      <selection activeCell="B35" sqref="B35:C35"/>
    </sheetView>
  </sheetViews>
  <sheetFormatPr defaultRowHeight="13.5"/>
  <sheetData>
    <row r="35" spans="2:3">
      <c r="B35" s="3288"/>
      <c r="C35" s="3288"/>
    </row>
    <row r="36" spans="2:3">
      <c r="C36" s="3288"/>
    </row>
    <row r="37" spans="2:3">
      <c r="C37" s="3288"/>
    </row>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69" t="s">
        <v>183</v>
      </c>
      <c r="B18" s="876" t="s">
        <v>560</v>
      </c>
      <c r="C18" s="877" t="s">
        <v>561</v>
      </c>
      <c r="D18" s="878"/>
      <c r="E18" s="876">
        <v>1</v>
      </c>
      <c r="F18" s="879" t="s">
        <v>562</v>
      </c>
      <c r="G18" s="880"/>
      <c r="H18" s="872"/>
      <c r="I18" s="872"/>
    </row>
    <row r="19" spans="1:9" s="881" customFormat="1" ht="19.5" customHeight="1">
      <c r="A19" s="3269"/>
      <c r="B19" s="3269" t="s">
        <v>563</v>
      </c>
      <c r="C19" s="877" t="s">
        <v>564</v>
      </c>
      <c r="D19" s="878"/>
      <c r="E19" s="876">
        <v>0.9</v>
      </c>
      <c r="F19" s="879" t="s">
        <v>565</v>
      </c>
      <c r="G19" s="880"/>
      <c r="H19" s="872"/>
      <c r="I19" s="872"/>
    </row>
    <row r="20" spans="1:9" s="881" customFormat="1" ht="19.5" customHeight="1">
      <c r="A20" s="3269"/>
      <c r="B20" s="3269"/>
      <c r="C20" s="877" t="s">
        <v>566</v>
      </c>
      <c r="D20" s="878"/>
      <c r="E20" s="876">
        <v>1.1000000000000001</v>
      </c>
      <c r="F20" s="879" t="s">
        <v>567</v>
      </c>
      <c r="G20" s="880"/>
      <c r="H20" s="872"/>
      <c r="I20" s="872"/>
    </row>
    <row r="21" spans="1:9" s="881" customFormat="1" ht="19.5" customHeight="1">
      <c r="A21" s="3269"/>
      <c r="B21" s="3269"/>
      <c r="C21" s="877" t="s">
        <v>568</v>
      </c>
      <c r="D21" s="878"/>
      <c r="E21" s="876">
        <v>0.8</v>
      </c>
      <c r="F21" s="879" t="s">
        <v>569</v>
      </c>
      <c r="G21" s="880"/>
      <c r="H21" s="872"/>
      <c r="I21" s="872"/>
    </row>
    <row r="22" spans="1:9" s="881" customFormat="1" ht="19.5" customHeight="1">
      <c r="A22" s="3269"/>
      <c r="B22" s="3269"/>
      <c r="C22" s="877" t="s">
        <v>570</v>
      </c>
      <c r="D22" s="878"/>
      <c r="E22" s="876">
        <v>0.5</v>
      </c>
      <c r="F22" s="879"/>
      <c r="G22" s="880"/>
      <c r="H22" s="872"/>
      <c r="I22" s="872"/>
    </row>
    <row r="23" spans="1:9" s="881" customFormat="1" ht="19.5" customHeight="1">
      <c r="A23" s="3269" t="s">
        <v>184</v>
      </c>
      <c r="B23" s="876" t="s">
        <v>560</v>
      </c>
      <c r="C23" s="877" t="s">
        <v>571</v>
      </c>
      <c r="D23" s="878"/>
      <c r="E23" s="876">
        <v>1</v>
      </c>
      <c r="F23" s="879" t="s">
        <v>572</v>
      </c>
      <c r="G23" s="880"/>
      <c r="H23" s="872"/>
      <c r="I23" s="872"/>
    </row>
    <row r="24" spans="1:9" s="881" customFormat="1" ht="19.5" customHeight="1">
      <c r="A24" s="3269"/>
      <c r="B24" s="3269" t="s">
        <v>563</v>
      </c>
      <c r="C24" s="877" t="s">
        <v>573</v>
      </c>
      <c r="D24" s="878"/>
      <c r="E24" s="876">
        <v>0.5</v>
      </c>
      <c r="F24" s="879"/>
      <c r="G24" s="880"/>
      <c r="H24" s="872"/>
      <c r="I24" s="872"/>
    </row>
    <row r="25" spans="1:9" s="881" customFormat="1" ht="19.5" customHeight="1">
      <c r="A25" s="3269"/>
      <c r="B25" s="3269"/>
      <c r="C25" s="877" t="s">
        <v>574</v>
      </c>
      <c r="D25" s="878"/>
      <c r="E25" s="876">
        <v>1.1000000000000001</v>
      </c>
      <c r="F25" s="879"/>
      <c r="G25" s="880"/>
      <c r="H25" s="872"/>
      <c r="I25" s="872"/>
    </row>
    <row r="26" spans="1:9" s="881" customFormat="1" ht="19.5" customHeight="1">
      <c r="A26" s="3269"/>
      <c r="B26" s="3269"/>
      <c r="C26" s="877" t="s">
        <v>575</v>
      </c>
      <c r="D26" s="878"/>
      <c r="E26" s="876">
        <v>1.1000000000000001</v>
      </c>
      <c r="F26" s="879"/>
      <c r="G26" s="880"/>
      <c r="H26" s="872"/>
      <c r="I26" s="872"/>
    </row>
    <row r="27" spans="1:9" s="881" customFormat="1" ht="19.5" customHeight="1">
      <c r="A27" s="3269"/>
      <c r="B27" s="3269"/>
      <c r="C27" s="877" t="s">
        <v>576</v>
      </c>
      <c r="D27" s="878"/>
      <c r="E27" s="876">
        <v>0.9</v>
      </c>
      <c r="F27" s="879" t="s">
        <v>577</v>
      </c>
      <c r="G27" s="880"/>
      <c r="H27" s="872"/>
      <c r="I27" s="872"/>
    </row>
    <row r="28" spans="1:9" s="881" customFormat="1" ht="19.5" customHeight="1">
      <c r="A28" s="3269"/>
      <c r="B28" s="3269"/>
      <c r="C28" s="877" t="s">
        <v>578</v>
      </c>
      <c r="D28" s="878"/>
      <c r="E28" s="876">
        <v>0.9</v>
      </c>
      <c r="F28" s="879" t="s">
        <v>579</v>
      </c>
      <c r="G28" s="880"/>
      <c r="H28" s="872"/>
      <c r="I28" s="872"/>
    </row>
    <row r="29" spans="1:9" s="881" customFormat="1" ht="19.5" customHeight="1">
      <c r="A29" s="3269"/>
      <c r="B29" s="3269"/>
      <c r="C29" s="877" t="s">
        <v>580</v>
      </c>
      <c r="D29" s="878"/>
      <c r="E29" s="876">
        <v>0.9</v>
      </c>
      <c r="F29" s="879" t="s">
        <v>581</v>
      </c>
      <c r="G29" s="880"/>
      <c r="H29" s="872"/>
      <c r="I29" s="872"/>
    </row>
    <row r="30" spans="1:9" s="881" customFormat="1" ht="19.5" customHeight="1">
      <c r="A30" s="3269"/>
      <c r="B30" s="3269"/>
      <c r="C30" s="877" t="s">
        <v>582</v>
      </c>
      <c r="D30" s="878"/>
      <c r="E30" s="876">
        <v>0.9</v>
      </c>
      <c r="F30" s="879" t="s">
        <v>583</v>
      </c>
      <c r="G30" s="880"/>
      <c r="H30" s="872"/>
      <c r="I30" s="872"/>
    </row>
    <row r="31" spans="1:9" s="881" customFormat="1" ht="19.5" customHeight="1">
      <c r="A31" s="3269"/>
      <c r="B31" s="3269"/>
      <c r="C31" s="877" t="s">
        <v>584</v>
      </c>
      <c r="D31" s="878"/>
      <c r="E31" s="876">
        <v>0.8</v>
      </c>
      <c r="F31" s="879" t="s">
        <v>585</v>
      </c>
      <c r="G31" s="880"/>
      <c r="H31" s="872"/>
      <c r="I31" s="872"/>
    </row>
    <row r="32" spans="1:9" s="881" customFormat="1" ht="19.5" customHeight="1">
      <c r="A32" s="3269"/>
      <c r="B32" s="3269"/>
      <c r="C32" s="877" t="s">
        <v>586</v>
      </c>
      <c r="D32" s="878"/>
      <c r="E32" s="876">
        <v>0.8</v>
      </c>
      <c r="F32" s="879" t="s">
        <v>587</v>
      </c>
      <c r="G32" s="880"/>
      <c r="H32" s="872"/>
      <c r="I32" s="872"/>
    </row>
    <row r="33" spans="1:9" s="881" customFormat="1" ht="19.5" customHeight="1">
      <c r="A33" s="3269" t="s">
        <v>185</v>
      </c>
      <c r="B33" s="876" t="s">
        <v>560</v>
      </c>
      <c r="C33" s="877" t="s">
        <v>588</v>
      </c>
      <c r="D33" s="878"/>
      <c r="E33" s="876">
        <v>1</v>
      </c>
      <c r="F33" s="879" t="s">
        <v>589</v>
      </c>
      <c r="G33" s="880"/>
      <c r="H33" s="872"/>
      <c r="I33" s="872"/>
    </row>
    <row r="34" spans="1:9" s="881" customFormat="1" ht="19.5" customHeight="1">
      <c r="A34" s="3269"/>
      <c r="B34" s="876" t="s">
        <v>563</v>
      </c>
      <c r="C34" s="877" t="s">
        <v>590</v>
      </c>
      <c r="D34" s="878"/>
      <c r="E34" s="876">
        <v>1.5</v>
      </c>
      <c r="F34" s="879" t="s">
        <v>591</v>
      </c>
      <c r="G34" s="880"/>
      <c r="H34" s="872"/>
      <c r="I34" s="872"/>
    </row>
    <row r="35" spans="1:9" s="881" customFormat="1" ht="19.5" customHeight="1">
      <c r="A35" s="3269" t="s">
        <v>186</v>
      </c>
      <c r="B35" s="876" t="s">
        <v>560</v>
      </c>
      <c r="C35" s="877" t="s">
        <v>592</v>
      </c>
      <c r="D35" s="878"/>
      <c r="E35" s="876">
        <v>1</v>
      </c>
      <c r="F35" s="879" t="s">
        <v>593</v>
      </c>
      <c r="G35" s="880"/>
      <c r="H35" s="872"/>
      <c r="I35" s="872"/>
    </row>
    <row r="36" spans="1:9" s="881" customFormat="1" ht="19.5" customHeight="1">
      <c r="A36" s="3269"/>
      <c r="B36" s="3269" t="s">
        <v>563</v>
      </c>
      <c r="C36" s="877" t="s">
        <v>594</v>
      </c>
      <c r="D36" s="878"/>
      <c r="E36" s="876">
        <v>1</v>
      </c>
      <c r="F36" s="879" t="s">
        <v>595</v>
      </c>
      <c r="G36" s="880"/>
      <c r="H36" s="872"/>
      <c r="I36" s="872"/>
    </row>
    <row r="37" spans="1:9" s="881" customFormat="1" ht="19.5" customHeight="1">
      <c r="A37" s="3269"/>
      <c r="B37" s="3269"/>
      <c r="C37" s="877" t="s">
        <v>596</v>
      </c>
      <c r="D37" s="878"/>
      <c r="E37" s="876">
        <v>1.5</v>
      </c>
      <c r="F37" s="879" t="s">
        <v>597</v>
      </c>
      <c r="G37" s="880"/>
      <c r="H37" s="872"/>
      <c r="I37" s="872"/>
    </row>
    <row r="38" spans="1:9" s="881" customFormat="1" ht="19.5" customHeight="1">
      <c r="A38" s="3269"/>
      <c r="B38" s="3269"/>
      <c r="C38" s="877" t="s">
        <v>598</v>
      </c>
      <c r="D38" s="878"/>
      <c r="E38" s="876">
        <v>1</v>
      </c>
      <c r="F38" s="879" t="s">
        <v>599</v>
      </c>
      <c r="G38" s="880"/>
      <c r="H38" s="872"/>
      <c r="I38" s="872"/>
    </row>
    <row r="39" spans="1:9" s="881" customFormat="1" ht="19.5" customHeight="1">
      <c r="A39" s="3269"/>
      <c r="B39" s="326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69" t="s">
        <v>614</v>
      </c>
      <c r="C61" s="812" t="s">
        <v>615</v>
      </c>
      <c r="D61" s="812" t="s">
        <v>616</v>
      </c>
      <c r="E61" s="889">
        <v>0.5</v>
      </c>
      <c r="F61" s="876">
        <v>80</v>
      </c>
    </row>
    <row r="62" spans="1:8" s="872" customFormat="1" ht="24">
      <c r="A62" s="876">
        <v>2</v>
      </c>
      <c r="B62" s="3269"/>
      <c r="C62" s="812" t="s">
        <v>617</v>
      </c>
      <c r="D62" s="812" t="s">
        <v>618</v>
      </c>
      <c r="E62" s="889">
        <v>0.5</v>
      </c>
      <c r="F62" s="876">
        <v>80</v>
      </c>
    </row>
    <row r="63" spans="1:8" s="872" customFormat="1" ht="36">
      <c r="A63" s="876">
        <v>3</v>
      </c>
      <c r="B63" s="3269"/>
      <c r="C63" s="812" t="s">
        <v>619</v>
      </c>
      <c r="D63" s="812" t="s">
        <v>620</v>
      </c>
      <c r="E63" s="889">
        <v>0.5</v>
      </c>
      <c r="F63" s="876">
        <v>80</v>
      </c>
    </row>
    <row r="64" spans="1:8" s="872" customFormat="1" ht="36">
      <c r="A64" s="876">
        <v>4</v>
      </c>
      <c r="B64" s="3269"/>
      <c r="C64" s="812" t="s">
        <v>621</v>
      </c>
      <c r="D64" s="812" t="s">
        <v>622</v>
      </c>
      <c r="E64" s="889">
        <v>0.4</v>
      </c>
      <c r="F64" s="876">
        <v>60</v>
      </c>
    </row>
    <row r="65" spans="1:6" s="872" customFormat="1" ht="36">
      <c r="A65" s="876">
        <v>5</v>
      </c>
      <c r="B65" s="3269"/>
      <c r="C65" s="812" t="s">
        <v>623</v>
      </c>
      <c r="D65" s="812" t="s">
        <v>624</v>
      </c>
      <c r="E65" s="889">
        <v>0.2</v>
      </c>
      <c r="F65" s="876">
        <v>30</v>
      </c>
    </row>
    <row r="66" spans="1:6" s="872" customFormat="1" ht="36">
      <c r="A66" s="876">
        <v>6</v>
      </c>
      <c r="B66" s="3269"/>
      <c r="C66" s="812" t="s">
        <v>625</v>
      </c>
      <c r="D66" s="812" t="s">
        <v>626</v>
      </c>
      <c r="E66" s="889">
        <v>0.3</v>
      </c>
      <c r="F66" s="876">
        <v>50</v>
      </c>
    </row>
    <row r="67" spans="1:6" s="872" customFormat="1" ht="36">
      <c r="A67" s="876">
        <v>7</v>
      </c>
      <c r="B67" s="3269"/>
      <c r="C67" s="812" t="s">
        <v>627</v>
      </c>
      <c r="D67" s="812" t="s">
        <v>628</v>
      </c>
      <c r="E67" s="889">
        <v>0.2</v>
      </c>
      <c r="F67" s="876">
        <v>30</v>
      </c>
    </row>
    <row r="68" spans="1:6" s="872" customFormat="1" ht="36">
      <c r="A68" s="876">
        <v>8</v>
      </c>
      <c r="B68" s="3269"/>
      <c r="C68" s="812" t="s">
        <v>629</v>
      </c>
      <c r="D68" s="812" t="s">
        <v>630</v>
      </c>
      <c r="E68" s="889">
        <v>0.2</v>
      </c>
      <c r="F68" s="876">
        <v>30</v>
      </c>
    </row>
    <row r="69" spans="1:6" s="872" customFormat="1" ht="36">
      <c r="A69" s="876">
        <v>9</v>
      </c>
      <c r="B69" s="3269"/>
      <c r="C69" s="812" t="s">
        <v>631</v>
      </c>
      <c r="D69" s="812" t="s">
        <v>632</v>
      </c>
      <c r="E69" s="889">
        <v>0.2</v>
      </c>
      <c r="F69" s="876">
        <v>30</v>
      </c>
    </row>
    <row r="70" spans="1:6" s="872" customFormat="1" ht="48">
      <c r="A70" s="876">
        <v>10</v>
      </c>
      <c r="B70" s="3269"/>
      <c r="C70" s="812" t="s">
        <v>633</v>
      </c>
      <c r="D70" s="812" t="s">
        <v>634</v>
      </c>
      <c r="E70" s="889">
        <v>0.2</v>
      </c>
      <c r="F70" s="876">
        <v>30</v>
      </c>
    </row>
    <row r="71" spans="1:6" s="872" customFormat="1" ht="48">
      <c r="A71" s="876">
        <v>11</v>
      </c>
      <c r="B71" s="3269"/>
      <c r="C71" s="812" t="s">
        <v>635</v>
      </c>
      <c r="D71" s="812" t="s">
        <v>636</v>
      </c>
      <c r="E71" s="889">
        <v>0.2</v>
      </c>
      <c r="F71" s="876">
        <v>30</v>
      </c>
    </row>
    <row r="72" spans="1:6" s="872" customFormat="1" ht="36">
      <c r="A72" s="876">
        <v>12</v>
      </c>
      <c r="B72" s="3269"/>
      <c r="C72" s="812" t="s">
        <v>637</v>
      </c>
      <c r="D72" s="812" t="s">
        <v>638</v>
      </c>
      <c r="E72" s="889">
        <v>0.5</v>
      </c>
      <c r="F72" s="876">
        <v>80</v>
      </c>
    </row>
    <row r="73" spans="1:6" s="872" customFormat="1" ht="24">
      <c r="A73" s="876">
        <v>13</v>
      </c>
      <c r="B73" s="3269"/>
      <c r="C73" s="812" t="s">
        <v>639</v>
      </c>
      <c r="D73" s="812" t="s">
        <v>640</v>
      </c>
      <c r="E73" s="889">
        <v>0.4</v>
      </c>
      <c r="F73" s="876">
        <v>60</v>
      </c>
    </row>
    <row r="74" spans="1:6" s="872" customFormat="1" ht="24">
      <c r="A74" s="876">
        <v>14</v>
      </c>
      <c r="B74" s="3269"/>
      <c r="C74" s="812" t="s">
        <v>641</v>
      </c>
      <c r="D74" s="812" t="s">
        <v>642</v>
      </c>
      <c r="E74" s="889">
        <v>0.2</v>
      </c>
      <c r="F74" s="876">
        <v>30</v>
      </c>
    </row>
    <row r="75" spans="1:6" s="872" customFormat="1" ht="24">
      <c r="A75" s="876">
        <v>15</v>
      </c>
      <c r="B75" s="3269"/>
      <c r="C75" s="812" t="s">
        <v>643</v>
      </c>
      <c r="D75" s="812" t="s">
        <v>644</v>
      </c>
      <c r="E75" s="889">
        <v>0.2</v>
      </c>
      <c r="F75" s="876">
        <v>30</v>
      </c>
    </row>
    <row r="76" spans="1:6" s="872" customFormat="1" ht="24">
      <c r="A76" s="876">
        <v>16</v>
      </c>
      <c r="B76" s="3269" t="s">
        <v>645</v>
      </c>
      <c r="C76" s="812" t="s">
        <v>646</v>
      </c>
      <c r="D76" s="812" t="s">
        <v>647</v>
      </c>
      <c r="E76" s="889">
        <v>0.5</v>
      </c>
      <c r="F76" s="876">
        <v>80</v>
      </c>
    </row>
    <row r="77" spans="1:6" s="872" customFormat="1" ht="24">
      <c r="A77" s="876">
        <v>17</v>
      </c>
      <c r="B77" s="3269"/>
      <c r="C77" s="812" t="s">
        <v>648</v>
      </c>
      <c r="D77" s="812" t="s">
        <v>649</v>
      </c>
      <c r="E77" s="889">
        <v>0.5</v>
      </c>
      <c r="F77" s="876">
        <v>80</v>
      </c>
    </row>
    <row r="78" spans="1:6" s="872" customFormat="1" ht="24">
      <c r="A78" s="876">
        <v>18</v>
      </c>
      <c r="B78" s="3269"/>
      <c r="C78" s="812" t="s">
        <v>650</v>
      </c>
      <c r="D78" s="812" t="s">
        <v>651</v>
      </c>
      <c r="E78" s="889">
        <v>0.2</v>
      </c>
      <c r="F78" s="876">
        <v>30</v>
      </c>
    </row>
    <row r="79" spans="1:6" s="872" customFormat="1" ht="24">
      <c r="A79" s="876">
        <v>19</v>
      </c>
      <c r="B79" s="3269"/>
      <c r="C79" s="812" t="s">
        <v>652</v>
      </c>
      <c r="D79" s="812" t="s">
        <v>653</v>
      </c>
      <c r="E79" s="889">
        <v>0.5</v>
      </c>
      <c r="F79" s="876">
        <v>80</v>
      </c>
    </row>
    <row r="80" spans="1:6" s="872" customFormat="1" ht="36">
      <c r="A80" s="876">
        <v>20</v>
      </c>
      <c r="B80" s="3269"/>
      <c r="C80" s="812" t="s">
        <v>654</v>
      </c>
      <c r="D80" s="812" t="s">
        <v>655</v>
      </c>
      <c r="E80" s="889">
        <v>0.2</v>
      </c>
      <c r="F80" s="876">
        <v>30</v>
      </c>
    </row>
    <row r="81" spans="1:6" s="872" customFormat="1" ht="36">
      <c r="A81" s="876">
        <v>21</v>
      </c>
      <c r="B81" s="3269"/>
      <c r="C81" s="812" t="s">
        <v>656</v>
      </c>
      <c r="D81" s="812" t="s">
        <v>657</v>
      </c>
      <c r="E81" s="889">
        <v>0.2</v>
      </c>
      <c r="F81" s="876">
        <v>30</v>
      </c>
    </row>
    <row r="82" spans="1:6" s="872" customFormat="1" ht="48">
      <c r="A82" s="876">
        <v>22</v>
      </c>
      <c r="B82" s="3269"/>
      <c r="C82" s="812" t="s">
        <v>658</v>
      </c>
      <c r="D82" s="812" t="s">
        <v>659</v>
      </c>
      <c r="E82" s="889">
        <v>0.2</v>
      </c>
      <c r="F82" s="876">
        <v>30</v>
      </c>
    </row>
    <row r="83" spans="1:6" s="872" customFormat="1" ht="48">
      <c r="A83" s="876">
        <v>23</v>
      </c>
      <c r="B83" s="3269"/>
      <c r="C83" s="812" t="s">
        <v>660</v>
      </c>
      <c r="D83" s="812" t="s">
        <v>661</v>
      </c>
      <c r="E83" s="889">
        <v>0.2</v>
      </c>
      <c r="F83" s="876">
        <v>30</v>
      </c>
    </row>
    <row r="84" spans="1:6" s="872" customFormat="1" ht="36">
      <c r="A84" s="876">
        <v>24</v>
      </c>
      <c r="B84" s="3269"/>
      <c r="C84" s="812" t="s">
        <v>662</v>
      </c>
      <c r="D84" s="812" t="s">
        <v>663</v>
      </c>
      <c r="E84" s="889">
        <v>0.2</v>
      </c>
      <c r="F84" s="876">
        <v>30</v>
      </c>
    </row>
    <row r="85" spans="1:6" s="872" customFormat="1" ht="36">
      <c r="A85" s="876">
        <v>25</v>
      </c>
      <c r="B85" s="3269"/>
      <c r="C85" s="812" t="s">
        <v>664</v>
      </c>
      <c r="D85" s="812" t="s">
        <v>665</v>
      </c>
      <c r="E85" s="889">
        <v>0.5</v>
      </c>
      <c r="F85" s="876">
        <v>80</v>
      </c>
    </row>
    <row r="86" spans="1:6" s="872" customFormat="1" ht="36">
      <c r="A86" s="876">
        <v>26</v>
      </c>
      <c r="B86" s="3269"/>
      <c r="C86" s="812" t="s">
        <v>666</v>
      </c>
      <c r="D86" s="812" t="s">
        <v>667</v>
      </c>
      <c r="E86" s="889">
        <v>0.2</v>
      </c>
      <c r="F86" s="876">
        <v>30</v>
      </c>
    </row>
    <row r="87" spans="1:6" s="872" customFormat="1" ht="36">
      <c r="A87" s="876">
        <v>27</v>
      </c>
      <c r="B87" s="3269"/>
      <c r="C87" s="812" t="s">
        <v>668</v>
      </c>
      <c r="D87" s="812" t="s">
        <v>669</v>
      </c>
      <c r="E87" s="889">
        <v>0.2</v>
      </c>
      <c r="F87" s="876">
        <v>30</v>
      </c>
    </row>
    <row r="88" spans="1:6" s="872" customFormat="1" ht="36">
      <c r="A88" s="876">
        <v>28</v>
      </c>
      <c r="B88" s="3269"/>
      <c r="C88" s="812" t="s">
        <v>670</v>
      </c>
      <c r="D88" s="812" t="s">
        <v>671</v>
      </c>
      <c r="E88" s="889">
        <v>0.2</v>
      </c>
      <c r="F88" s="876">
        <v>30</v>
      </c>
    </row>
    <row r="89" spans="1:6" s="872" customFormat="1" ht="24">
      <c r="A89" s="876">
        <v>29</v>
      </c>
      <c r="B89" s="3269"/>
      <c r="C89" s="812" t="s">
        <v>672</v>
      </c>
      <c r="D89" s="812" t="s">
        <v>673</v>
      </c>
      <c r="E89" s="889">
        <v>0.2</v>
      </c>
      <c r="F89" s="876">
        <v>30</v>
      </c>
    </row>
    <row r="90" spans="1:6" s="872" customFormat="1" ht="24">
      <c r="A90" s="876">
        <v>30</v>
      </c>
      <c r="B90" s="3269"/>
      <c r="C90" s="812" t="s">
        <v>674</v>
      </c>
      <c r="D90" s="812" t="s">
        <v>675</v>
      </c>
      <c r="E90" s="889">
        <v>0.2</v>
      </c>
      <c r="F90" s="876">
        <v>30</v>
      </c>
    </row>
    <row r="91" spans="1:6" s="872" customFormat="1" ht="36">
      <c r="A91" s="876">
        <v>31</v>
      </c>
      <c r="B91" s="3269"/>
      <c r="C91" s="812" t="s">
        <v>676</v>
      </c>
      <c r="D91" s="812" t="s">
        <v>677</v>
      </c>
      <c r="E91" s="889">
        <v>0.2</v>
      </c>
      <c r="F91" s="876">
        <v>30</v>
      </c>
    </row>
    <row r="92" spans="1:6" s="872" customFormat="1" ht="24">
      <c r="A92" s="876">
        <v>32</v>
      </c>
      <c r="B92" s="3269" t="s">
        <v>678</v>
      </c>
      <c r="C92" s="876" t="s">
        <v>679</v>
      </c>
      <c r="D92" s="812" t="s">
        <v>680</v>
      </c>
      <c r="E92" s="889">
        <v>0.2</v>
      </c>
      <c r="F92" s="876">
        <v>30</v>
      </c>
    </row>
    <row r="93" spans="1:6" s="872" customFormat="1" ht="36">
      <c r="A93" s="876">
        <v>33</v>
      </c>
      <c r="B93" s="3269"/>
      <c r="C93" s="876" t="s">
        <v>681</v>
      </c>
      <c r="D93" s="812" t="s">
        <v>682</v>
      </c>
      <c r="E93" s="889">
        <v>0.2</v>
      </c>
      <c r="F93" s="876">
        <v>30</v>
      </c>
    </row>
    <row r="94" spans="1:6" s="872" customFormat="1" ht="48">
      <c r="A94" s="876">
        <v>34</v>
      </c>
      <c r="B94" s="3269"/>
      <c r="C94" s="876" t="s">
        <v>683</v>
      </c>
      <c r="D94" s="812" t="s">
        <v>684</v>
      </c>
      <c r="E94" s="889">
        <v>0.2</v>
      </c>
      <c r="F94" s="876">
        <v>30</v>
      </c>
    </row>
    <row r="95" spans="1:6" s="872" customFormat="1" ht="36">
      <c r="A95" s="876">
        <v>35</v>
      </c>
      <c r="B95" s="3269"/>
      <c r="C95" s="876" t="s">
        <v>685</v>
      </c>
      <c r="D95" s="812" t="s">
        <v>686</v>
      </c>
      <c r="E95" s="889">
        <v>0.2</v>
      </c>
      <c r="F95" s="876">
        <v>30</v>
      </c>
    </row>
    <row r="96" spans="1:6" s="872" customFormat="1" ht="48">
      <c r="A96" s="876">
        <v>36</v>
      </c>
      <c r="B96" s="3269"/>
      <c r="C96" s="812" t="s">
        <v>687</v>
      </c>
      <c r="D96" s="812" t="s">
        <v>688</v>
      </c>
      <c r="E96" s="889">
        <v>0.2</v>
      </c>
      <c r="F96" s="876">
        <v>30</v>
      </c>
    </row>
    <row r="97" spans="1:6" s="872" customFormat="1" ht="36">
      <c r="A97" s="876">
        <v>37</v>
      </c>
      <c r="B97" s="3269"/>
      <c r="C97" s="876" t="s">
        <v>689</v>
      </c>
      <c r="D97" s="812" t="s">
        <v>690</v>
      </c>
      <c r="E97" s="889">
        <v>0.2</v>
      </c>
      <c r="F97" s="876">
        <v>30</v>
      </c>
    </row>
    <row r="98" spans="1:6" s="872" customFormat="1" ht="36">
      <c r="A98" s="876">
        <v>38</v>
      </c>
      <c r="B98" s="3269"/>
      <c r="C98" s="876" t="s">
        <v>691</v>
      </c>
      <c r="D98" s="812" t="s">
        <v>692</v>
      </c>
      <c r="E98" s="889">
        <v>0.2</v>
      </c>
      <c r="F98" s="876">
        <v>30</v>
      </c>
    </row>
    <row r="99" spans="1:6" s="872" customFormat="1" ht="36">
      <c r="A99" s="876">
        <v>39</v>
      </c>
      <c r="B99" s="3269" t="s">
        <v>693</v>
      </c>
      <c r="C99" s="876" t="s">
        <v>694</v>
      </c>
      <c r="D99" s="812" t="s">
        <v>695</v>
      </c>
      <c r="E99" s="889">
        <v>0.3</v>
      </c>
      <c r="F99" s="876">
        <v>50</v>
      </c>
    </row>
    <row r="100" spans="1:6" s="872" customFormat="1" ht="24">
      <c r="A100" s="876">
        <v>40</v>
      </c>
      <c r="B100" s="3269"/>
      <c r="C100" s="876" t="s">
        <v>696</v>
      </c>
      <c r="D100" s="812" t="s">
        <v>697</v>
      </c>
      <c r="E100" s="889">
        <v>0.2</v>
      </c>
      <c r="F100" s="876">
        <v>30</v>
      </c>
    </row>
    <row r="101" spans="1:6" s="872" customFormat="1" ht="36">
      <c r="A101" s="876">
        <v>41</v>
      </c>
      <c r="B101" s="3269"/>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69" t="s">
        <v>708</v>
      </c>
      <c r="C105" s="876" t="s">
        <v>709</v>
      </c>
      <c r="D105" s="812" t="s">
        <v>710</v>
      </c>
      <c r="E105" s="889">
        <v>0.2</v>
      </c>
      <c r="F105" s="876">
        <v>30</v>
      </c>
    </row>
    <row r="106" spans="1:6" s="872" customFormat="1" ht="36">
      <c r="A106" s="876">
        <v>46</v>
      </c>
      <c r="B106" s="3269"/>
      <c r="C106" s="876" t="s">
        <v>711</v>
      </c>
      <c r="D106" s="812" t="s">
        <v>712</v>
      </c>
      <c r="E106" s="889">
        <v>0.2</v>
      </c>
      <c r="F106" s="876">
        <v>30</v>
      </c>
    </row>
    <row r="107" spans="1:6" s="872" customFormat="1" ht="36">
      <c r="A107" s="876">
        <v>47</v>
      </c>
      <c r="B107" s="3269" t="s">
        <v>713</v>
      </c>
      <c r="C107" s="876" t="s">
        <v>714</v>
      </c>
      <c r="D107" s="812" t="s">
        <v>715</v>
      </c>
      <c r="E107" s="889">
        <v>0.3</v>
      </c>
      <c r="F107" s="876">
        <v>50</v>
      </c>
    </row>
    <row r="108" spans="1:6" s="872" customFormat="1" ht="36">
      <c r="A108" s="876">
        <v>48</v>
      </c>
      <c r="B108" s="326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69" t="s">
        <v>724</v>
      </c>
      <c r="C111" s="876" t="s">
        <v>725</v>
      </c>
      <c r="D111" s="812" t="s">
        <v>726</v>
      </c>
      <c r="E111" s="889">
        <v>0.2</v>
      </c>
      <c r="F111" s="876">
        <v>30</v>
      </c>
    </row>
    <row r="112" spans="1:6" s="872" customFormat="1" ht="24">
      <c r="A112" s="876">
        <v>52</v>
      </c>
      <c r="B112" s="3269"/>
      <c r="C112" s="876" t="s">
        <v>727</v>
      </c>
      <c r="D112" s="812" t="s">
        <v>728</v>
      </c>
      <c r="E112" s="889">
        <v>0.2</v>
      </c>
      <c r="F112" s="876">
        <v>30</v>
      </c>
    </row>
    <row r="113" spans="1:6" s="872" customFormat="1" ht="24">
      <c r="A113" s="876">
        <v>53</v>
      </c>
      <c r="B113" s="3269"/>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69" t="s">
        <v>737</v>
      </c>
      <c r="C116" s="876" t="s">
        <v>738</v>
      </c>
      <c r="D116" s="812" t="s">
        <v>739</v>
      </c>
      <c r="E116" s="889">
        <v>0.2</v>
      </c>
      <c r="F116" s="876">
        <v>30</v>
      </c>
    </row>
    <row r="117" spans="1:6" ht="36">
      <c r="A117" s="876">
        <v>57</v>
      </c>
      <c r="B117" s="3269"/>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1630</v>
      </c>
      <c r="C4" s="2965"/>
      <c r="D4" s="2965"/>
      <c r="E4" s="1958"/>
    </row>
    <row r="5" spans="1:5" ht="16.5" thickTop="1">
      <c r="A5" s="1956"/>
      <c r="B5" s="2963" t="s">
        <v>1622</v>
      </c>
      <c r="C5" s="1959" t="s">
        <v>1623</v>
      </c>
      <c r="D5" s="1037">
        <f ca="1">结果表!H101</f>
        <v>10049</v>
      </c>
      <c r="E5" s="1956"/>
    </row>
    <row r="6" spans="1:5" ht="15.75">
      <c r="A6" s="1956"/>
      <c r="B6" s="2963"/>
      <c r="C6" s="1959" t="s">
        <v>1624</v>
      </c>
      <c r="D6" s="1037" t="str">
        <f ca="1">NUMBERSTRING(INT(D5*10000),2)&amp;"元整"</f>
        <v>壹亿零肆拾玖万元整</v>
      </c>
      <c r="E6" s="1956"/>
    </row>
    <row r="7" spans="1:5" ht="15.75">
      <c r="A7" s="1956"/>
      <c r="B7" s="2968"/>
      <c r="C7" s="1960" t="s">
        <v>1625</v>
      </c>
      <c r="D7" s="1038">
        <f ca="1">结果表!H102</f>
        <v>21359</v>
      </c>
      <c r="E7" s="1956"/>
    </row>
    <row r="8" spans="1:5" ht="15.75">
      <c r="A8" s="1956"/>
      <c r="B8" s="2969" t="str">
        <f>结果表!E103</f>
        <v>2.估价师知悉的法定优先受偿款</v>
      </c>
      <c r="C8" s="1961" t="s">
        <v>1626</v>
      </c>
      <c r="D8" s="1038">
        <f>结果表!H103</f>
        <v>0</v>
      </c>
      <c r="E8" s="1956"/>
    </row>
    <row r="9" spans="1:5" ht="15.75">
      <c r="A9" s="1956"/>
      <c r="B9" s="2971"/>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62" t="str">
        <f>结果表!E107</f>
        <v>3.房地产抵押价值</v>
      </c>
      <c r="C13" s="1964" t="s">
        <v>1623</v>
      </c>
      <c r="D13" s="1040">
        <f ca="1">结果表!H107</f>
        <v>10049</v>
      </c>
      <c r="E13" s="1956"/>
    </row>
    <row r="14" spans="1:5" ht="15.75">
      <c r="A14" s="1956"/>
      <c r="B14" s="2963"/>
      <c r="C14" s="1959" t="s">
        <v>1624</v>
      </c>
      <c r="D14" s="1037" t="str">
        <f ca="1">NUMBERSTRING(INT(D13*10000),2)&amp;"元整"</f>
        <v>壹亿零肆拾玖万元整</v>
      </c>
      <c r="E14" s="1956"/>
    </row>
    <row r="15" spans="1:5" ht="15">
      <c r="A15" s="1956"/>
      <c r="B15" s="2968"/>
      <c r="C15" s="1960" t="s">
        <v>1634</v>
      </c>
      <c r="D15" s="1049">
        <f ca="1">结果表!H108</f>
        <v>21359</v>
      </c>
      <c r="E15" s="1956"/>
    </row>
    <row r="16" spans="1:5" ht="15">
      <c r="A16" s="1956"/>
      <c r="B16" s="2969" t="str">
        <f>结果表!E109</f>
        <v>——</v>
      </c>
      <c r="C16" s="1964" t="s">
        <v>1635</v>
      </c>
      <c r="D16" s="1965" t="str">
        <f>结果表!H109</f>
        <v>——</v>
      </c>
      <c r="E16" s="1956"/>
    </row>
    <row r="17" spans="1:5" ht="15.75">
      <c r="A17" s="1956"/>
      <c r="B17" s="2970"/>
      <c r="C17" s="1959" t="s">
        <v>1636</v>
      </c>
      <c r="D17" s="1037" t="e">
        <f>NUMBERSTRING(INT(D16*10000),2)&amp;"元整"</f>
        <v>#VALUE!</v>
      </c>
      <c r="E17" s="1956"/>
    </row>
    <row r="18" spans="1:5" ht="15">
      <c r="A18" s="1956"/>
      <c r="B18" s="2971"/>
      <c r="C18" s="1960" t="s">
        <v>1625</v>
      </c>
      <c r="D18" s="1049" t="str">
        <f>结果表!H110</f>
        <v>——</v>
      </c>
      <c r="E18" s="1956"/>
    </row>
    <row r="19" spans="1:5" ht="15.75">
      <c r="A19" s="1956"/>
      <c r="B19" s="2962" t="str">
        <f>结果表!E111</f>
        <v>——</v>
      </c>
      <c r="C19" s="1964" t="s">
        <v>1623</v>
      </c>
      <c r="D19" s="1038" t="str">
        <f>结果表!H111</f>
        <v>——</v>
      </c>
      <c r="E19" s="1956"/>
    </row>
    <row r="20" spans="1:5" ht="15.75">
      <c r="A20" s="1956"/>
      <c r="B20" s="2963"/>
      <c r="C20" s="1959" t="s">
        <v>1636</v>
      </c>
      <c r="D20" s="1037" t="e">
        <f>NUMBERSTRING(INT(D19*10000),2)&amp;"元整"</f>
        <v>#VALUE!</v>
      </c>
      <c r="E20" s="1956"/>
    </row>
    <row r="21" spans="1:5" ht="15.75" thickBot="1">
      <c r="A21" s="1956"/>
      <c r="B21" s="2964"/>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1.1653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3006</v>
      </c>
    </row>
    <row r="2" spans="1:5" ht="15.75">
      <c r="A2" s="2907" t="s">
        <v>2998</v>
      </c>
      <c r="B2" s="2908">
        <f ca="1">SUMIF(B6:B13,"&lt;&gt;#ref!",B6:B13)</f>
        <v>3025</v>
      </c>
      <c r="C2" s="2907" t="s">
        <v>2999</v>
      </c>
      <c r="D2" s="2907" t="s">
        <v>3000</v>
      </c>
      <c r="E2" s="2908">
        <f ca="1">SUMIF(E6:E13,"&lt;&gt;#ref!",E6:E13)</f>
        <v>1645.9899999999998</v>
      </c>
    </row>
    <row r="3" spans="1:5" ht="15.75">
      <c r="A3" s="2907" t="s">
        <v>3001</v>
      </c>
      <c r="B3" s="2908">
        <f ca="1">ROUND(B2*10000/E2,0)</f>
        <v>18378</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f ca="1">SUMIF(INDIRECT("'"&amp;A6&amp;"'"&amp;"!A:A"),"总价",INDIRECT("'"&amp;A6&amp;"'"&amp;"!B:B"))</f>
        <v>3025</v>
      </c>
      <c r="C6" s="2907" t="s">
        <v>2999</v>
      </c>
      <c r="D6" s="2909"/>
      <c r="E6" s="2572">
        <f ca="1">SUMIF(INDIRECT("'"&amp;A6&amp;"'"&amp;"!C:C"),"建筑面积",INDIRECT("'"&amp;A6&amp;"'"&amp;"!D:D"))</f>
        <v>1645.9899999999998</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5" t="s">
        <v>1150</v>
      </c>
      <c r="C1" s="3275"/>
      <c r="D1" s="3275"/>
      <c r="E1" s="3275"/>
      <c r="F1" s="3275"/>
      <c r="G1" s="3271" t="s">
        <v>1151</v>
      </c>
      <c r="H1" s="3271"/>
      <c r="I1" s="3271"/>
      <c r="J1" s="3271"/>
      <c r="K1" s="3271"/>
      <c r="L1" s="3271"/>
      <c r="N1" s="3271" t="s">
        <v>1152</v>
      </c>
      <c r="O1" s="3271"/>
      <c r="P1" s="3271"/>
      <c r="Q1" s="3271"/>
      <c r="R1" s="1443"/>
      <c r="S1" s="3271" t="s">
        <v>1153</v>
      </c>
      <c r="T1" s="3271"/>
      <c r="U1" s="3271"/>
      <c r="V1" s="3271"/>
      <c r="X1" s="3270" t="s">
        <v>1154</v>
      </c>
      <c r="Y1" s="3271"/>
      <c r="Z1" s="3271"/>
      <c r="AA1" s="3271"/>
      <c r="AB1" s="3271"/>
      <c r="AD1" s="3270" t="s">
        <v>1155</v>
      </c>
      <c r="AE1" s="3271"/>
      <c r="AF1" s="3271"/>
      <c r="AG1" s="3271"/>
      <c r="AH1" s="3271"/>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6" customFormat="1" ht="14.25">
      <c r="A3" s="2935" t="s">
        <v>3041</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0" customFormat="1" ht="14.25">
      <c r="B4" s="1451"/>
      <c r="C4" s="1451"/>
      <c r="D4" s="1452"/>
      <c r="E4" s="1452"/>
      <c r="F4" s="1451"/>
      <c r="G4" s="1453"/>
      <c r="H4" s="1454"/>
      <c r="I4" s="2920"/>
      <c r="J4" s="2920"/>
      <c r="K4" s="2920"/>
      <c r="L4" s="2920"/>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3047</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6">
        <v>2018</v>
      </c>
      <c r="H5" s="1727">
        <v>2</v>
      </c>
      <c r="I5" s="2921">
        <v>0</v>
      </c>
      <c r="J5" s="2921">
        <v>0</v>
      </c>
      <c r="K5" s="2921">
        <v>0</v>
      </c>
      <c r="L5" s="2921">
        <v>0</v>
      </c>
      <c r="N5" s="1464">
        <f t="shared" ref="N5" si="7">I5/100</f>
        <v>0</v>
      </c>
      <c r="O5" s="1464">
        <f t="shared" ref="O5" si="8">J5/100</f>
        <v>0</v>
      </c>
      <c r="P5" s="1464">
        <f t="shared" ref="P5" si="9">K5/100</f>
        <v>0</v>
      </c>
      <c r="Q5" s="1464">
        <f t="shared" ref="Q5" si="10">L5/100</f>
        <v>0</v>
      </c>
      <c r="R5" s="1729"/>
      <c r="S5" s="1730"/>
      <c r="T5" s="1729"/>
      <c r="U5" s="1729"/>
      <c r="V5" s="1729"/>
      <c r="W5" s="2925" t="s">
        <v>3042</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3040</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7">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3037</v>
      </c>
      <c r="B7" s="1466">
        <v>439</v>
      </c>
      <c r="C7" s="1466">
        <v>327</v>
      </c>
      <c r="D7" s="1466">
        <f>C7</f>
        <v>327</v>
      </c>
      <c r="E7" s="1466">
        <v>627</v>
      </c>
      <c r="F7" s="1467">
        <v>283</v>
      </c>
      <c r="G7" s="2923">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3038</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9"/>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8"/>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9"/>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276">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73"/>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73"/>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74"/>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72">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73"/>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73"/>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74"/>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72">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73"/>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73"/>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74"/>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277">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278"/>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278"/>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279"/>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72">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73"/>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73"/>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74"/>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72">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73">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73">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74">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72">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73">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73">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74">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72">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73">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73">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74">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72">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73">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73">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74">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72">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73">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73">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74">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72">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73">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73">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74">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72">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73">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73">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74">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72">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73">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73">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74">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72">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73">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73">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74">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72">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73">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73">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74">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3008</v>
      </c>
      <c r="C1" s="3281" t="s">
        <v>3009</v>
      </c>
      <c r="D1" s="3282"/>
      <c r="E1" s="3282"/>
      <c r="F1" s="3282"/>
      <c r="G1" s="3282"/>
      <c r="H1" s="3282"/>
      <c r="I1" s="3282"/>
      <c r="J1" s="3282"/>
      <c r="K1" s="3282"/>
      <c r="L1" s="3282"/>
      <c r="M1" s="3282"/>
      <c r="N1" s="3282"/>
      <c r="O1" s="3282"/>
      <c r="P1" s="3282"/>
      <c r="Q1" s="3282"/>
      <c r="R1" s="3282"/>
      <c r="S1" s="3283"/>
      <c r="T1" s="1201" t="s">
        <v>3010</v>
      </c>
    </row>
    <row r="2" spans="1:45" s="707" customFormat="1">
      <c r="A2" s="1202"/>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3012</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3013</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3014</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3015</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3016</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3017</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3018</v>
      </c>
      <c r="B17" s="2914" t="s">
        <v>3019</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5" t="s">
        <v>3020</v>
      </c>
      <c r="E19" s="1789"/>
      <c r="F19" s="1789"/>
      <c r="G19" s="1789"/>
      <c r="H19" s="1277"/>
      <c r="I19" s="168"/>
      <c r="J19" s="168"/>
      <c r="K19" s="168"/>
      <c r="L19" s="168"/>
      <c r="M19" s="168"/>
      <c r="N19" s="168"/>
      <c r="O19" s="168"/>
      <c r="P19" s="168"/>
      <c r="Q19" s="168"/>
      <c r="R19" s="788"/>
      <c r="S19" s="138"/>
    </row>
    <row r="20" spans="1:45" ht="16.5" thickBot="1">
      <c r="A20" s="715" t="s">
        <v>3021</v>
      </c>
      <c r="B20" s="338" t="e">
        <f ca="1">IF(D20="——",S22,S22-F20)</f>
        <v>#REF!</v>
      </c>
      <c r="C20" s="168"/>
      <c r="D20" s="2916" t="s">
        <v>3022</v>
      </c>
      <c r="E20" s="1790"/>
      <c r="F20" s="1201" t="e">
        <f ca="1">SUMIF(INDIRECT("'"&amp;H20&amp;"'"&amp;"!A:A"),"承租人权益价值",INDIRECT("'"&amp;H20&amp;"'"&amp;"!c:c"))</f>
        <v>#REF!</v>
      </c>
      <c r="G20" s="1201" t="s">
        <v>3023</v>
      </c>
      <c r="H20" s="291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62" t="s">
        <v>33</v>
      </c>
      <c r="D22" s="3063"/>
      <c r="E22" s="3063"/>
      <c r="F22" s="3063"/>
      <c r="G22" s="3063"/>
      <c r="H22" s="3063"/>
      <c r="I22" s="3063"/>
      <c r="J22" s="3063"/>
      <c r="K22" s="3063"/>
      <c r="L22" s="3063"/>
      <c r="M22" s="3063"/>
      <c r="N22" s="3063"/>
      <c r="O22" s="3063"/>
      <c r="P22" s="3063"/>
      <c r="Q22" s="3280"/>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28688</v>
      </c>
      <c r="C2" s="2" t="s">
        <v>133</v>
      </c>
      <c r="D2" s="243"/>
      <c r="E2" s="243"/>
      <c r="F2" s="243"/>
      <c r="G2" s="243"/>
    </row>
    <row r="3" spans="1:7" s="244" customFormat="1" ht="18" customHeight="1" thickBot="1">
      <c r="A3" s="247" t="s">
        <v>85</v>
      </c>
      <c r="B3" s="248">
        <f ca="1">ROUND(B2*10000/'数据-汇总表'!E3,0)</f>
        <v>60975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94</v>
      </c>
      <c r="D10" s="1029">
        <f>'数据-汇总表'!E6</f>
        <v>4704.8599999999997</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94</v>
      </c>
      <c r="D19" s="1033">
        <f>'数据-汇总表'!E3</f>
        <v>4704.8599999999997</v>
      </c>
      <c r="E19" s="255">
        <f>'数据-取费表'!B31</f>
        <v>200</v>
      </c>
      <c r="F19" s="275"/>
      <c r="G19" s="1" t="s">
        <v>1074</v>
      </c>
    </row>
    <row r="20" spans="1:7" s="258" customFormat="1" ht="13.5" customHeight="1">
      <c r="A20" s="945" t="s">
        <v>1057</v>
      </c>
      <c r="B20" s="254" t="s">
        <v>104</v>
      </c>
      <c r="C20" s="276">
        <f>ROUND((C5+C19)*F20,0)</f>
        <v>414</v>
      </c>
      <c r="D20" s="276"/>
      <c r="E20" s="276"/>
      <c r="F20" s="277">
        <f>'数据-取费表'!B37</f>
        <v>0.02</v>
      </c>
      <c r="G20" s="1286" t="s">
        <v>1068</v>
      </c>
    </row>
    <row r="21" spans="1:7" s="258" customFormat="1" ht="13.5" customHeight="1">
      <c r="A21" s="945" t="s">
        <v>1059</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910</v>
      </c>
      <c r="D22" s="279">
        <f ca="1">C26</f>
        <v>4.0000000000000002E-4</v>
      </c>
      <c r="E22" s="280" t="s">
        <v>126</v>
      </c>
      <c r="F22" s="281">
        <f ca="1">'数据-取费表'!B40</f>
        <v>4.3499999999999997E-2</v>
      </c>
      <c r="G22" s="1286" t="str">
        <f>IF('数据-取费表'!B22&lt;=1,"单利计息","复利计息")</f>
        <v>单利计息</v>
      </c>
    </row>
    <row r="23" spans="1:7" s="258" customFormat="1" ht="13.5" customHeight="1">
      <c r="A23" s="948" t="s">
        <v>794</v>
      </c>
      <c r="B23" s="259" t="s">
        <v>1061</v>
      </c>
      <c r="C23" s="1352">
        <f ca="1">ROUND(IF('数据-取费表'!B22&lt;=1,C5*F22*'数据-取费表'!B23,C5*(POWER((1+F22),'数据-取费表'!B23)-1)),0)</f>
        <v>897</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4</v>
      </c>
      <c r="D24" s="282"/>
      <c r="E24" s="282"/>
      <c r="F24" s="283"/>
      <c r="G24" s="284" t="s">
        <v>109</v>
      </c>
    </row>
    <row r="25" spans="1:7" s="258" customFormat="1" ht="24">
      <c r="A25" s="948" t="s">
        <v>793</v>
      </c>
      <c r="B25" s="259" t="s">
        <v>1058</v>
      </c>
      <c r="C25" s="1352">
        <f ca="1">ROUND(IF('数据-取费表'!B22&lt;=1,C20*F22*'数据-取费表'!B23/2,C20*(POWER((1+F22),'数据-取费表'!B23/2)-1)),0)</f>
        <v>9</v>
      </c>
      <c r="D25" s="282"/>
      <c r="E25" s="285"/>
      <c r="F25" s="283"/>
      <c r="G25" s="286" t="s">
        <v>110</v>
      </c>
    </row>
    <row r="26" spans="1:7" s="258" customFormat="1">
      <c r="A26" s="948" t="s">
        <v>795</v>
      </c>
      <c r="B26" s="259" t="s">
        <v>1060</v>
      </c>
      <c r="C26" s="282">
        <f ca="1">ROUND(IF('数据-取费表'!B22&lt;=1,F21*F22*'数据-取费表'!B23/2,F21*(POWER((1+F22),'数据-取费表'!B23/2)-1)),4)</f>
        <v>4.0000000000000002E-4</v>
      </c>
      <c r="D26" s="282"/>
      <c r="E26" s="285"/>
      <c r="F26" s="283"/>
      <c r="G26" s="287"/>
    </row>
    <row r="27" spans="1:7" s="258" customFormat="1" ht="24.75">
      <c r="A27" s="945" t="s">
        <v>787</v>
      </c>
      <c r="B27" s="288" t="s">
        <v>112</v>
      </c>
      <c r="C27" s="289">
        <f>C28</f>
        <v>3168</v>
      </c>
      <c r="D27" s="279">
        <f>C29</f>
        <v>3.0000000000000001E-3</v>
      </c>
      <c r="E27" s="280" t="s">
        <v>126</v>
      </c>
      <c r="F27" s="290">
        <f>'数据-取费表'!Q16</f>
        <v>0.15</v>
      </c>
      <c r="G27" s="291" t="s">
        <v>1069</v>
      </c>
    </row>
    <row r="28" spans="1:7" s="258" customFormat="1" ht="13.5" customHeight="1">
      <c r="A28" s="948" t="s">
        <v>794</v>
      </c>
      <c r="B28" s="292" t="s">
        <v>1062</v>
      </c>
      <c r="C28" s="293">
        <f>ROUND((C5+C19+C20)*F27*'数据-取费表'!B21/'数据-取费表'!B20,0)</f>
        <v>3168</v>
      </c>
      <c r="D28" s="279"/>
      <c r="E28" s="280"/>
      <c r="F28" s="290"/>
      <c r="G28" s="291"/>
    </row>
    <row r="29" spans="1:7" s="258" customFormat="1" ht="13.5" customHeight="1">
      <c r="A29" s="948" t="s">
        <v>792</v>
      </c>
      <c r="B29" s="292" t="s">
        <v>1063</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1421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1270</v>
      </c>
      <c r="D34" s="261"/>
      <c r="E34" s="264"/>
      <c r="F34" s="301">
        <f>IF('数据-取费表'!B24=0,1,'数据-取费表'!N16)</f>
        <v>1</v>
      </c>
      <c r="G34" s="263" t="s">
        <v>116</v>
      </c>
    </row>
    <row r="35" spans="1:7" ht="13.5" customHeight="1">
      <c r="A35" s="948" t="s">
        <v>796</v>
      </c>
      <c r="B35" s="259" t="s">
        <v>60</v>
      </c>
      <c r="C35" s="264">
        <f>ROUND(C34*F35,0)</f>
        <v>38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94</v>
      </c>
      <c r="D37" s="261">
        <f>'数据-汇总表'!E3</f>
        <v>4704.8599999999997</v>
      </c>
      <c r="E37" s="293">
        <f>'数据-取费表'!B35</f>
        <v>200</v>
      </c>
      <c r="F37" s="303"/>
      <c r="G37" s="305" t="s">
        <v>119</v>
      </c>
    </row>
    <row r="38" spans="1:7" ht="13.5" customHeight="1">
      <c r="A38" s="948" t="s">
        <v>799</v>
      </c>
      <c r="B38" s="259" t="s">
        <v>63</v>
      </c>
      <c r="C38" s="264">
        <f>ROUND(C34*F38,0)</f>
        <v>19</v>
      </c>
      <c r="D38" s="264"/>
      <c r="E38" s="264"/>
      <c r="F38" s="303">
        <f>'数据-取费表'!B36</f>
        <v>1.4999999999999999E-2</v>
      </c>
      <c r="G38" s="263" t="s">
        <v>117</v>
      </c>
    </row>
    <row r="39" spans="1:7" s="258" customFormat="1" ht="13.5" customHeight="1">
      <c r="A39" s="945" t="s">
        <v>783</v>
      </c>
      <c r="B39" s="254" t="s">
        <v>104</v>
      </c>
      <c r="C39" s="276">
        <f>ROUND(C33*F20,0)</f>
        <v>28</v>
      </c>
      <c r="D39" s="276"/>
      <c r="E39" s="276"/>
      <c r="F39" s="277"/>
      <c r="G39" s="1286" t="s">
        <v>1071</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32</v>
      </c>
      <c r="D41" s="279">
        <f ca="1">C44</f>
        <v>4.0000000000000002E-4</v>
      </c>
      <c r="E41" s="280" t="s">
        <v>129</v>
      </c>
      <c r="F41" s="281"/>
      <c r="G41" s="1286" t="str">
        <f>IF('数据-取费表'!B22&lt;=1,"单利计息","复利计息")</f>
        <v>单利计息</v>
      </c>
    </row>
    <row r="42" spans="1:7" ht="13.5" customHeight="1">
      <c r="A42" s="948" t="s">
        <v>794</v>
      </c>
      <c r="B42" s="259" t="s">
        <v>1061</v>
      </c>
      <c r="C42" s="282">
        <f ca="1">ROUND(IF('数据-取费表'!B22&lt;=1,C33*F22*'数据-取费表'!B21/2,C33*(POWER((1+F22),'数据-取费表'!B21/2)-1)),0)</f>
        <v>31</v>
      </c>
      <c r="D42" s="282"/>
      <c r="E42" s="282"/>
      <c r="F42" s="283"/>
      <c r="G42" s="3147" t="s">
        <v>121</v>
      </c>
    </row>
    <row r="43" spans="1:7" ht="13.5" customHeight="1">
      <c r="A43" s="948" t="s">
        <v>792</v>
      </c>
      <c r="B43" s="259" t="s">
        <v>1064</v>
      </c>
      <c r="C43" s="282">
        <f ca="1">ROUND(IF('数据-取费表'!B22&lt;=1,C39*F22*'数据-取费表'!B21/2,C39*(POWER((1+F22),'数据-取费表'!B21/2)-1)),0)</f>
        <v>1</v>
      </c>
      <c r="D43" s="282"/>
      <c r="E43" s="282"/>
      <c r="F43" s="283"/>
      <c r="G43" s="3148"/>
    </row>
    <row r="44" spans="1:7" ht="13.5" customHeight="1">
      <c r="A44" s="948"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45" t="s">
        <v>786</v>
      </c>
      <c r="B45" s="288" t="s">
        <v>112</v>
      </c>
      <c r="C45" s="289">
        <f>C46</f>
        <v>217</v>
      </c>
      <c r="D45" s="279">
        <f>C47</f>
        <v>3.0000000000000001E-3</v>
      </c>
      <c r="E45" s="280" t="s">
        <v>129</v>
      </c>
      <c r="F45" s="290"/>
      <c r="G45" s="291" t="s">
        <v>1072</v>
      </c>
    </row>
    <row r="46" spans="1:7" s="258" customFormat="1" ht="13.5" customHeight="1">
      <c r="A46" s="948" t="s">
        <v>794</v>
      </c>
      <c r="B46" s="292" t="s">
        <v>1065</v>
      </c>
      <c r="C46" s="293">
        <f>ROUND((C33+C39)*F27,0)</f>
        <v>217</v>
      </c>
      <c r="D46" s="307"/>
      <c r="E46" s="280"/>
      <c r="F46" s="290"/>
      <c r="G46" s="291"/>
    </row>
    <row r="47" spans="1:7" s="258" customFormat="1" ht="13.5" customHeight="1">
      <c r="A47" s="948" t="s">
        <v>792</v>
      </c>
      <c r="B47" s="292" t="s">
        <v>1067</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1839</v>
      </c>
      <c r="D49" s="276"/>
      <c r="E49" s="276"/>
      <c r="F49" s="308"/>
      <c r="G49" s="278" t="s">
        <v>1073</v>
      </c>
    </row>
    <row r="50" spans="1:7" s="302" customFormat="1" ht="24">
      <c r="A50" s="945" t="s">
        <v>789</v>
      </c>
      <c r="B50" s="254" t="s">
        <v>124</v>
      </c>
      <c r="C50" s="276"/>
      <c r="D50" s="276"/>
      <c r="E50" s="276"/>
      <c r="F50" s="308">
        <f>IF('数据-取费表'!B24=0,'数据-取费表'!N16,1)</f>
        <v>0.76</v>
      </c>
      <c r="G50" s="291" t="s">
        <v>125</v>
      </c>
    </row>
    <row r="51" spans="1:7" ht="16.5" customHeight="1">
      <c r="A51" s="945" t="s">
        <v>790</v>
      </c>
      <c r="B51" s="254" t="s">
        <v>132</v>
      </c>
      <c r="C51" s="276">
        <f ca="1">ROUND(C49*F50,0)</f>
        <v>1398</v>
      </c>
      <c r="D51" s="276"/>
      <c r="E51" s="276"/>
      <c r="F51" s="308"/>
      <c r="G51" s="278" t="s">
        <v>64</v>
      </c>
    </row>
    <row r="52" spans="1:7" s="252" customFormat="1" ht="16.5" thickBot="1">
      <c r="A52" s="309" t="s">
        <v>65</v>
      </c>
      <c r="B52" s="310"/>
      <c r="C52" s="311">
        <f ca="1">C31+C51</f>
        <v>28688</v>
      </c>
      <c r="D52" s="310"/>
      <c r="E52" s="310"/>
      <c r="F52" s="310"/>
      <c r="G52" s="312"/>
    </row>
    <row r="55" spans="1:7" ht="15">
      <c r="B55" s="314" t="s">
        <v>66</v>
      </c>
      <c r="C55" s="315"/>
    </row>
    <row r="56" spans="1:7">
      <c r="B56" s="317" t="s">
        <v>67</v>
      </c>
      <c r="C56" s="318">
        <f ca="1">ROUND(C51/C52,3)</f>
        <v>4.9000000000000002E-2</v>
      </c>
    </row>
    <row r="57" spans="1:7">
      <c r="B57" s="317" t="s">
        <v>68</v>
      </c>
      <c r="C57" s="319">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284" t="s">
        <v>156</v>
      </c>
      <c r="B1" s="3284"/>
      <c r="C1" s="3284"/>
      <c r="D1" s="3284"/>
      <c r="E1" s="3284"/>
      <c r="F1" s="328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85" t="s">
        <v>169</v>
      </c>
      <c r="B2" s="3285"/>
      <c r="C2" s="3285"/>
      <c r="D2" s="3285"/>
      <c r="E2" s="3285"/>
      <c r="F2" s="328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8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8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84" t="s">
        <v>871</v>
      </c>
      <c r="B1" s="3284"/>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43238</v>
      </c>
      <c r="D1" s="1697" t="s">
        <v>1301</v>
      </c>
      <c r="E1" s="1692">
        <f>'数据-取费表'!B22</f>
        <v>1</v>
      </c>
      <c r="F1" s="1697" t="s">
        <v>1302</v>
      </c>
      <c r="G1" s="1693">
        <f ca="1">INDIRECT("d"&amp;$K$1)/100</f>
        <v>4.3499999999999997E-2</v>
      </c>
      <c r="H1" s="1697" t="s">
        <v>1332</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1" t="s">
        <v>1638</v>
      </c>
      <c r="E3" s="1041" t="s">
        <v>1644</v>
      </c>
      <c r="F3" s="1041" t="s">
        <v>1638</v>
      </c>
      <c r="G3" s="1041" t="s">
        <v>1639</v>
      </c>
      <c r="H3" s="1041" t="s">
        <v>1638</v>
      </c>
      <c r="I3" s="1041" t="s">
        <v>1639</v>
      </c>
    </row>
    <row r="4" spans="1:9" ht="30">
      <c r="A4" s="1970" t="str">
        <f>项目基本情况!S2</f>
        <v>北京市朝阳区建国路管庄6号房地产</v>
      </c>
      <c r="B4" s="1041">
        <f>项目基本情况!C17</f>
        <v>4704.8599999999997</v>
      </c>
      <c r="C4" s="1041">
        <f>项目基本情况!C18</f>
        <v>2957.47</v>
      </c>
      <c r="D4" s="1041">
        <f ca="1">结果表!D118</f>
        <v>8682</v>
      </c>
      <c r="E4" s="1041">
        <f ca="1">结果表!E118</f>
        <v>18453</v>
      </c>
      <c r="F4" s="1041">
        <f ca="1">结果表!F118</f>
        <v>1367</v>
      </c>
      <c r="G4" s="1041">
        <f ca="1">结果表!G118</f>
        <v>2906</v>
      </c>
      <c r="H4" s="1041">
        <f ca="1">结果表!H118</f>
        <v>10049</v>
      </c>
      <c r="I4" s="1041">
        <f ca="1">结果表!I118</f>
        <v>21359</v>
      </c>
    </row>
    <row r="5" spans="1:9" ht="30" customHeight="1">
      <c r="A5" s="2974" t="s">
        <v>1640</v>
      </c>
      <c r="B5" s="2974"/>
      <c r="C5" s="2974"/>
      <c r="D5" s="2975" t="str">
        <f ca="1">结果表!D119</f>
        <v>捌仟陆佰捌拾贰万元整</v>
      </c>
      <c r="E5" s="2975"/>
      <c r="F5" s="2975" t="str">
        <f ca="1">结果表!F119</f>
        <v>壹仟叁佰陆拾柒万元整</v>
      </c>
      <c r="G5" s="2975"/>
      <c r="H5" s="2975" t="str">
        <f ca="1">结果表!H119</f>
        <v>壹亿零肆拾玖万元整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1640</v>
      </c>
      <c r="B7" s="2974"/>
      <c r="C7" s="2974"/>
      <c r="D7" s="2977" t="str">
        <f>结果表!D121</f>
        <v>零元整</v>
      </c>
      <c r="E7" s="2978"/>
      <c r="F7" s="2978"/>
      <c r="G7" s="2978"/>
      <c r="H7" s="2978"/>
      <c r="I7" s="2979"/>
    </row>
    <row r="8" spans="1:9" ht="15.75">
      <c r="A8" s="2976" t="str">
        <f>结果表!A122</f>
        <v>房地产抵押价值</v>
      </c>
      <c r="B8" s="2976"/>
      <c r="C8" s="2976"/>
      <c r="D8" s="2976">
        <f ca="1">结果表!D122</f>
        <v>10049</v>
      </c>
      <c r="E8" s="2976"/>
      <c r="F8" s="2976"/>
      <c r="G8" s="2976"/>
      <c r="H8" s="2976"/>
      <c r="I8" s="2976"/>
    </row>
    <row r="9" spans="1:9" ht="15">
      <c r="A9" s="2974" t="s">
        <v>1640</v>
      </c>
      <c r="B9" s="2974"/>
      <c r="C9" s="2974"/>
      <c r="D9" s="2975" t="str">
        <f ca="1">结果表!D123</f>
        <v>壹亿零肆拾玖万元整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1640</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83" t="s">
        <v>1662</v>
      </c>
      <c r="B1" s="2983"/>
      <c r="C1" s="2983"/>
      <c r="D1" s="2983"/>
    </row>
    <row r="2" spans="1:4" ht="18">
      <c r="A2" s="2984" t="s">
        <v>1646</v>
      </c>
      <c r="B2" s="2984"/>
      <c r="C2" s="2984"/>
      <c r="D2" s="2984"/>
    </row>
    <row r="3" spans="1:4" ht="18.75">
      <c r="A3" s="1974" t="s">
        <v>1647</v>
      </c>
      <c r="B3" s="1974" t="s">
        <v>1648</v>
      </c>
      <c r="C3" s="1974" t="s">
        <v>1649</v>
      </c>
      <c r="D3" s="1974" t="s">
        <v>1650</v>
      </c>
    </row>
    <row r="4" spans="1:4" ht="56.25" customHeight="1">
      <c r="A4" s="1975" t="str">
        <f>项目基本情况!B4</f>
        <v>欧红伟</v>
      </c>
      <c r="B4" s="1976">
        <f ca="1">项目基本情况!C4</f>
        <v>1120000080</v>
      </c>
      <c r="C4" s="1977"/>
      <c r="D4" s="1978" t="s">
        <v>1651</v>
      </c>
    </row>
    <row r="5" spans="1:4" ht="56.25" customHeight="1">
      <c r="A5" s="1975" t="str">
        <f>项目基本情况!D4</f>
        <v>崔锴</v>
      </c>
      <c r="B5" s="1976">
        <f ca="1">项目基本情况!E4</f>
        <v>1120100036</v>
      </c>
      <c r="C5" s="1979"/>
      <c r="D5" s="1978" t="s">
        <v>1651</v>
      </c>
    </row>
    <row r="6" spans="1:4" ht="18">
      <c r="A6" s="2984" t="s">
        <v>1652</v>
      </c>
      <c r="B6" s="2984"/>
      <c r="C6" s="2984"/>
      <c r="D6" s="2984"/>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（1）根据估价对象《房屋所有权证》原件、《国有土地使用权》原件，截至价值时点，估价对象抵押权未见登记。</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1658</v>
      </c>
      <c r="B22" s="2991"/>
      <c r="C22" s="2991"/>
      <c r="D22" s="2991"/>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7" t="s">
        <v>1669</v>
      </c>
      <c r="B15" s="2992" t="s">
        <v>136</v>
      </c>
      <c r="C15" s="2993"/>
    </row>
    <row r="16" spans="1:7" ht="13.5">
      <c r="A16" s="2998"/>
      <c r="B16" s="2992" t="s">
        <v>69</v>
      </c>
      <c r="C16" s="2993"/>
    </row>
    <row r="17" spans="1:3" ht="13.5">
      <c r="A17" s="2998"/>
      <c r="B17" s="2995" t="s">
        <v>1670</v>
      </c>
      <c r="C17" s="1997" t="s">
        <v>1669</v>
      </c>
    </row>
    <row r="18" spans="1:3" ht="13.5">
      <c r="A18" s="2998"/>
      <c r="B18" s="2995"/>
      <c r="C18" s="1997" t="s">
        <v>1671</v>
      </c>
    </row>
    <row r="19" spans="1:3" ht="13.5">
      <c r="A19" s="2998"/>
      <c r="B19" s="2995"/>
      <c r="C19" s="1997" t="s">
        <v>1672</v>
      </c>
    </row>
    <row r="20" spans="1:3" ht="13.5">
      <c r="A20" s="2999"/>
      <c r="B20" s="2994" t="s">
        <v>1673</v>
      </c>
      <c r="C20" s="2993"/>
    </row>
    <row r="21" spans="1:3" ht="13.5">
      <c r="A21" s="1998" t="s">
        <v>1674</v>
      </c>
      <c r="B21" s="1999"/>
      <c r="C21" s="2000"/>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1997" t="s">
        <v>1680</v>
      </c>
    </row>
    <row r="26" spans="1:3" ht="13.5">
      <c r="A26" s="2996"/>
      <c r="B26" s="2995"/>
      <c r="C26" s="1997" t="s">
        <v>1681</v>
      </c>
    </row>
    <row r="27" spans="1:3" ht="13.5">
      <c r="A27" s="2996"/>
      <c r="B27" s="2995"/>
      <c r="C27" s="1997" t="s">
        <v>1682</v>
      </c>
    </row>
    <row r="28" spans="1:3" ht="13.5">
      <c r="A28" s="2996"/>
      <c r="B28" s="2995"/>
      <c r="C28" s="1997" t="s">
        <v>1683</v>
      </c>
    </row>
    <row r="29" spans="1:3" ht="13.5">
      <c r="A29" s="2996"/>
      <c r="B29" s="2995"/>
      <c r="C29" s="1997" t="s">
        <v>1684</v>
      </c>
    </row>
    <row r="30" spans="1:3" ht="13.5">
      <c r="A30" s="2996"/>
      <c r="B30" s="2995"/>
      <c r="C30" s="1997" t="s">
        <v>1685</v>
      </c>
    </row>
    <row r="31" spans="1:3" ht="13.5">
      <c r="A31" s="2996"/>
      <c r="B31" s="2995"/>
      <c r="C31" s="1997" t="s">
        <v>1686</v>
      </c>
    </row>
    <row r="32" spans="1:3" ht="13.5">
      <c r="A32" s="2996"/>
      <c r="B32" s="2995"/>
      <c r="C32" s="1997" t="s">
        <v>1687</v>
      </c>
    </row>
    <row r="33" spans="1:3" ht="13.5">
      <c r="A33" s="2996"/>
      <c r="B33" s="2995"/>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43242</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3048</v>
      </c>
      <c r="B12" s="1019">
        <v>1120110054</v>
      </c>
      <c r="C12" s="2938">
        <v>43937</v>
      </c>
      <c r="D12" s="1699" t="s">
        <v>3048</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00" t="s">
        <v>846</v>
      </c>
      <c r="B25" s="3000"/>
      <c r="C25" s="3000"/>
      <c r="D25" s="3000"/>
      <c r="E25" s="3000"/>
      <c r="F25" s="3000"/>
      <c r="G25" s="3000"/>
    </row>
    <row r="26" spans="1:7" s="1022" customFormat="1" ht="24" customHeight="1">
      <c r="A26" s="3001" t="s">
        <v>847</v>
      </c>
      <c r="B26" s="3001"/>
      <c r="C26" s="3002"/>
      <c r="D26" s="3003" t="s">
        <v>848</v>
      </c>
      <c r="E26" s="3001"/>
      <c r="F26" s="3001"/>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收益法-4层</vt:lpstr>
      <vt:lpstr>收益法-3层</vt:lpstr>
      <vt:lpstr>收益法</vt:lpstr>
      <vt:lpstr>收益法-2、3</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'收益法-2、3'!Print_Area</vt:lpstr>
      <vt:lpstr>'收益法-3层'!Print_Area</vt:lpstr>
      <vt:lpstr>'收益法-4层'!Print_Area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2018-05-22T05:25:39Z</dcterms:modified>
</cp:coreProperties>
</file>