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陈宁询价\"/>
    </mc:Choice>
  </mc:AlternateContent>
  <xr:revisionPtr revIDLastSave="0" documentId="13_ncr:1_{D3ABD264-06D6-4239-ACA5-1DEF11DDD0F7}"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F13" i="4"/>
  <c r="D42" i="43"/>
  <c r="D33" i="43"/>
  <c r="J52" i="15"/>
  <c r="J49" i="15"/>
  <c r="AH6" i="1"/>
  <c r="Y6" i="1"/>
  <c r="N19" i="1"/>
  <c r="L19" i="1"/>
  <c r="L24" i="1" s="1"/>
  <c r="L25" i="1" s="1"/>
  <c r="K21" i="1"/>
  <c r="K20" i="1"/>
  <c r="I13" i="4"/>
  <c r="F19" i="6"/>
  <c r="K13" i="3"/>
  <c r="G19" i="6" s="1"/>
  <c r="I13" i="3"/>
  <c r="I30" i="80"/>
  <c r="I27" i="80"/>
  <c r="I22" i="80"/>
  <c r="J22" i="80"/>
  <c r="H21" i="80"/>
  <c r="H20" i="80"/>
  <c r="C22" i="80"/>
  <c r="D22" i="80"/>
  <c r="E22" i="80"/>
  <c r="F22" i="80"/>
  <c r="G22" i="80"/>
  <c r="H2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101"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S20" i="79"/>
  <c r="AG20" i="79" s="1"/>
  <c r="W22" i="79"/>
  <c r="AK22" i="79" s="1"/>
  <c r="AH22" i="79"/>
  <c r="AD36" i="79"/>
  <c r="AD38" i="79"/>
  <c r="AD37"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F93" i="43" l="1"/>
  <c r="H100" i="43" s="1"/>
  <c r="G100" i="43" s="1"/>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K100" i="43" l="1"/>
  <c r="J100" i="43" s="1"/>
  <c r="D100" i="43" s="1"/>
  <c r="M100" i="43"/>
  <c r="N100" i="43" s="1"/>
  <c r="H94" i="43"/>
  <c r="G94" i="43" s="1"/>
  <c r="H101" i="43"/>
  <c r="G101" i="43" s="1"/>
  <c r="H97" i="43"/>
  <c r="G97" i="43" s="1"/>
  <c r="H99" i="43"/>
  <c r="G99" i="43" s="1"/>
  <c r="H95" i="43"/>
  <c r="G95" i="43" s="1"/>
  <c r="H93" i="43"/>
  <c r="G93" i="43" s="1"/>
  <c r="H96" i="43"/>
  <c r="G96" i="43" s="1"/>
  <c r="H98" i="43"/>
  <c r="G98" i="43" s="1"/>
  <c r="G21" i="73"/>
  <c r="F21" i="73"/>
  <c r="E21" i="73"/>
  <c r="K96" i="43" l="1"/>
  <c r="M96" i="43"/>
  <c r="N96" i="43" s="1"/>
  <c r="K94" i="43"/>
  <c r="M94" i="43"/>
  <c r="N94" i="43" s="1"/>
  <c r="M97" i="43"/>
  <c r="N97" i="43" s="1"/>
  <c r="K97" i="43"/>
  <c r="J97" i="43" s="1"/>
  <c r="M93" i="43"/>
  <c r="N93" i="43" s="1"/>
  <c r="K93" i="43"/>
  <c r="J93" i="43" s="1"/>
  <c r="D93" i="43" s="1"/>
  <c r="M101" i="43"/>
  <c r="N101" i="43" s="1"/>
  <c r="K101" i="43"/>
  <c r="J101" i="43" s="1"/>
  <c r="M95" i="43"/>
  <c r="N95" i="43" s="1"/>
  <c r="K95" i="43"/>
  <c r="K98" i="43"/>
  <c r="M98" i="43"/>
  <c r="N98" i="43" s="1"/>
  <c r="M99" i="43"/>
  <c r="K99" i="43"/>
  <c r="J99" i="43" s="1"/>
  <c r="G22" i="73"/>
  <c r="F22" i="73"/>
  <c r="E22" i="73"/>
  <c r="J95" i="43" l="1"/>
  <c r="D95" i="43"/>
  <c r="N99" i="43"/>
  <c r="D99" i="43"/>
  <c r="J94" i="43"/>
  <c r="D94" i="43"/>
  <c r="E93" i="43" s="1"/>
  <c r="B91" i="43" s="1"/>
  <c r="J98" i="43"/>
  <c r="D98" i="43"/>
  <c r="J96" i="43"/>
  <c r="D96" i="43"/>
  <c r="G13" i="73"/>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S28" i="71"/>
  <c r="F28" i="71"/>
  <c r="F27" i="71" s="1"/>
  <c r="F26" i="71" s="1"/>
  <c r="N66"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AA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AB36" i="39" s="1"/>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s="1"/>
  <c r="W28" i="35"/>
  <c r="W22" i="35"/>
  <c r="F36" i="34"/>
  <c r="J35" i="34"/>
  <c r="U34" i="34"/>
  <c r="H39" i="33"/>
  <c r="AB39" i="33"/>
  <c r="U35" i="33"/>
  <c r="W33" i="33"/>
  <c r="W39" i="33"/>
  <c r="H39" i="37"/>
  <c r="AB39" i="37" s="1"/>
  <c r="S27" i="35"/>
  <c r="F11" i="40"/>
  <c r="AA11" i="40" s="1"/>
  <c r="H11" i="40"/>
  <c r="AB11" i="40"/>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S11" i="36"/>
  <c r="AA14" i="34"/>
  <c r="S45" i="33"/>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AZ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AZ203" i="3" s="1"/>
  <c r="BL204" i="3"/>
  <c r="AZ67" i="3"/>
  <c r="AZ168"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F29" i="6" s="1"/>
  <c r="BJ5" i="3"/>
  <c r="BH5" i="3"/>
  <c r="BF5" i="3"/>
  <c r="BD5" i="3"/>
  <c r="AC5" i="3"/>
  <c r="AZ506" i="3"/>
  <c r="AZ496" i="3"/>
  <c r="G548" i="3"/>
  <c r="G538" i="3"/>
  <c r="G520" i="3"/>
  <c r="G502" i="3"/>
  <c r="BS5" i="3"/>
  <c r="BP5" i="3"/>
  <c r="G29" i="6" s="1"/>
  <c r="BN5" i="3"/>
  <c r="BK5" i="3"/>
  <c r="BI5" i="3"/>
  <c r="BG5" i="3"/>
  <c r="BE5" i="3"/>
  <c r="BC5" i="3"/>
  <c r="G17" i="3"/>
  <c r="BA17" i="3"/>
  <c r="BT5" i="3"/>
  <c r="AZ350" i="3"/>
  <c r="AZ356" i="3"/>
  <c r="BA15" i="3"/>
  <c r="BB5" i="3"/>
  <c r="BR5" i="3"/>
  <c r="AZ392" i="3"/>
  <c r="AZ509" i="3"/>
  <c r="G509" i="3"/>
  <c r="BL493" i="3"/>
  <c r="AZ493" i="3" s="1"/>
  <c r="U36" i="40"/>
  <c r="F83" i="43"/>
  <c r="H85" i="43" s="1"/>
  <c r="G85" i="43" s="1"/>
  <c r="M85" i="43" s="1"/>
  <c r="N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157" i="3"/>
  <c r="B12" i="1"/>
  <c r="E12" i="1" s="1"/>
  <c r="B10" i="1"/>
  <c r="E10" i="1" s="1"/>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G13" i="3"/>
  <c r="BA13" i="3"/>
  <c r="BL17" i="3"/>
  <c r="AZ17" i="3"/>
  <c r="BL13" i="3"/>
  <c r="J56" i="9"/>
  <c r="J57" i="9" s="1"/>
  <c r="J59" i="9" s="1"/>
  <c r="J61" i="9" s="1"/>
  <c r="A24" i="51"/>
  <c r="B18" i="72" s="1"/>
  <c r="U29" i="34"/>
  <c r="E5" i="6"/>
  <c r="E32" i="6"/>
  <c r="G1" i="68"/>
  <c r="K1" i="12"/>
  <c r="E19" i="69"/>
  <c r="E19" i="11"/>
  <c r="G22" i="69"/>
  <c r="G22" i="68"/>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F85" i="21"/>
  <c r="G85" i="21" s="1"/>
  <c r="H23" i="21"/>
  <c r="U23" i="21" s="1"/>
  <c r="S13" i="21"/>
  <c r="AP7" i="1"/>
  <c r="AB45" i="21"/>
  <c r="AB9" i="21"/>
  <c r="U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26" i="15"/>
  <c r="F8" i="15"/>
  <c r="J15" i="15"/>
  <c r="F37" i="15"/>
  <c r="E7" i="76"/>
  <c r="M26" i="15"/>
  <c r="F43" i="15"/>
  <c r="M8" i="15"/>
  <c r="F9" i="15"/>
  <c r="B8" i="76"/>
  <c r="B11" i="76"/>
  <c r="E2" i="68"/>
  <c r="F4" i="73"/>
  <c r="F7" i="73"/>
  <c r="M22" i="15"/>
  <c r="M9" i="15"/>
  <c r="E13" i="76"/>
  <c r="M23" i="15"/>
  <c r="B10" i="76"/>
  <c r="E11" i="76"/>
  <c r="F42" i="15"/>
  <c r="B13" i="76"/>
  <c r="F6" i="15"/>
  <c r="M28" i="15"/>
  <c r="F7" i="15"/>
  <c r="AO13" i="1"/>
  <c r="F40" i="15"/>
  <c r="F3" i="73"/>
  <c r="F13" i="15"/>
  <c r="F38" i="15"/>
  <c r="F20" i="31"/>
  <c r="E8" i="76"/>
  <c r="M6" i="15"/>
  <c r="F38" i="67"/>
  <c r="B12" i="76"/>
  <c r="L48" i="15"/>
  <c r="E9" i="76"/>
  <c r="E10" i="76"/>
  <c r="F5" i="73"/>
  <c r="F16" i="15"/>
  <c r="B9" i="76"/>
  <c r="F6" i="67"/>
  <c r="M26" i="67"/>
  <c r="F36" i="15"/>
  <c r="E2" i="69"/>
  <c r="C76" i="15"/>
  <c r="L47" i="15"/>
  <c r="M29" i="15"/>
  <c r="F6" i="73"/>
  <c r="M24" i="15"/>
  <c r="B7" i="76"/>
  <c r="D6" i="73"/>
  <c r="L47" i="67"/>
  <c r="K85" i="43" l="1"/>
  <c r="D85" i="43" s="1"/>
  <c r="F11" i="1"/>
  <c r="G11" i="1" s="1"/>
  <c r="G44" i="43"/>
  <c r="F34" i="15"/>
  <c r="F62" i="15" s="1"/>
  <c r="F34" i="67"/>
  <c r="F62" i="67" s="1"/>
  <c r="B41" i="1"/>
  <c r="F48" i="9" s="1"/>
  <c r="O52" i="9" s="1"/>
  <c r="F31" i="12"/>
  <c r="D68" i="9"/>
  <c r="F30" i="69"/>
  <c r="F48" i="69" s="1"/>
  <c r="F28" i="15"/>
  <c r="F32" i="67"/>
  <c r="F60" i="67" s="1"/>
  <c r="F28" i="67"/>
  <c r="D93" i="9"/>
  <c r="M18" i="15"/>
  <c r="M18" i="67"/>
  <c r="F30" i="11"/>
  <c r="C48" i="11" s="1"/>
  <c r="F54" i="9"/>
  <c r="F32" i="15"/>
  <c r="F60" i="15" s="1"/>
  <c r="F52" i="9"/>
  <c r="F30" i="68"/>
  <c r="F48" i="68" s="1"/>
  <c r="C21" i="68"/>
  <c r="D22" i="15"/>
  <c r="D23" i="15"/>
  <c r="G26" i="12"/>
  <c r="G22" i="11"/>
  <c r="E1" i="73"/>
  <c r="C42" i="1"/>
  <c r="C24" i="12" s="1"/>
  <c r="C7" i="36"/>
  <c r="C46" i="36" s="1"/>
  <c r="D46" i="36" s="1"/>
  <c r="E46" i="36" s="1"/>
  <c r="F46" i="36" s="1"/>
  <c r="G46" i="36" s="1"/>
  <c r="H46" i="36" s="1"/>
  <c r="I46" i="36" s="1"/>
  <c r="G23" i="43"/>
  <c r="C23" i="43" s="1"/>
  <c r="C7" i="35"/>
  <c r="C48" i="35" s="1"/>
  <c r="D48" i="35" s="1"/>
  <c r="E48" i="35" s="1"/>
  <c r="C7" i="34"/>
  <c r="C7" i="37"/>
  <c r="C52" i="37" s="1"/>
  <c r="D52" i="37" s="1"/>
  <c r="M47" i="9"/>
  <c r="C7" i="40"/>
  <c r="C63" i="40" s="1"/>
  <c r="C65" i="40" s="1"/>
  <c r="C7" i="39"/>
  <c r="C67" i="39" s="1"/>
  <c r="AA19" i="33"/>
  <c r="AC15" i="21"/>
  <c r="AB19" i="33"/>
  <c r="AB15" i="21"/>
  <c r="AA23" i="21"/>
  <c r="AA17" i="33"/>
  <c r="AC32" i="39"/>
  <c r="S37" i="21"/>
  <c r="W24" i="36"/>
  <c r="AA44" i="39"/>
  <c r="S44" i="39"/>
  <c r="AB36" i="33"/>
  <c r="D6" i="52"/>
  <c r="AZ14" i="3"/>
  <c r="U34" i="35"/>
  <c r="AB34" i="35"/>
  <c r="S38" i="40"/>
  <c r="AA38" i="40"/>
  <c r="AC31" i="40"/>
  <c r="W31" i="40"/>
  <c r="AZ362" i="3"/>
  <c r="AZ390" i="3"/>
  <c r="AZ351" i="3"/>
  <c r="AZ336" i="3"/>
  <c r="AZ529" i="3"/>
  <c r="AZ537" i="3"/>
  <c r="BL585" i="3"/>
  <c r="AZ585" i="3" s="1"/>
  <c r="AB31" i="36"/>
  <c r="U31" i="36"/>
  <c r="H25" i="37"/>
  <c r="F25" i="37"/>
  <c r="AZ306" i="3"/>
  <c r="AZ513" i="3"/>
  <c r="AZ575" i="3"/>
  <c r="AZ528" i="3"/>
  <c r="AZ574" i="3"/>
  <c r="AZ502" i="3"/>
  <c r="W31" i="34"/>
  <c r="AC11" i="40"/>
  <c r="F45" i="39"/>
  <c r="J9" i="33"/>
  <c r="J9" i="34"/>
  <c r="W27" i="35"/>
  <c r="J12" i="36"/>
  <c r="S9" i="40"/>
  <c r="AA9" i="40"/>
  <c r="J38" i="40"/>
  <c r="AZ406" i="3"/>
  <c r="AZ413" i="3"/>
  <c r="AZ357" i="3"/>
  <c r="AZ322" i="3"/>
  <c r="AZ313" i="3"/>
  <c r="AZ394" i="3"/>
  <c r="W44" i="33"/>
  <c r="AZ519" i="3"/>
  <c r="AZ531" i="3"/>
  <c r="AZ573" i="3"/>
  <c r="AZ583" i="3"/>
  <c r="AZ568" i="3"/>
  <c r="AZ576" i="3"/>
  <c r="U33" i="33"/>
  <c r="G585" i="3"/>
  <c r="BL587" i="3"/>
  <c r="AZ587" i="3" s="1"/>
  <c r="BL586" i="3"/>
  <c r="AZ586" i="3" s="1"/>
  <c r="B72" i="43"/>
  <c r="C15" i="39"/>
  <c r="J39" i="37"/>
  <c r="F39" i="37"/>
  <c r="S39" i="37" s="1"/>
  <c r="G570" i="3"/>
  <c r="G551" i="3"/>
  <c r="BL550" i="3"/>
  <c r="G542" i="3"/>
  <c r="AZ400" i="3"/>
  <c r="AZ334" i="3"/>
  <c r="AZ347" i="3"/>
  <c r="AZ324" i="3"/>
  <c r="AA11" i="39"/>
  <c r="AZ523" i="3"/>
  <c r="AZ547" i="3"/>
  <c r="AZ571" i="3"/>
  <c r="AZ579" i="3"/>
  <c r="AZ516" i="3"/>
  <c r="AC11" i="35"/>
  <c r="C25" i="39"/>
  <c r="AB39" i="40"/>
  <c r="U31" i="35"/>
  <c r="J33" i="36"/>
  <c r="AC33" i="36" s="1"/>
  <c r="W40" i="39"/>
  <c r="J45" i="39"/>
  <c r="W45" i="39" s="1"/>
  <c r="B79" i="43"/>
  <c r="J26" i="33"/>
  <c r="F12" i="35"/>
  <c r="J12" i="35"/>
  <c r="J25" i="37"/>
  <c r="AB30" i="37"/>
  <c r="U30" i="37"/>
  <c r="H44" i="39"/>
  <c r="J44" i="39"/>
  <c r="AA34" i="39"/>
  <c r="AA31" i="35"/>
  <c r="S31" i="35"/>
  <c r="BL15" i="3"/>
  <c r="AZ15" i="3" s="1"/>
  <c r="BA398" i="3"/>
  <c r="AZ398" i="3" s="1"/>
  <c r="BA399" i="3"/>
  <c r="AZ399" i="3" s="1"/>
  <c r="BL401" i="3"/>
  <c r="AZ401" i="3" s="1"/>
  <c r="BL404" i="3"/>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BL437" i="3"/>
  <c r="AZ437" i="3" s="1"/>
  <c r="G439" i="3"/>
  <c r="BL441" i="3"/>
  <c r="AZ441" i="3" s="1"/>
  <c r="BL442" i="3"/>
  <c r="BL444" i="3"/>
  <c r="G446" i="3"/>
  <c r="BL448" i="3"/>
  <c r="AZ448" i="3" s="1"/>
  <c r="G450" i="3"/>
  <c r="BA454" i="3"/>
  <c r="BA457" i="3"/>
  <c r="BA459" i="3"/>
  <c r="BA460" i="3"/>
  <c r="AZ460" i="3" s="1"/>
  <c r="BA461" i="3"/>
  <c r="BL464" i="3"/>
  <c r="BL466" i="3"/>
  <c r="AZ466" i="3" s="1"/>
  <c r="G468" i="3"/>
  <c r="G469" i="3"/>
  <c r="BL476" i="3"/>
  <c r="BL477" i="3"/>
  <c r="G481" i="3"/>
  <c r="BA491" i="3"/>
  <c r="BL324" i="3"/>
  <c r="BL328" i="3"/>
  <c r="AZ328" i="3" s="1"/>
  <c r="BA335" i="3"/>
  <c r="AZ335" i="3" s="1"/>
  <c r="AZ404" i="3"/>
  <c r="AZ419" i="3"/>
  <c r="AZ444" i="3"/>
  <c r="AZ464" i="3"/>
  <c r="AZ476" i="3"/>
  <c r="BA481" i="3"/>
  <c r="G484" i="3"/>
  <c r="G587" i="3"/>
  <c r="BA551" i="3"/>
  <c r="AZ551" i="3" s="1"/>
  <c r="BA550" i="3"/>
  <c r="AZ550" i="3" s="1"/>
  <c r="BL548" i="3"/>
  <c r="AZ548"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7" i="3"/>
  <c r="AZ487" i="3" s="1"/>
  <c r="G492" i="3"/>
  <c r="BA303" i="3"/>
  <c r="AZ303" i="3" s="1"/>
  <c r="BA307" i="3"/>
  <c r="AZ307" i="3" s="1"/>
  <c r="G311" i="3"/>
  <c r="BL314" i="3"/>
  <c r="AZ314" i="3" s="1"/>
  <c r="G315" i="3"/>
  <c r="BL340" i="3"/>
  <c r="AZ340" i="3" s="1"/>
  <c r="BL398" i="3"/>
  <c r="G402" i="3"/>
  <c r="BL403" i="3"/>
  <c r="AZ403" i="3" s="1"/>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BA455" i="3"/>
  <c r="AZ455" i="3" s="1"/>
  <c r="BL457" i="3"/>
  <c r="BL460" i="3"/>
  <c r="BL461" i="3"/>
  <c r="BL463" i="3"/>
  <c r="G465" i="3"/>
  <c r="BA471" i="3"/>
  <c r="AZ471" i="3" s="1"/>
  <c r="BL359" i="3"/>
  <c r="AZ359" i="3" s="1"/>
  <c r="AZ270"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4" i="3"/>
  <c r="G299"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L301" i="3"/>
  <c r="AZ301" i="3" s="1"/>
  <c r="BL30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5" i="3"/>
  <c r="BA296" i="3"/>
  <c r="G116"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BL45" i="3"/>
  <c r="BA48" i="3"/>
  <c r="BA49" i="3"/>
  <c r="AZ49" i="3" s="1"/>
  <c r="G103" i="3"/>
  <c r="BA103" i="3"/>
  <c r="F40" i="69"/>
  <c r="C40" i="69"/>
  <c r="T32" i="71"/>
  <c r="D32" i="71"/>
  <c r="C52" i="71"/>
  <c r="D51" i="71"/>
  <c r="F66" i="71"/>
  <c r="Q67" i="71"/>
  <c r="X25" i="71"/>
  <c r="AA3" i="71"/>
  <c r="BA129" i="3"/>
  <c r="BA190" i="3"/>
  <c r="AZ190" i="3" s="1"/>
  <c r="G196" i="3"/>
  <c r="BA197" i="3"/>
  <c r="BL201" i="3"/>
  <c r="BA204" i="3"/>
  <c r="AZ204" i="3" s="1"/>
  <c r="BA18" i="3"/>
  <c r="G21" i="3"/>
  <c r="BL21" i="3"/>
  <c r="AZ21" i="3" s="1"/>
  <c r="G43" i="3"/>
  <c r="G44" i="3"/>
  <c r="BA45" i="3"/>
  <c r="AZ45" i="3" s="1"/>
  <c r="BA46" i="3"/>
  <c r="AZ52" i="3"/>
  <c r="BA53" i="3"/>
  <c r="G67" i="3"/>
  <c r="BL68" i="3"/>
  <c r="BA69" i="3"/>
  <c r="AZ69" i="3" s="1"/>
  <c r="BA73" i="3"/>
  <c r="BA80" i="3"/>
  <c r="BL84" i="3"/>
  <c r="BL93" i="3"/>
  <c r="AB21" i="37"/>
  <c r="U21" i="37"/>
  <c r="C47" i="71"/>
  <c r="D47" i="71" s="1"/>
  <c r="D46" i="71"/>
  <c r="C67" i="71"/>
  <c r="T68" i="71"/>
  <c r="O68" i="71"/>
  <c r="T76" i="71"/>
  <c r="D76" i="71"/>
  <c r="C75" i="71"/>
  <c r="Y27" i="71"/>
  <c r="Z27" i="71" s="1"/>
  <c r="Y26" i="71"/>
  <c r="Z26" i="71" s="1"/>
  <c r="C23" i="71"/>
  <c r="B22" i="71"/>
  <c r="B21" i="71" s="1"/>
  <c r="B20" i="71" s="1"/>
  <c r="BA114" i="3"/>
  <c r="BL123" i="3"/>
  <c r="AZ123" i="3" s="1"/>
  <c r="BL134" i="3"/>
  <c r="BL137" i="3"/>
  <c r="BA146" i="3"/>
  <c r="AZ146" i="3" s="1"/>
  <c r="BA150" i="3"/>
  <c r="AZ150" i="3" s="1"/>
  <c r="BL167" i="3"/>
  <c r="AZ167" i="3" s="1"/>
  <c r="BL178" i="3"/>
  <c r="BA185" i="3"/>
  <c r="BA193" i="3"/>
  <c r="AZ201" i="3"/>
  <c r="G203" i="3"/>
  <c r="BL28" i="3"/>
  <c r="BA29" i="3"/>
  <c r="AZ29" i="3" s="1"/>
  <c r="BA36" i="3"/>
  <c r="BL38" i="3"/>
  <c r="AZ38" i="3" s="1"/>
  <c r="BA39" i="3"/>
  <c r="AZ39" i="3" s="1"/>
  <c r="BL47" i="3"/>
  <c r="AZ47" i="3" s="1"/>
  <c r="G49" i="3"/>
  <c r="BL54" i="3"/>
  <c r="BL55" i="3"/>
  <c r="AZ55" i="3" s="1"/>
  <c r="G57" i="3"/>
  <c r="G58" i="3"/>
  <c r="BA59" i="3"/>
  <c r="G61" i="3"/>
  <c r="BL61" i="3"/>
  <c r="G64" i="3"/>
  <c r="BA64" i="3"/>
  <c r="AZ64" i="3" s="1"/>
  <c r="BA68" i="3"/>
  <c r="BL74" i="3"/>
  <c r="AZ74" i="3" s="1"/>
  <c r="G75" i="3"/>
  <c r="BL75" i="3"/>
  <c r="BL86" i="3"/>
  <c r="AZ86" i="3" s="1"/>
  <c r="BA88" i="3"/>
  <c r="BA89" i="3"/>
  <c r="G93" i="3"/>
  <c r="BA98" i="3"/>
  <c r="BL103" i="3"/>
  <c r="G104" i="3"/>
  <c r="W21" i="21"/>
  <c r="AC25" i="40"/>
  <c r="U21" i="33"/>
  <c r="AB21" i="33"/>
  <c r="T44" i="71"/>
  <c r="P65" i="71"/>
  <c r="P66" i="71"/>
  <c r="AA28" i="71"/>
  <c r="C86" i="71"/>
  <c r="D86" i="71" s="1"/>
  <c r="D87" i="71"/>
  <c r="AB25" i="71"/>
  <c r="AB28"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BA38" i="3"/>
  <c r="BA41" i="3"/>
  <c r="AZ41" i="3" s="1"/>
  <c r="BA42" i="3"/>
  <c r="BL48" i="3"/>
  <c r="BA51" i="3"/>
  <c r="BL56" i="3"/>
  <c r="BA58" i="3"/>
  <c r="BL59" i="3"/>
  <c r="BL60" i="3"/>
  <c r="BA61" i="3"/>
  <c r="AZ61" i="3" s="1"/>
  <c r="BL69" i="3"/>
  <c r="G70" i="3"/>
  <c r="BL70" i="3"/>
  <c r="AZ70" i="3" s="1"/>
  <c r="BL71" i="3"/>
  <c r="BL72" i="3"/>
  <c r="AZ72" i="3" s="1"/>
  <c r="G74" i="3"/>
  <c r="BA75" i="3"/>
  <c r="BA87" i="3"/>
  <c r="AB27" i="71"/>
  <c r="Y25" i="71"/>
  <c r="Z25" i="71" s="1"/>
  <c r="C36" i="71"/>
  <c r="D35" i="71"/>
  <c r="AB32" i="71"/>
  <c r="Y35" i="71"/>
  <c r="Z35" i="71" s="1"/>
  <c r="S80" i="71"/>
  <c r="B79" i="71"/>
  <c r="B78" i="71" s="1"/>
  <c r="AB26" i="71"/>
  <c r="V24" i="71"/>
  <c r="E23" i="71"/>
  <c r="E22" i="71" s="1"/>
  <c r="E21" i="71" s="1"/>
  <c r="E20" i="71" s="1"/>
  <c r="BA106" i="3"/>
  <c r="BL108" i="3"/>
  <c r="AZ108" i="3" s="1"/>
  <c r="BL111" i="3"/>
  <c r="AA27" i="71"/>
  <c r="C83" i="71"/>
  <c r="C79" i="71"/>
  <c r="C71" i="71"/>
  <c r="C39" i="71"/>
  <c r="Y28" i="71"/>
  <c r="Z28" i="71" s="1"/>
  <c r="Y30" i="71"/>
  <c r="Z30" i="71" s="1"/>
  <c r="X28" i="71"/>
  <c r="X32" i="71"/>
  <c r="AB38" i="71"/>
  <c r="F75" i="71"/>
  <c r="F74"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N59" i="67"/>
  <c r="L59" i="67"/>
  <c r="M59" i="67"/>
  <c r="B13" i="70"/>
  <c r="F68" i="15"/>
  <c r="D9" i="69"/>
  <c r="C36" i="69"/>
  <c r="D9" i="68"/>
  <c r="C36" i="68"/>
  <c r="M8" i="67"/>
  <c r="M6" i="67"/>
  <c r="M9" i="67"/>
  <c r="F42" i="67"/>
  <c r="F40" i="67"/>
  <c r="F16" i="67"/>
  <c r="D7" i="73"/>
  <c r="D5" i="73"/>
  <c r="M28" i="67"/>
  <c r="F43" i="67"/>
  <c r="M29" i="67"/>
  <c r="M22" i="67"/>
  <c r="F8" i="67"/>
  <c r="D3" i="73"/>
  <c r="C16" i="15"/>
  <c r="F7" i="67"/>
  <c r="L48" i="67"/>
  <c r="M23" i="67"/>
  <c r="F37" i="67"/>
  <c r="F9" i="67"/>
  <c r="M24" i="67"/>
  <c r="D4" i="73"/>
  <c r="F13" i="67"/>
  <c r="F26" i="67"/>
  <c r="J15" i="67"/>
  <c r="F36" i="67"/>
  <c r="C76" i="67"/>
  <c r="M89" i="43" l="1"/>
  <c r="N89" i="43" s="1"/>
  <c r="K89" i="43"/>
  <c r="K88" i="43"/>
  <c r="J88" i="43" s="1"/>
  <c r="D88" i="43" s="1"/>
  <c r="M88" i="43"/>
  <c r="N88" i="43" s="1"/>
  <c r="K90" i="43"/>
  <c r="M90" i="43"/>
  <c r="N90" i="43" s="1"/>
  <c r="M87" i="43"/>
  <c r="N87" i="43" s="1"/>
  <c r="K87" i="43"/>
  <c r="M84" i="43"/>
  <c r="N84" i="43" s="1"/>
  <c r="K84" i="43"/>
  <c r="K86" i="43"/>
  <c r="M86" i="43"/>
  <c r="N86" i="43" s="1"/>
  <c r="M83" i="43"/>
  <c r="N83" i="43" s="1"/>
  <c r="K83" i="43"/>
  <c r="J83" i="43" s="1"/>
  <c r="D83" i="43" s="1"/>
  <c r="C48" i="68"/>
  <c r="C30" i="11"/>
  <c r="H16" i="1"/>
  <c r="P6" i="1"/>
  <c r="C13" i="12" s="1"/>
  <c r="Q16" i="1"/>
  <c r="F27" i="69" s="1"/>
  <c r="C47" i="69" s="1"/>
  <c r="D45" i="69" s="1"/>
  <c r="E28" i="6"/>
  <c r="K14" i="1" s="1"/>
  <c r="K16" i="1" s="1"/>
  <c r="E59" i="40"/>
  <c r="N94" i="46"/>
  <c r="J26" i="43"/>
  <c r="N370" i="46"/>
  <c r="F26" i="43"/>
  <c r="E26" i="43"/>
  <c r="H26" i="43"/>
  <c r="J7" i="36"/>
  <c r="Q71" i="67"/>
  <c r="F64" i="67"/>
  <c r="C27" i="67"/>
  <c r="F65" i="67"/>
  <c r="L56" i="67"/>
  <c r="L58" i="67"/>
  <c r="Q73" i="67" s="1"/>
  <c r="I54" i="67"/>
  <c r="J53" i="67"/>
  <c r="F1" i="67" s="1"/>
  <c r="J57" i="67"/>
  <c r="J55" i="67" s="1"/>
  <c r="J58" i="67" s="1"/>
  <c r="Q50" i="67" s="1"/>
  <c r="F50" i="67"/>
  <c r="M7" i="67"/>
  <c r="J6" i="67" s="1"/>
  <c r="J18" i="67" s="1"/>
  <c r="F31" i="67"/>
  <c r="F51" i="67"/>
  <c r="C6" i="67"/>
  <c r="C32" i="67" s="1"/>
  <c r="F71" i="67"/>
  <c r="F68" i="67"/>
  <c r="G16" i="1"/>
  <c r="F10" i="39" s="1"/>
  <c r="S10" i="39" s="1"/>
  <c r="C40" i="71"/>
  <c r="D39" i="71"/>
  <c r="AZ75" i="3"/>
  <c r="AZ51" i="3"/>
  <c r="AZ118" i="3"/>
  <c r="AZ53" i="3"/>
  <c r="AZ19" i="3"/>
  <c r="AZ302" i="3"/>
  <c r="AZ229" i="3"/>
  <c r="AZ218" i="3"/>
  <c r="AZ483" i="3"/>
  <c r="AZ294" i="3"/>
  <c r="AZ263" i="3"/>
  <c r="AZ223" i="3"/>
  <c r="AZ453" i="3"/>
  <c r="AZ432" i="3"/>
  <c r="AZ417" i="3"/>
  <c r="AZ457" i="3"/>
  <c r="AZ421" i="3"/>
  <c r="AZ414" i="3"/>
  <c r="W44" i="39"/>
  <c r="AC44" i="39"/>
  <c r="AC25" i="37"/>
  <c r="W25" i="37"/>
  <c r="AC39" i="37"/>
  <c r="W39" i="37"/>
  <c r="W12" i="36"/>
  <c r="AC12" i="36"/>
  <c r="S45" i="39"/>
  <c r="AA45" i="39"/>
  <c r="C70" i="71"/>
  <c r="D70" i="71" s="1"/>
  <c r="D71" i="71"/>
  <c r="C56" i="71"/>
  <c r="D55" i="71"/>
  <c r="AZ59" i="3"/>
  <c r="T52" i="71"/>
  <c r="D52" i="71"/>
  <c r="AZ243" i="3"/>
  <c r="AZ408" i="3"/>
  <c r="AZ491" i="3"/>
  <c r="AZ461" i="3"/>
  <c r="AZ454" i="3"/>
  <c r="AZ418" i="3"/>
  <c r="AB44" i="39"/>
  <c r="U44" i="39"/>
  <c r="W12" i="35"/>
  <c r="AC12" i="35"/>
  <c r="AC38" i="40"/>
  <c r="W38" i="40"/>
  <c r="AA25" i="37"/>
  <c r="S25" i="37"/>
  <c r="D79" i="71"/>
  <c r="C78" i="71"/>
  <c r="D78" i="71" s="1"/>
  <c r="AZ58" i="3"/>
  <c r="AZ31" i="3"/>
  <c r="C26" i="71"/>
  <c r="D26" i="71" s="1"/>
  <c r="D27" i="71"/>
  <c r="B19" i="71"/>
  <c r="B18" i="71" s="1"/>
  <c r="B17" i="71" s="1"/>
  <c r="B16" i="71" s="1"/>
  <c r="S20" i="71"/>
  <c r="D75" i="71"/>
  <c r="C74" i="71"/>
  <c r="D74" i="71" s="1"/>
  <c r="AZ103" i="3"/>
  <c r="AZ238" i="3"/>
  <c r="AZ435" i="3"/>
  <c r="AC9" i="34"/>
  <c r="W9" i="34"/>
  <c r="U25" i="37"/>
  <c r="AB25" i="37"/>
  <c r="G5" i="3"/>
  <c r="B3" i="3" s="1"/>
  <c r="E212" i="3" s="1"/>
  <c r="AZ111" i="3"/>
  <c r="D83" i="71"/>
  <c r="C82" i="71"/>
  <c r="D82" i="71" s="1"/>
  <c r="AZ88" i="3"/>
  <c r="C22" i="71"/>
  <c r="D23" i="71"/>
  <c r="D67" i="71"/>
  <c r="C66" i="71"/>
  <c r="O67" i="71"/>
  <c r="AZ197" i="3"/>
  <c r="AZ137" i="3"/>
  <c r="AZ459" i="3"/>
  <c r="AC26" i="33"/>
  <c r="W26" i="33"/>
  <c r="AC9" i="33"/>
  <c r="W9" i="33"/>
  <c r="J7" i="37"/>
  <c r="K1" i="73"/>
  <c r="E389" i="3"/>
  <c r="E173" i="3"/>
  <c r="E220" i="3"/>
  <c r="E223" i="3"/>
  <c r="E422" i="3"/>
  <c r="E40" i="3"/>
  <c r="E43" i="3"/>
  <c r="E234" i="3"/>
  <c r="E147" i="3"/>
  <c r="E365" i="3"/>
  <c r="E566" i="3"/>
  <c r="E521" i="3"/>
  <c r="E222" i="3"/>
  <c r="E500" i="3"/>
  <c r="E138" i="3"/>
  <c r="E323" i="3"/>
  <c r="E297" i="3"/>
  <c r="E341" i="3"/>
  <c r="E462" i="3"/>
  <c r="AD6" i="3"/>
  <c r="E154" i="3"/>
  <c r="E187" i="3"/>
  <c r="E307" i="3"/>
  <c r="E82" i="3"/>
  <c r="E136" i="3"/>
  <c r="E157" i="3"/>
  <c r="E313" i="3"/>
  <c r="E474" i="3"/>
  <c r="W6" i="3"/>
  <c r="E471" i="3"/>
  <c r="E168" i="3"/>
  <c r="E357" i="3"/>
  <c r="E93" i="3"/>
  <c r="E207" i="3"/>
  <c r="U6" i="3"/>
  <c r="E548" i="3"/>
  <c r="E547" i="3"/>
  <c r="E71" i="3"/>
  <c r="E126" i="3"/>
  <c r="E317" i="3"/>
  <c r="E53" i="3"/>
  <c r="E501" i="3"/>
  <c r="E328" i="3"/>
  <c r="E359" i="3"/>
  <c r="E97" i="3"/>
  <c r="E523" i="3"/>
  <c r="E338" i="3"/>
  <c r="E298" i="3"/>
  <c r="E237" i="3"/>
  <c r="E565" i="3"/>
  <c r="E17" i="3"/>
  <c r="E221" i="3"/>
  <c r="E159" i="3"/>
  <c r="E402" i="3"/>
  <c r="E353" i="3"/>
  <c r="AA6" i="3"/>
  <c r="E238" i="3"/>
  <c r="E128" i="3"/>
  <c r="E120" i="3"/>
  <c r="E330" i="3"/>
  <c r="E437" i="3"/>
  <c r="E424" i="3"/>
  <c r="AE6" i="3"/>
  <c r="E496" i="3"/>
  <c r="E73" i="3"/>
  <c r="E256" i="3"/>
  <c r="E394" i="3"/>
  <c r="E32"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27" i="68"/>
  <c r="AE6" i="1"/>
  <c r="G1" i="73"/>
  <c r="F41" i="67"/>
  <c r="C16" i="67"/>
  <c r="D87" i="43" l="1"/>
  <c r="J87" i="43"/>
  <c r="D86" i="43"/>
  <c r="J86" i="43"/>
  <c r="D84" i="43"/>
  <c r="E83" i="43" s="1"/>
  <c r="B81" i="43" s="1"/>
  <c r="C28" i="43" s="1"/>
  <c r="J84" i="43"/>
  <c r="D89" i="43"/>
  <c r="J89" i="43"/>
  <c r="D90" i="43"/>
  <c r="J90" i="43"/>
  <c r="F45" i="69"/>
  <c r="C29" i="69"/>
  <c r="D27" i="69" s="1"/>
  <c r="E195" i="3"/>
  <c r="E66" i="3"/>
  <c r="E374" i="3"/>
  <c r="E266" i="3"/>
  <c r="E464" i="3"/>
  <c r="E48" i="3"/>
  <c r="E110" i="3"/>
  <c r="E312" i="3"/>
  <c r="E24" i="3"/>
  <c r="E348" i="3"/>
  <c r="E165" i="3"/>
  <c r="E62" i="3"/>
  <c r="E52" i="3"/>
  <c r="E455" i="3"/>
  <c r="E276" i="3"/>
  <c r="E498" i="3"/>
  <c r="E493" i="3"/>
  <c r="E158" i="3"/>
  <c r="E420" i="3"/>
  <c r="E235" i="3"/>
  <c r="E580" i="3"/>
  <c r="E203" i="3"/>
  <c r="E429" i="3"/>
  <c r="E481" i="3"/>
  <c r="E177" i="3"/>
  <c r="E434" i="3"/>
  <c r="E280" i="3"/>
  <c r="E303" i="3"/>
  <c r="E302" i="3"/>
  <c r="E304" i="3"/>
  <c r="E321" i="3"/>
  <c r="S6" i="3"/>
  <c r="O6" i="3"/>
  <c r="E319" i="3"/>
  <c r="E291" i="3"/>
  <c r="E403" i="3"/>
  <c r="E411" i="3"/>
  <c r="E196" i="3"/>
  <c r="E208" i="3"/>
  <c r="E537" i="3"/>
  <c r="E529" i="3"/>
  <c r="E352" i="3"/>
  <c r="E127" i="3"/>
  <c r="E413" i="3"/>
  <c r="E459" i="3"/>
  <c r="E163" i="3"/>
  <c r="E542" i="3"/>
  <c r="E375" i="3"/>
  <c r="E149" i="3"/>
  <c r="E354" i="3"/>
  <c r="E520" i="3"/>
  <c r="E244" i="3"/>
  <c r="E386" i="3"/>
  <c r="E460" i="3"/>
  <c r="E101" i="3"/>
  <c r="E50" i="3"/>
  <c r="E339" i="3"/>
  <c r="E473" i="3"/>
  <c r="E202" i="3"/>
  <c r="E490" i="3"/>
  <c r="E105" i="3"/>
  <c r="E370" i="3"/>
  <c r="E497" i="3"/>
  <c r="E482" i="3"/>
  <c r="I6" i="3"/>
  <c r="E274" i="3"/>
  <c r="E55" i="3"/>
  <c r="E344" i="3"/>
  <c r="Q6" i="3"/>
  <c r="E262" i="3"/>
  <c r="E156" i="3"/>
  <c r="AN6" i="3"/>
  <c r="E254" i="3"/>
  <c r="E213" i="3"/>
  <c r="E169" i="3"/>
  <c r="E506" i="3"/>
  <c r="E285" i="3"/>
  <c r="E426" i="3"/>
  <c r="AM6" i="3"/>
  <c r="E92" i="3"/>
  <c r="E367" i="3"/>
  <c r="E145" i="3"/>
  <c r="E14" i="3"/>
  <c r="E54" i="3"/>
  <c r="E438" i="3"/>
  <c r="E224" i="3"/>
  <c r="E461" i="3"/>
  <c r="E504" i="3"/>
  <c r="E87" i="3"/>
  <c r="E179" i="3"/>
  <c r="E39" i="3"/>
  <c r="E584" i="3"/>
  <c r="E436" i="3"/>
  <c r="E284" i="3"/>
  <c r="E446" i="3"/>
  <c r="E416" i="3"/>
  <c r="E250" i="3"/>
  <c r="E58" i="3"/>
  <c r="E398" i="3"/>
  <c r="E218" i="3"/>
  <c r="E112" i="3"/>
  <c r="E137" i="3"/>
  <c r="E333" i="3"/>
  <c r="E401" i="3"/>
  <c r="E486" i="3"/>
  <c r="E83" i="3"/>
  <c r="E78" i="3"/>
  <c r="E22" i="3"/>
  <c r="E442" i="3"/>
  <c r="M14" i="1"/>
  <c r="D26" i="43"/>
  <c r="C25" i="43" s="1"/>
  <c r="H6" i="3"/>
  <c r="AA10" i="39"/>
  <c r="H10" i="39"/>
  <c r="U10" i="39" s="1"/>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141" i="3"/>
  <c r="E265" i="3"/>
  <c r="E340" i="3"/>
  <c r="E392" i="3"/>
  <c r="E38" i="3"/>
  <c r="L6" i="3"/>
  <c r="E108" i="3"/>
  <c r="AH6" i="3"/>
  <c r="E543" i="3"/>
  <c r="E16" i="3"/>
  <c r="E49" i="3"/>
  <c r="E428" i="3"/>
  <c r="E408" i="3"/>
  <c r="E102" i="3"/>
  <c r="E309" i="3"/>
  <c r="E342" i="3"/>
  <c r="E115" i="3"/>
  <c r="E405" i="3"/>
  <c r="E34" i="3"/>
  <c r="E310" i="3"/>
  <c r="J10" i="40"/>
  <c r="AC10" i="40" s="1"/>
  <c r="H10" i="40"/>
  <c r="AB10" i="40" s="1"/>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75" i="3"/>
  <c r="E63" i="3"/>
  <c r="E267" i="3"/>
  <c r="E241" i="3"/>
  <c r="E536" i="3"/>
  <c r="E243" i="3"/>
  <c r="E104" i="3"/>
  <c r="E452" i="3"/>
  <c r="E360" i="3"/>
  <c r="E469" i="3"/>
  <c r="E534" i="3"/>
  <c r="E140" i="3"/>
  <c r="E287" i="3"/>
  <c r="E251" i="3"/>
  <c r="E522" i="3"/>
  <c r="E129" i="3"/>
  <c r="E391" i="3"/>
  <c r="E233" i="3"/>
  <c r="E64" i="3"/>
  <c r="E95"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198" i="3"/>
  <c r="E67" i="3"/>
  <c r="E409" i="3"/>
  <c r="E554" i="3"/>
  <c r="E3" i="6"/>
  <c r="E96" i="3"/>
  <c r="AL6" i="3"/>
  <c r="E494" i="3"/>
  <c r="E68" i="3"/>
  <c r="E84" i="3"/>
  <c r="E160" i="3"/>
  <c r="E59" i="3"/>
  <c r="E258" i="3"/>
  <c r="E491" i="3"/>
  <c r="E430" i="3"/>
  <c r="E286" i="3"/>
  <c r="E332" i="3"/>
  <c r="E283" i="3"/>
  <c r="E184" i="3"/>
  <c r="E371" i="3"/>
  <c r="E467" i="3"/>
  <c r="E349" i="3"/>
  <c r="E37" i="3"/>
  <c r="AP6" i="3"/>
  <c r="E502" i="3"/>
  <c r="E539" i="3"/>
  <c r="E417" i="3"/>
  <c r="E449" i="3"/>
  <c r="E575" i="3"/>
  <c r="J10" i="39"/>
  <c r="W10" i="39" s="1"/>
  <c r="Q60" i="67"/>
  <c r="C49" i="67"/>
  <c r="J5" i="67"/>
  <c r="J24" i="67" s="1"/>
  <c r="M17" i="67"/>
  <c r="Q52" i="67"/>
  <c r="D22" i="71"/>
  <c r="C21" i="71"/>
  <c r="O65" i="71"/>
  <c r="D66" i="71"/>
  <c r="O66" i="71"/>
  <c r="D56" i="71"/>
  <c r="T56" i="71"/>
  <c r="T40" i="71"/>
  <c r="D40" i="71"/>
  <c r="E21" i="3"/>
  <c r="E264" i="3"/>
  <c r="E381" i="3"/>
  <c r="E144" i="3"/>
  <c r="E23" i="3"/>
  <c r="E300" i="3"/>
  <c r="E103" i="3"/>
  <c r="E425" i="3"/>
  <c r="E76" i="3"/>
  <c r="E363" i="3"/>
  <c r="E192" i="3"/>
  <c r="E56" i="3"/>
  <c r="E435" i="3"/>
  <c r="I3" i="6"/>
  <c r="E541" i="3"/>
  <c r="R6" i="3"/>
  <c r="E199" i="3"/>
  <c r="E510"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T15" i="43" l="1"/>
  <c r="V15" i="43" s="1"/>
  <c r="T7" i="43"/>
  <c r="V7" i="43" s="1"/>
  <c r="T10" i="43"/>
  <c r="V10" i="43" s="1"/>
  <c r="T2" i="43"/>
  <c r="V2" i="43" s="1"/>
  <c r="C37" i="43"/>
  <c r="C38" i="43"/>
  <c r="T9" i="43"/>
  <c r="V9" i="43" s="1"/>
  <c r="C40" i="43"/>
  <c r="E40" i="43" s="1"/>
  <c r="C42" i="43"/>
  <c r="E42" i="43" s="1"/>
  <c r="T13" i="43"/>
  <c r="V13" i="43" s="1"/>
  <c r="T16" i="43"/>
  <c r="V16" i="43" s="1"/>
  <c r="T8" i="43"/>
  <c r="V8" i="43" s="1"/>
  <c r="T6" i="43"/>
  <c r="V6" i="43" s="1"/>
  <c r="C41" i="43"/>
  <c r="T12" i="43"/>
  <c r="V12" i="43" s="1"/>
  <c r="T11" i="43"/>
  <c r="V11" i="43" s="1"/>
  <c r="T14" i="43"/>
  <c r="V14" i="43" s="1"/>
  <c r="T4" i="43"/>
  <c r="V4" i="43" s="1"/>
  <c r="T5" i="43"/>
  <c r="V5" i="43" s="1"/>
  <c r="C39" i="43"/>
  <c r="E39" i="43" s="1"/>
  <c r="T3" i="43"/>
  <c r="V3" i="43" s="1"/>
  <c r="C33" i="43"/>
  <c r="AB10" i="39"/>
  <c r="W10" i="40"/>
  <c r="AC6" i="3"/>
  <c r="E6" i="3" s="1"/>
  <c r="D116" i="43"/>
  <c r="F22" i="68"/>
  <c r="F41" i="68" s="1"/>
  <c r="F25" i="12"/>
  <c r="C26" i="12" s="1"/>
  <c r="D25" i="12" s="1"/>
  <c r="C48" i="67"/>
  <c r="C66" i="67"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G39" i="43" l="1"/>
  <c r="I39" i="43" s="1"/>
  <c r="G40" i="43"/>
  <c r="I40" i="43" s="1"/>
  <c r="H24" i="6"/>
  <c r="D30" i="6"/>
  <c r="H25" i="6"/>
  <c r="R25" i="6" s="1"/>
  <c r="R12" i="1" s="1"/>
  <c r="C26" i="68"/>
  <c r="D22" i="68" s="1"/>
  <c r="C44" i="68"/>
  <c r="D41" i="68" s="1"/>
  <c r="C60" i="67"/>
  <c r="C26" i="11"/>
  <c r="D22" i="11" s="1"/>
  <c r="C44" i="11"/>
  <c r="D41" i="11"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18" i="12"/>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32" i="12" s="1"/>
  <c r="B2" i="12" s="1"/>
  <c r="B3"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c r="C103" i="9" l="1"/>
  <c r="C102" i="9"/>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7"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F118" i="9"/>
  <c r="F4" i="52" s="1"/>
  <c r="B51" i="72" s="1"/>
  <c r="H118" i="9"/>
  <c r="H119" i="9" s="1"/>
  <c r="H5" i="52" s="1"/>
  <c r="I118" i="9" l="1"/>
  <c r="I4" i="52" s="1"/>
  <c r="G118" i="9"/>
  <c r="G4" i="52" s="1"/>
  <c r="B52" i="72" s="1"/>
  <c r="H4" i="52"/>
  <c r="E118" i="9"/>
  <c r="C105" i="9"/>
  <c r="H102" i="9"/>
  <c r="F119" i="9"/>
  <c r="F5" i="52" s="1"/>
  <c r="B53" i="72" s="1"/>
  <c r="H101" i="9"/>
  <c r="C104" i="9"/>
  <c r="C5" i="74" l="1"/>
  <c r="D7" i="53"/>
  <c r="B21" i="72" s="1"/>
  <c r="D118" i="9"/>
  <c r="E4" i="52"/>
  <c r="B48" i="72" s="1"/>
  <c r="M48" i="9"/>
  <c r="D45" i="9"/>
  <c r="H107" i="9"/>
  <c r="D5" i="53"/>
  <c r="D122" i="9" l="1"/>
  <c r="D13" i="53"/>
  <c r="H108" i="9"/>
  <c r="M49" i="9"/>
  <c r="D119" i="9"/>
  <c r="D5" i="52" s="1"/>
  <c r="B49" i="72" s="1"/>
  <c r="D4" i="52"/>
  <c r="B47" i="72" s="1"/>
  <c r="B20" i="72"/>
  <c r="D6" i="53"/>
  <c r="B22" i="72" s="1"/>
  <c r="C72" i="9"/>
  <c r="D52" i="9"/>
  <c r="C78" i="9"/>
  <c r="C73" i="9" s="1"/>
  <c r="C93" i="9"/>
  <c r="C86" i="9" s="1"/>
  <c r="D53" i="9"/>
  <c r="C64" i="9"/>
  <c r="C63" i="9" s="1"/>
  <c r="C67" i="9" s="1"/>
  <c r="C85" i="9"/>
  <c r="D55" i="9"/>
  <c r="M53" i="9" s="1"/>
  <c r="L66" i="9" l="1"/>
  <c r="M66" i="9" s="1"/>
  <c r="L68" i="9"/>
  <c r="M68" i="9" s="1"/>
  <c r="L64" i="9"/>
  <c r="M64" i="9" s="1"/>
  <c r="L63" i="9"/>
  <c r="M63" i="9" s="1"/>
  <c r="L67" i="9"/>
  <c r="M67" i="9" s="1"/>
  <c r="L65" i="9"/>
  <c r="M65" i="9" s="1"/>
  <c r="D15" i="53"/>
  <c r="B31" i="72" s="1"/>
  <c r="C6" i="74"/>
  <c r="C68" i="9"/>
  <c r="D54" i="9" s="1"/>
  <c r="D59" i="9"/>
  <c r="M55" i="9" s="1"/>
  <c r="B30" i="72"/>
  <c r="D14" i="53"/>
  <c r="B32" i="72" s="1"/>
  <c r="C95" i="9"/>
  <c r="C79" i="9"/>
  <c r="D8" i="52"/>
  <c r="D123" i="9"/>
  <c r="D9" i="52" s="1"/>
  <c r="C96" i="9" l="1"/>
  <c r="E96" i="9" s="1"/>
  <c r="E97" i="9" s="1"/>
  <c r="C97" i="9"/>
  <c r="D58" i="9" s="1"/>
  <c r="D56" i="9" s="1"/>
  <c r="M54" i="9" s="1"/>
  <c r="N57" i="9" s="1"/>
  <c r="C80" i="9"/>
  <c r="E80" i="9" s="1"/>
  <c r="E81" i="9" s="1"/>
  <c r="M69" i="9"/>
  <c r="N69"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<sst xmlns="http://schemas.openxmlformats.org/spreadsheetml/2006/main" count="7912" uniqueCount="3486">
  <si>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</si>
  <si>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</si>
  <si>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</si>
  <si>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</si>
  <si>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</si>
  <si>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</si>
  <si>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</si>
  <si>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</si>
  <si>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</si>
  <si>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</si>
  <si>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</si>
  <si>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</si>
  <si>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</si>
  <si>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</si>
  <si>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</si>
  <si>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</si>
  <si>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</si>
  <si>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</si>
  <si>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</si>
  <si>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</si>
  <si>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</si>
  <si>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</si>
  <si>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</si>
  <si>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</si>
  <si>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</si>
  <si>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</si>
  <si>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</si>
  <si>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</si>
  <si>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</si>
  <si>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</si>
  <si>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</si>
  <si>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</si>
  <si>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</si>
  <si>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</si>
  <si>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</si>
  <si>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</si>
  <si>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</si>
  <si>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</si>
  <si>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</si>
  <si>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</si>
  <si>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</si>
  <si>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</si>
  <si>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</si>
  <si>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</si>
  <si>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</si>
  <si>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</si>
  <si>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</si>
  <si>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</si>
  <si>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</si>
  <si>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</si>
  <si>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</si>
  <si>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</si>
  <si>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</si>
  <si>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</si>
  <si>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</si>
  <si>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</si>
  <si>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</si>
  <si>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</si>
  <si>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</si>
  <si>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</si>
  <si>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</si>
  <si>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</si>
  <si>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</si>
  <si>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</si>
  <si>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</si>
  <si>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</si>
  <si>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</si>
  <si>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</si>
  <si>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</si>
  <si>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</si>
  <si>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</si>
  <si>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</si>
  <si>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</si>
  <si>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</si>
  <si>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</si>
  <si>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</si>
  <si>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</si>
  <si>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</si>
  <si>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</si>
  <si>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</si>
  <si>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</si>
  <si>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</si>
  <si>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</si>
  <si>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</si>
  <si>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</si>
  <si>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</si>
  <si>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</si>
  <si>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</si>
  <si>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</si>
  <si>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</si>
  <si>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</si>
  <si>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</si>
  <si>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</si>
  <si>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</si>
  <si>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</si>
  <si>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</si>
  <si>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</si>
  <si>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</si>
  <si>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</si>
  <si>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</si>
  <si>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</si>
  <si>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</si>
  <si>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</si>
  <si>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</si>
  <si>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</si>
  <si>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</si>
  <si>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</si>
  <si>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</si>
  <si>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</si>
  <si>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</si>
  <si>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</si>
  <si>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</si>
  <si>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</si>
  <si>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</si>
  <si>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</si>
  <si>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</si>
  <si>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</si>
  <si>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</si>
  <si>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</si>
  <si>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</si>
  <si>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</si>
  <si>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</si>
  <si>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</si>
  <si>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</si>
  <si>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</si>
  <si>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</si>
  <si>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</si>
  <si>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</si>
  <si>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</si>
  <si>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</si>
  <si>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</si>
  <si>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</si>
  <si>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</si>
  <si>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</si>
  <si>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</si>
  <si>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</si>
  <si>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</si>
  <si>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</si>
  <si>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</si>
  <si>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</si>
  <si>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</si>
  <si>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</si>
  <si>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</si>
  <si>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</si>
  <si>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</si>
  <si>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</si>
  <si>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</si>
  <si>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</si>
  <si>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</si>
  <si>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</si>
  <si>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</si>
  <si>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</si>
  <si>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</si>
  <si>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</si>
  <si>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</si>
  <si>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</si>
  <si>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</si>
  <si>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</si>
  <si>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</si>
  <si>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</si>
  <si>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</si>
  <si>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</si>
  <si>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</si>
  <si>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</si>
  <si>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</si>
  <si>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</si>
  <si>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</si>
  <si>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</si>
  <si>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</si>
  <si>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</si>
  <si>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</si>
  <si>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</si>
  <si>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</si>
  <si>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</si>
  <si>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</si>
  <si>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</si>
  <si>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</si>
  <si>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</si>
  <si>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</si>
  <si>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</si>
  <si>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</si>
  <si>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</si>
  <si>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</si>
  <si>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</si>
  <si>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</si>
  <si>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</si>
  <si>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</si>
  <si>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</si>
  <si>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</si>
  <si>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</si>
  <si>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</si>
  <si>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</si>
  <si>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</si>
  <si>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</si>
  <si>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</si>
  <si>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</si>
  <si>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</si>
  <si>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</si>
  <si>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</si>
  <si>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</si>
  <si>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</si>
  <si>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</si>
  <si>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</si>
  <si>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</si>
  <si>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</si>
  <si>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</si>
  <si>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</si>
  <si>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</si>
  <si>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</si>
  <si>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</si>
  <si>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</si>
  <si>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</si>
  <si>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</si>
  <si>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</si>
  <si>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</si>
  <si>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</si>
  <si>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</si>
  <si>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</si>
  <si>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</si>
  <si>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</si>
  <si>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</si>
  <si>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</si>
  <si>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</si>
  <si>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</si>
  <si>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</si>
  <si>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</si>
  <si>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</si>
  <si>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</si>
  <si>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</si>
  <si>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</si>
  <si>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</si>
  <si>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</si>
  <si>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</si>
  <si>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</si>
  <si>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</si>
  <si>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</si>
  <si>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</si>
  <si>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</si>
  <si>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</si>
  <si>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</si>
  <si>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</si>
  <si>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</si>
  <si>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</si>
  <si>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</si>
  <si>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</si>
  <si>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</si>
  <si>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</si>
  <si>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</si>
  <si>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</si>
  <si>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</si>
  <si>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</si>
  <si>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</si>
  <si>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</si>
  <si>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</si>
  <si>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</si>
  <si>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</si>
  <si>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</si>
  <si>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</si>
  <si>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</si>
  <si>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</si>
  <si>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</si>
  <si>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</si>
  <si>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</si>
  <si>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</si>
  <si>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</si>
  <si>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</si>
  <si>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</si>
  <si>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</si>
  <si>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</si>
  <si>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</si>
  <si>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</si>
  <si>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</si>
  <si>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</si>
  <si>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</si>
  <si>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</si>
  <si>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</si>
  <si>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</si>
  <si>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</si>
  <si>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</si>
  <si>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</si>
  <si>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</si>
  <si>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</si>
  <si>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</si>
  <si>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</si>
  <si>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</si>
  <si>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</si>
  <si>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</si>
  <si>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</si>
  <si>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</si>
  <si>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</si>
  <si>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</si>
  <si>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</si>
  <si>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</si>
  <si>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</si>
  <si>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</si>
  <si>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</si>
  <si>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</si>
  <si>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</si>
  <si>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</si>
  <si>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</si>
  <si>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</si>
  <si>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</si>
  <si>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</si>
  <si>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</si>
  <si>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</si>
  <si>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</si>
  <si>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</si>
  <si>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</si>
  <si>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</si>
  <si>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</si>
  <si>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</si>
  <si>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</si>
  <si>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</si>
  <si>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</si>
  <si>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</si>
  <si>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</si>
  <si>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</si>
  <si>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</si>
  <si>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</si>
  <si>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</si>
  <si>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</si>
  <si>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</si>
  <si>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</si>
  <si>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</si>
  <si>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</si>
  <si>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</si>
  <si>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</si>
  <si>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</si>
  <si>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</si>
  <si>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</si>
  <si>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</si>
  <si>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</si>
  <si>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</si>
  <si>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</si>
  <si>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</si>
  <si>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</si>
  <si>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</si>
  <si>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</si>
  <si>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</si>
  <si>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</si>
  <si>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</si>
  <si>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</si>
  <si>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</si>
  <si>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</si>
  <si>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</si>
  <si>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</si>
  <si>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</si>
  <si>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</si>
  <si>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</si>
  <si>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</si>
  <si>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</si>
  <si>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</si>
  <si>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</si>
  <si>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</si>
  <si>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</si>
  <si>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</si>
  <si>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</si>
  <si>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</si>
  <si>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</si>
  <si>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</si>
  <si>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</si>
  <si>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</si>
  <si>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</si>
  <si>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</si>
  <si>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</si>
  <si>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</si>
  <si>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</si>
  <si>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</si>
  <si>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</si>
  <si>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</si>
  <si>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</si>
  <si>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</si>
  <si>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</si>
  <si>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</si>
  <si>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</si>
  <si>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</si>
  <si>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</si>
  <si>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</si>
  <si>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</si>
  <si>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</si>
  <si>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</si>
  <si>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</si>
  <si>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</si>
  <si>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</si>
  <si>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</si>
  <si>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</si>
  <si>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</si>
  <si>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</si>
  <si>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</si>
  <si>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</si>
  <si>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</si>
  <si>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</si>
  <si>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</si>
  <si>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</si>
  <si>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</si>
  <si>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</si>
  <si>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</si>
  <si>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</si>
  <si>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</si>
  <si>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</si>
  <si>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</si>
  <si>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</si>
  <si>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</si>
  <si>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</si>
  <si>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</si>
  <si>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</si>
  <si>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</si>
  <si>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</si>
  <si>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</si>
  <si>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</si>
  <si>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</si>
  <si>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</si>
  <si>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</si>
  <si>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</si>
  <si>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</si>
  <si>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</si>
  <si>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</si>
  <si>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</si>
  <si>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</si>
  <si>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</si>
  <si>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</si>
  <si>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</si>
  <si>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</si>
  <si>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</si>
  <si>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</si>
  <si>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</si>
  <si>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</si>
  <si>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</si>
  <si>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</si>
  <si>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</si>
  <si>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</si>
  <si>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</si>
  <si>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</si>
  <si>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</si>
  <si>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</si>
  <si>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</si>
  <si>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</si>
  <si>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</si>
  <si>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</si>
  <si>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</si>
  <si>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</si>
  <si>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</si>
  <si>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</si>
  <si>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</si>
  <si>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</si>
  <si>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</si>
  <si>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</si>
  <si>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</si>
  <si>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</si>
  <si>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</si>
  <si>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</si>
  <si>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</si>
  <si>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</si>
  <si>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</si>
  <si>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</si>
  <si>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</si>
  <si>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</si>
  <si>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</si>
  <si>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</si>
  <si>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</si>
  <si>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</si>
  <si>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</si>
  <si>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</si>
  <si>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</si>
  <si>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</si>
  <si>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</si>
  <si>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</si>
  <si>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</si>
  <si>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</si>
  <si>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</si>
  <si>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</si>
  <si>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</si>
  <si>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</si>
  <si>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</si>
  <si>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</si>
  <si>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</si>
  <si>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</si>
  <si>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</si>
  <si>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</si>
  <si>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</si>
  <si>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</si>
  <si>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</si>
  <si>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</si>
  <si>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</si>
  <si>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</si>
  <si>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</si>
  <si>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</si>
  <si>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</si>
  <si>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</si>
  <si>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</si>
  <si>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</si>
  <si>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</si>
  <si>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</si>
  <si>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</si>
  <si>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</si>
  <si>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</si>
  <si>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</si>
  <si>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</si>
  <si>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</si>
  <si>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</si>
  <si>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</si>
  <si>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</si>
  <si>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</si>
  <si>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</si>
  <si>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</si>
  <si>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</si>
  <si>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</si>
  <si>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</si>
  <si>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</si>
  <si>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</si>
  <si>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</si>
  <si>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</si>
  <si>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</si>
  <si>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</si>
  <si>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</si>
  <si>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</si>
  <si>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</si>
  <si>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</si>
  <si>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</si>
  <si>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</si>
  <si>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</si>
  <si>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</si>
  <si>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</si>
  <si>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</si>
  <si>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</si>
  <si>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</si>
  <si>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</si>
  <si>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</si>
  <si>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</si>
  <si>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</si>
  <si>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</si>
  <si>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</si>
  <si>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</si>
  <si>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</si>
  <si>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</si>
  <si>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</si>
  <si>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</si>
  <si>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</si>
  <si>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</si>
  <si>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</si>
  <si>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</si>
  <si>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</si>
  <si>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</si>
  <si>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</si>
  <si>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</si>
  <si>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</si>
  <si>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</si>
  <si>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</si>
  <si>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</si>
  <si>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</si>
  <si>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</si>
  <si>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</si>
  <si>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</si>
  <si>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</si>
  <si>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</si>
  <si>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</si>
  <si>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</si>
  <si>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</si>
  <si>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</si>
  <si>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</si>
  <si>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</si>
  <si>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</si>
  <si>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</si>
  <si>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</si>
  <si>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</si>
  <si>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</si>
  <si>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</si>
  <si>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</si>
  <si>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</si>
  <si>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</si>
  <si>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</si>
  <si>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</si>
  <si>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</si>
  <si>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</si>
  <si>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</si>
  <si>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</si>
  <si>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</si>
  <si>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</si>
  <si>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</si>
  <si>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</si>
  <si>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</si>
  <si>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</si>
  <si>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</si>
  <si>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</si>
  <si>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</si>
  <si>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</si>
  <si>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</si>
  <si>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</si>
  <si>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</si>
  <si>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</si>
  <si>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</si>
  <si>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</si>
  <si>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</si>
  <si>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</si>
  <si>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</si>
  <si>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</si>
  <si>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</si>
  <si>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</si>
  <si>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</si>
  <si>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</si>
  <si>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</si>
  <si>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</si>
  <si>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</si>
  <si>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</si>
  <si>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</si>
  <si>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</si>
  <si>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</si>
  <si>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</si>
  <si>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</si>
  <si>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</si>
  <si>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</si>
  <si>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</si>
  <si>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</si>
  <si>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</si>
  <si>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</si>
  <si>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</si>
  <si>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</si>
  <si>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</si>
  <si>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</si>
  <si>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</si>
  <si>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</si>
  <si>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</si>
  <si>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</si>
  <si>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</si>
  <si>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</si>
  <si>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</si>
  <si>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</si>
  <si>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</si>
  <si>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</si>
  <si>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</si>
  <si>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</si>
  <si>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</si>
  <si>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</si>
  <si>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</si>
  <si>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</si>
  <si>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</si>
  <si>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</si>
  <si>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</si>
  <si>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</si>
  <si>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</si>
  <si>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</si>
  <si>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</si>
  <si>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</si>
  <si>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</si>
  <si>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</si>
  <si>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</si>
  <si>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</si>
  <si>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</si>
  <si>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</si>
  <si>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</si>
  <si>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</si>
  <si>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</si>
  <si>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</si>
  <si>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</si>
  <si>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</si>
  <si>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</si>
  <si>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</si>
  <si>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</si>
  <si>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</si>
  <si>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</si>
  <si>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</si>
  <si>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</si>
  <si>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</si>
  <si>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</si>
  <si>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</si>
  <si>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</si>
  <si>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</si>
  <si>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</si>
  <si>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</si>
  <si>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</si>
  <si>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</si>
  <si>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</si>
  <si>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</si>
  <si>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</si>
  <si>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</si>
  <si>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</si>
  <si>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</si>
  <si>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</si>
  <si>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</si>
  <si>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</si>
  <si>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</si>
  <si>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</si>
  <si>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</si>
  <si>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</si>
  <si>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</si>
  <si>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</si>
  <si>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</si>
  <si>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</si>
  <si>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</si>
  <si>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</si>
  <si>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</si>
  <si>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</si>
  <si>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</si>
  <si>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</si>
  <si>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</si>
  <si>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</si>
  <si>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</si>
  <si>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</si>
  <si>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</si>
  <si>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</si>
  <si>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</si>
  <si>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</si>
  <si>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</si>
  <si>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</si>
  <si>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</si>
  <si>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</si>
  <si>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</si>
  <si>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</si>
  <si>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</si>
  <si>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</si>
  <si>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</si>
  <si>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</si>
  <si>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</si>
  <si>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</si>
  <si>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</si>
  <si>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</si>
  <si>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</si>
  <si>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</si>
  <si>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</si>
  <si>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</si>
  <si>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</si>
  <si>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</si>
  <si>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</si>
  <si>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</si>
  <si>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</si>
  <si>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</si>
  <si>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</si>
  <si>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</si>
  <si>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</si>
  <si>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</si>
  <si>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</si>
  <si>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</si>
  <si>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</si>
  <si>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</si>
  <si>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</si>
  <si>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</si>
  <si>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</si>
  <si>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</si>
  <si>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</si>
  <si>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</si>
  <si>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</si>
  <si>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</si>
  <si>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</si>
  <si>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</si>
  <si>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</si>
  <si>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</si>
  <si>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</si>
  <si>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</si>
  <si>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</si>
  <si>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</si>
  <si>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</si>
  <si>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</si>
  <si>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</si>
  <si>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</si>
  <si>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</si>
  <si>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</si>
  <si>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</si>
  <si>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</si>
  <si>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</si>
  <si>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</si>
  <si>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</si>
  <si>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</si>
  <si>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</si>
  <si>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</si>
  <si>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</si>
  <si>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</si>
  <si>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</si>
  <si>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</si>
  <si>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</si>
  <si>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</si>
  <si>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</si>
  <si>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</si>
  <si>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</si>
  <si>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</si>
  <si>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</si>
  <si>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</si>
  <si>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</si>
  <si>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</si>
  <si>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</si>
  <si>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</si>
  <si>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</si>
  <si>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</si>
  <si>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</si>
  <si>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</si>
  <si>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</si>
  <si>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</si>
  <si>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</si>
  <si>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</si>
  <si>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</si>
  <si>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</si>
  <si>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</si>
  <si>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</si>
  <si>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</si>
  <si>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</si>
  <si>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</si>
  <si>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</si>
  <si>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</si>
  <si>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</si>
  <si>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</si>
  <si>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</si>
  <si>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</si>
  <si>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</si>
  <si>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</si>
  <si>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</si>
  <si>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</si>
  <si>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</si>
  <si>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</si>
  <si>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</si>
  <si>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</si>
  <si>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</si>
  <si>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</si>
  <si>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</si>
  <si>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</si>
  <si>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</si>
  <si>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</si>
  <si>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</si>
  <si>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</si>
  <si>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</si>
  <si>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</si>
  <si>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</si>
  <si>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</si>
  <si>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</si>
  <si>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</si>
  <si>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</si>
  <si>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</si>
  <si>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</si>
  <si>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</si>
  <si>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</si>
  <si>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</si>
  <si>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</si>
  <si>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</si>
  <si>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</si>
  <si>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</si>
  <si>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</si>
  <si>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</si>
  <si>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</si>
  <si>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</si>
  <si>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</si>
  <si>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</si>
  <si>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</si>
  <si>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</si>
  <si>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</si>
  <si>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</si>
  <si>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</si>
  <si>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</si>
  <si>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</si>
  <si>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</si>
  <si>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</si>
  <si>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</si>
  <si>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</si>
  <si>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</si>
  <si>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</si>
  <si>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</si>
  <si>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</si>
  <si>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</si>
  <si>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</si>
  <si>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</si>
  <si>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</si>
  <si>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</si>
  <si>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</si>
  <si>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</si>
  <si>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</si>
  <si>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</si>
  <si>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</si>
  <si>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</si>
  <si>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</si>
  <si>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</si>
  <si>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</si>
  <si>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</si>
  <si>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</si>
  <si>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</si>
  <si>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</si>
  <si>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</si>
  <si>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</si>
  <si>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</si>
  <si>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</si>
  <si>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</si>
  <si>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</si>
  <si>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</si>
  <si>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</si>
  <si>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</si>
  <si>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</si>
  <si>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</si>
  <si>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</si>
  <si>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</si>
  <si>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</si>
  <si>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</si>
  <si>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</si>
  <si>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</si>
  <si>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</si>
  <si>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</si>
  <si>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</si>
  <si>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</si>
  <si>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</si>
  <si>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</si>
  <si>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</si>
  <si>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</si>
  <si>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</si>
  <si>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</si>
  <si>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</si>
  <si>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</si>
  <si>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</si>
  <si>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</si>
  <si>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</si>
  <si>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</si>
  <si>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</si>
  <si>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</si>
  <si>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</si>
  <si>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</si>
  <si>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</si>
  <si>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</si>
  <si>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</si>
  <si>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</si>
  <si>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</si>
  <si>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</si>
  <si>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</si>
  <si>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</si>
  <si>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</si>
  <si>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</si>
  <si>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</si>
  <si>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</si>
  <si>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</si>
  <si>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</si>
  <si>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</si>
  <si>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</si>
  <si>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</si>
  <si>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</si>
  <si>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</si>
  <si>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</si>
  <si>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</si>
  <si>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</si>
  <si>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</si>
  <si>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</si>
  <si>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</si>
  <si>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</si>
  <si>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</si>
  <si>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</si>
  <si>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</si>
  <si>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</si>
  <si>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</si>
  <si>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</si>
  <si>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</si>
  <si>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</si>
  <si>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</si>
  <si>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</si>
  <si>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</si>
  <si>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</si>
  <si>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</si>
  <si>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</si>
  <si>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</si>
  <si>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</si>
  <si>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</si>
  <si>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</si>
  <si>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</si>
  <si>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</si>
  <si>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</si>
  <si>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</si>
  <si>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</si>
  <si>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</si>
  <si>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</si>
  <si>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</si>
  <si>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</si>
  <si>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</si>
  <si>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</si>
  <si>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</si>
  <si>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</si>
  <si>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</si>
  <si>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</si>
  <si>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</si>
  <si>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</si>
  <si>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</si>
  <si>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</si>
  <si>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</si>
  <si>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</si>
  <si>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</si>
  <si>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</si>
  <si>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</si>
  <si>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</si>
  <si>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</si>
  <si>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</si>
  <si>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</si>
  <si>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</si>
  <si>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</si>
  <si>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</si>
  <si>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</si>
  <si>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</si>
  <si>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</si>
  <si>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</si>
  <si>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</si>
  <si>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</si>
  <si>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</si>
  <si>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</si>
  <si>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</si>
  <si>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</si>
  <si>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</si>
  <si>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</si>
  <si>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</si>
  <si>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</si>
  <si>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</si>
  <si>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</si>
  <si>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</si>
  <si>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</si>
  <si>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</si>
  <si>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</si>
  <si>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</si>
  <si>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</si>
  <si>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</si>
  <si>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</si>
  <si>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</si>
  <si>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</si>
  <si>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</si>
  <si>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</si>
  <si>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</si>
  <si>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</si>
  <si>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</si>
  <si>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</si>
  <si>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</si>
  <si>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</si>
  <si>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</si>
  <si>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</si>
  <si>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</si>
  <si>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</si>
  <si>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</si>
  <si>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</si>
  <si>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</si>
  <si>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</si>
  <si>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</si>
  <si>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</si>
  <si>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</si>
  <si>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</si>
  <si>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</si>
  <si>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</si>
  <si>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</si>
  <si>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</si>
  <si>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</si>
  <si>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</si>
  <si>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</si>
  <si>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</si>
  <si>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</si>
  <si>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</si>
  <si>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</si>
  <si>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</si>
  <si>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</si>
  <si>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</si>
  <si>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</si>
  <si>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</si>
  <si>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</si>
  <si>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</si>
  <si>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</si>
  <si>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</si>
  <si>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</si>
  <si>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</si>
  <si>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</si>
  <si>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</si>
  <si>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</si>
  <si>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</si>
  <si>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</si>
  <si>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</si>
  <si>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</si>
  <si>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</si>
  <si>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</si>
  <si>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</si>
  <si>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</si>
  <si>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</si>
  <si>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</si>
  <si>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</si>
  <si>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</si>
  <si>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</si>
  <si>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</si>
  <si>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</si>
  <si>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</si>
  <si>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</si>
  <si>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</si>
  <si>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</si>
  <si>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</si>
  <si>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</si>
  <si>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</si>
  <si>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</si>
  <si>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</si>
  <si>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</si>
  <si>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</si>
  <si>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</si>
  <si>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</si>
  <si>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</si>
  <si>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</si>
  <si>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</si>
  <si>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</si>
  <si>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</si>
  <si>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</si>
  <si>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</si>
  <si>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</si>
  <si>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</si>
  <si>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</si>
  <si>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</si>
  <si>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</si>
  <si>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</si>
  <si>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</si>
  <si>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</si>
  <si>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</si>
  <si>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</si>
  <si>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</si>
  <si>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</si>
  <si>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</si>
  <si>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</si>
  <si>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</si>
  <si>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</si>
  <si>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</si>
  <si>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</si>
  <si>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</si>
  <si>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</si>
  <si>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</si>
  <si>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</si>
  <si>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</si>
  <si>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</si>
  <si>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</si>
  <si>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</si>
  <si>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</si>
  <si>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</si>
  <si>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</si>
  <si>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</si>
  <si>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</si>
  <si>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</si>
  <si>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</si>
  <si>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</si>
  <si>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</si>
  <si>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</si>
  <si>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</si>
  <si>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</si>
  <si>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</si>
  <si>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</si>
  <si>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</si>
  <si>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</si>
  <si>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</si>
  <si>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</si>
  <si>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</si>
  <si>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</si>
  <si>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</si>
  <si>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</si>
  <si>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</si>
  <si>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</si>
  <si>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</si>
  <si>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</si>
  <si>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</si>
  <si>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</si>
  <si>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</si>
  <si>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</si>
  <si>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</si>
  <si>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</si>
  <si>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</si>
  <si>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</si>
  <si>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</si>
  <si>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</si>
  <si>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</si>
  <si>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</si>
  <si>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</si>
  <si>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</si>
  <si>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</si>
  <si>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</si>
  <si>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</si>
  <si>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</si>
  <si>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</si>
  <si>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</si>
  <si>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</si>
  <si>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</si>
  <si>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</si>
  <si>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</si>
  <si>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</si>
  <si>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</si>
  <si>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</si>
  <si>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</si>
  <si>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</si>
  <si>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</si>
  <si>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</si>
  <si>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</si>
  <si>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</si>
  <si>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</si>
  <si>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</si>
  <si>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</si>
  <si>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</si>
  <si>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</si>
  <si>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</si>
  <si>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</si>
  <si>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</si>
  <si>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</si>
  <si>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</si>
  <si>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</si>
  <si>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</si>
  <si>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</si>
  <si>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</si>
  <si>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</si>
  <si>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</si>
  <si>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</si>
  <si>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</si>
  <si>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</si>
  <si>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</si>
  <si>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</si>
  <si>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</si>
  <si>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</si>
  <si>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</si>
  <si>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</si>
  <si>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</si>
  <si>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</si>
  <si>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</si>
  <si>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</si>
  <si>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</si>
  <si>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</si>
  <si>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</si>
  <si>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</si>
  <si>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</si>
  <si>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</si>
  <si>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</si>
  <si>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</si>
  <si>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</si>
  <si>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</si>
  <si>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</si>
  <si>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</si>
  <si>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</si>
  <si>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</si>
  <si>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</si>
  <si>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</si>
  <si>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</si>
  <si>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</si>
  <si>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</si>
  <si>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</si>
  <si>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</si>
  <si>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</si>
  <si>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</si>
  <si>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</si>
  <si>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</si>
  <si>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</si>
  <si>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</si>
  <si>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</si>
  <si>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</si>
  <si>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</si>
  <si>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</si>
  <si>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</si>
  <si>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</si>
  <si>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</si>
  <si>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</si>
  <si>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</si>
  <si>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</si>
  <si>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</si>
  <si>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</si>
  <si>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</si>
  <si>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</si>
  <si>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</si>
  <si>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</si>
  <si>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</si>
  <si>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</si>
  <si>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</si>
  <si>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</si>
  <si>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</si>
  <si>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</si>
  <si>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</si>
  <si>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</si>
  <si>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</si>
  <si>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</si>
  <si>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</si>
  <si>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</si>
  <si>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</si>
  <si>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</si>
  <si>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</si>
  <si>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</si>
  <si>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</si>
  <si>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</si>
  <si>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</si>
  <si>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</si>
  <si>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</si>
  <si>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</si>
  <si>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</si>
  <si>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</si>
  <si>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</si>
  <si>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</si>
  <si>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</si>
  <si>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</si>
  <si>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</si>
  <si>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</si>
  <si>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</si>
  <si>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</si>
  <si>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</si>
  <si>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</si>
  <si>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</si>
  <si>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</si>
  <si>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</si>
  <si>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</si>
  <si>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</si>
  <si>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</si>
  <si>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</si>
  <si>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</si>
  <si>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</si>
  <si>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</si>
  <si>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</si>
  <si>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</si>
  <si>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</si>
  <si>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</si>
  <si>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</si>
  <si>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</si>
  <si>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</si>
  <si>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</si>
  <si>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</si>
  <si>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</si>
  <si>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</si>
  <si>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</si>
  <si>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</si>
  <si>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</si>
  <si>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</si>
  <si>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</si>
  <si>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</si>
  <si>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</si>
  <si>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</si>
  <si>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</si>
  <si>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</si>
  <si>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</si>
  <si>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</si>
  <si>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</si>
  <si>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</si>
  <si>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</si>
  <si>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</si>
  <si>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</si>
  <si>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</si>
  <si>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</si>
  <si>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</si>
  <si>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</si>
  <si>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</si>
  <si>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</si>
  <si>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</si>
  <si>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</si>
  <si>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</si>
  <si>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</si>
  <si>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</si>
  <si>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</si>
  <si>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</si>
  <si>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</si>
  <si>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</si>
  <si>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</si>
  <si>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</si>
  <si>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</si>
  <si>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</si>
  <si>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</si>
  <si>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</si>
  <si>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</si>
  <si>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</si>
  <si>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</si>
  <si>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</si>
  <si>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</si>
  <si>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</si>
  <si>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</si>
  <si>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</si>
  <si>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</si>
  <si>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</si>
  <si>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</si>
  <si>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</si>
  <si>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</si>
  <si>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</si>
  <si>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</si>
  <si>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</si>
  <si>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</si>
  <si>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</si>
  <si>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</si>
  <si>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</si>
  <si>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</si>
  <si>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</si>
  <si>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</si>
  <si>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</si>
  <si>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</si>
  <si>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</si>
  <si>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</si>
  <si>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</si>
  <si>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</si>
  <si>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</si>
  <si>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</si>
  <si>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</si>
  <si>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</si>
  <si>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</si>
  <si>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</si>
  <si>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</si>
  <si>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</si>
  <si>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</si>
  <si>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</si>
  <si>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</si>
  <si>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</si>
  <si>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</si>
  <si>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</si>
  <si>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</si>
  <si>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</si>
  <si>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</si>
  <si>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</si>
  <si>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</si>
  <si>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</si>
  <si>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</si>
  <si>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</si>
  <si>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</si>
  <si>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</si>
  <si>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</si>
  <si>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</si>
  <si>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</si>
  <si>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</si>
  <si>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</si>
  <si>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</si>
  <si>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</si>
  <si>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</si>
  <si>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</si>
  <si>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</si>
  <si>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</si>
  <si>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</si>
  <si>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</si>
  <si>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</si>
  <si>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</si>
  <si>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</si>
  <si>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</si>
  <si>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</si>
  <si>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</si>
  <si>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</si>
  <si>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</si>
  <si>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</si>
  <si>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</si>
  <si>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</si>
  <si>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</si>
  <si>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</si>
  <si>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</si>
  <si>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</si>
  <si>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</si>
  <si>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</si>
  <si>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</si>
  <si>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</si>
  <si>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</si>
  <si>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</si>
  <si>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</si>
  <si>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</si>
  <si>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</si>
  <si>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</si>
  <si>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</si>
  <si>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</si>
  <si>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</si>
  <si>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</si>
  <si>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</si>
  <si>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</si>
  <si>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</si>
  <si>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</si>
  <si>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</si>
  <si>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</si>
  <si>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</si>
  <si>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</si>
  <si>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</si>
  <si>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</si>
  <si>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</si>
  <si>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</si>
  <si>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</si>
  <si>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</si>
  <si>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</si>
  <si>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</si>
  <si>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</si>
  <si>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</si>
  <si>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</si>
  <si>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</si>
  <si>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</si>
  <si>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</si>
  <si>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</si>
  <si>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</si>
  <si>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</si>
  <si>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</si>
  <si>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</si>
  <si>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</si>
  <si>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</si>
  <si>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</si>
  <si>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</si>
  <si>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</si>
  <si>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</si>
  <si>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</si>
  <si>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</si>
  <si>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</si>
  <si>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</si>
  <si>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</si>
  <si>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</si>
  <si>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</si>
  <si>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</si>
  <si>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</si>
  <si>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</si>
  <si>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</si>
  <si>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</si>
  <si>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</si>
  <si>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</si>
  <si>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</si>
  <si>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</si>
  <si>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</si>
  <si>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</si>
  <si>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</si>
  <si>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</si>
  <si>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</si>
  <si>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</si>
  <si>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</si>
  <si>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</si>
  <si>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</si>
  <si>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</si>
  <si>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</si>
  <si>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</si>
  <si>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</si>
  <si>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</si>
  <si>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</si>
  <si>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</si>
  <si>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</si>
  <si>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</si>
  <si>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</si>
  <si>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</si>
  <si>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</si>
  <si>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</si>
  <si>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</si>
  <si>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</si>
  <si>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</si>
  <si>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</si>
  <si>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</si>
  <si>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</si>
  <si>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</si>
  <si>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</si>
  <si>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</si>
  <si>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</si>
  <si>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</si>
  <si>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</si>
  <si>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</si>
  <si>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</si>
  <si>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</si>
  <si>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</si>
  <si>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</si>
  <si>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</si>
  <si>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</si>
  <si>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</si>
  <si>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</si>
  <si>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</si>
  <si>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</si>
  <si>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</si>
  <si>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</si>
  <si>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</si>
  <si>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</si>
  <si>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</si>
  <si>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</si>
  <si>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</si>
  <si>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</si>
  <si>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</si>
  <si>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</si>
  <si>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</si>
  <si>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</si>
  <si>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</si>
  <si>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</si>
  <si>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</si>
  <si>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</si>
  <si>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</si>
  <si>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</si>
  <si>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</si>
  <si>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</si>
  <si>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</si>
  <si>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</si>
  <si>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</si>
  <si>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</si>
  <si>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</si>
  <si>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</si>
  <si>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</si>
  <si>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</si>
  <si>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</si>
  <si>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</si>
  <si>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</si>
  <si>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</si>
  <si>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</si>
  <si>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</si>
  <si>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</si>
  <si>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</si>
  <si>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</si>
  <si>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</si>
  <si>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</si>
  <si>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</si>
  <si>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</si>
  <si>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</si>
  <si>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</si>
  <si>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</si>
  <si>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</si>
  <si>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</si>
  <si>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</si>
  <si>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</si>
  <si>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</si>
  <si>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</si>
  <si>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</si>
  <si>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</si>
  <si>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</si>
  <si>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</si>
  <si>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</si>
  <si>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</si>
  <si>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</si>
  <si>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</si>
  <si>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</si>
  <si>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</si>
  <si>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</si>
  <si>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</si>
  <si>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</si>
  <si>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</si>
  <si>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</si>
  <si>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</si>
  <si>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</si>
  <si>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</si>
  <si>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</si>
  <si>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</si>
  <si>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</si>
  <si>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</si>
  <si>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</si>
  <si>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</si>
  <si>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</si>
  <si>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</si>
  <si>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</si>
  <si>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</si>
  <si>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</si>
  <si>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</si>
  <si>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</si>
  <si>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</si>
  <si>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</si>
  <si>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</si>
  <si>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</si>
  <si>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</si>
  <si>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</si>
  <si>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</si>
  <si>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</si>
  <si>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</si>
  <si>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</si>
  <si>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</si>
  <si>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</si>
  <si>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</si>
  <si>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</si>
  <si>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</si>
  <si>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</si>
  <si>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</si>
  <si>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</si>
  <si>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</si>
  <si>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</si>
  <si>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</si>
  <si>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</si>
  <si>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</si>
  <si>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</si>
  <si>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</si>
  <si>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</si>
  <si>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</si>
  <si>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</si>
  <si>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</si>
  <si>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</si>
  <si>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</si>
  <si>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</si>
  <si>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</si>
  <si>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</si>
  <si>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</si>
  <si>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</si>
  <si>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</si>
  <si>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</si>
  <si>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</si>
  <si>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</si>
  <si>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</si>
  <si>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</si>
  <si>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</si>
  <si>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</si>
  <si>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</si>
  <si>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</si>
  <si>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</si>
  <si>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</si>
  <si>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</si>
  <si>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</si>
  <si>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</si>
  <si>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</si>
  <si>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</si>
  <si>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</si>
  <si>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</si>
  <si>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</si>
  <si>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</si>
  <si>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</si>
  <si>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</si>
  <si>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</si>
  <si>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</si>
  <si>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</si>
  <si>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</si>
  <si>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</si>
  <si>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</si>
  <si>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</si>
  <si>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</si>
  <si>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</si>
  <si>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</si>
  <si>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</si>
  <si>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</si>
  <si>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</si>
  <si>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</si>
  <si>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</si>
  <si>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</si>
  <si>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</si>
  <si>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</si>
  <si>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</si>
  <si>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</si>
  <si>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</si>
  <si>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</si>
  <si>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</si>
  <si>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</si>
  <si>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</si>
  <si>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</si>
  <si>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</si>
  <si>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</si>
  <si>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</si>
  <si>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</si>
  <si>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</si>
  <si>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</si>
  <si>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</si>
  <si>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</si>
  <si>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</si>
  <si>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</si>
  <si>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</si>
  <si>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</si>
  <si>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</si>
  <si>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</si>
  <si>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</si>
  <si>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</si>
  <si>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</si>
  <si>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</si>
  <si>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</si>
  <si>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</si>
  <si>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</si>
  <si>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</si>
  <si>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</si>
  <si>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</si>
  <si>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</si>
  <si>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</si>
  <si>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</si>
  <si>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</si>
  <si>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</si>
  <si>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</si>
  <si>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</si>
  <si>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</si>
  <si>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</si>
  <si>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</si>
  <si>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</si>
  <si>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</si>
  <si>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</si>
  <si>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</si>
  <si>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</si>
  <si>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</si>
  <si>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</si>
  <si>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</si>
  <si>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</si>
  <si>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</si>
  <si>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</si>
  <si>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</si>
  <si>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</si>
  <si>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</si>
  <si>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</si>
  <si>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</si>
  <si>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</si>
  <si>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</si>
  <si>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</si>
  <si>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</si>
  <si>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</si>
  <si>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</si>
  <si>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</si>
  <si>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</si>
  <si>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</si>
  <si>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</si>
  <si>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</si>
  <si>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</si>
  <si>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</si>
  <si>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</si>
  <si>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</si>
  <si>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</si>
  <si>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</si>
  <si>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</si>
  <si>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</si>
  <si>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</si>
  <si>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</si>
  <si>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</si>
  <si>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</si>
  <si>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</si>
  <si>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</si>
  <si>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</si>
  <si>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</si>
  <si>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</si>
  <si>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</si>
  <si>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</si>
  <si>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</si>
  <si>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</si>
  <si>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</si>
  <si>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</si>
  <si>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</si>
  <si>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</si>
  <si>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</si>
  <si>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</si>
  <si>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</si>
  <si>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</si>
  <si>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</si>
  <si>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</si>
  <si>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</si>
  <si>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</si>
  <si>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</si>
  <si>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</si>
  <si>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</si>
  <si>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</si>
  <si>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</si>
  <si>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</si>
  <si>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</si>
  <si>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</si>
  <si>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</si>
  <si>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</si>
  <si>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</si>
  <si>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</si>
  <si>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</si>
  <si>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</si>
  <si>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</si>
  <si>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</si>
  <si>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</si>
  <si>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</si>
  <si>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</si>
  <si>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</si>
  <si>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</si>
  <si>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</si>
  <si>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</si>
  <si>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</si>
  <si>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</si>
  <si>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</si>
  <si>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</si>
  <si>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</si>
  <si>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</si>
  <si>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</si>
  <si>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</si>
  <si>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</si>
  <si>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</si>
  <si>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</si>
  <si>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</si>
  <si>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</si>
  <si>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</si>
  <si>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</si>
  <si>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</si>
  <si>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</si>
  <si>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</si>
  <si>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</si>
  <si>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</si>
  <si>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</si>
  <si>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</si>
  <si>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</si>
  <si>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</si>
  <si>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</si>
  <si>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</si>
  <si>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</si>
  <si>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</si>
  <si>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</si>
  <si>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</si>
  <si>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</si>
  <si>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</si>
  <si>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</si>
  <si>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</si>
  <si>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</si>
  <si>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</si>
  <si>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</si>
  <si>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</si>
  <si>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</si>
  <si>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</si>
  <si>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</si>
  <si>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</si>
  <si>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</si>
  <si>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</si>
  <si>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</si>
  <si>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</si>
  <si>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</si>
  <si>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</si>
  <si>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</si>
  <si>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</si>
  <si>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</si>
  <si>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</si>
  <si>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</si>
  <si>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</si>
  <si>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</si>
  <si>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</si>
  <si>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</si>
  <si>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</si>
  <si>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</si>
  <si>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</si>
  <si>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</si>
  <si>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</si>
  <si>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</si>
  <si>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</si>
  <si>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</si>
  <si>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</si>
  <si>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</si>
  <si>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</si>
  <si>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</si>
  <si>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</si>
  <si>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</si>
  <si>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</si>
  <si>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</si>
  <si>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</si>
  <si>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</si>
  <si>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</si>
  <si>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</si>
  <si>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</si>
  <si>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</si>
  <si>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</si>
  <si>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</si>
  <si>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</si>
  <si>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</si>
  <si>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</si>
  <si>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</si>
  <si>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</si>
  <si>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</si>
  <si>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</si>
  <si>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</si>
  <si>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</si>
  <si>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</si>
  <si>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</si>
  <si>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</si>
  <si>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</si>
  <si>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</si>
  <si>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</si>
  <si>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</si>
  <si>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</si>
  <si>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</si>
  <si>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</si>
  <si>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</si>
  <si>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</si>
  <si>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</si>
  <si>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</si>
  <si>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</si>
  <si>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</si>
  <si>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</si>
  <si>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</si>
  <si>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</si>
  <si>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</si>
  <si>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</si>
  <si>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</si>
  <si>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</si>
  <si>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</si>
  <si>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</si>
  <si>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</si>
  <si>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</si>
  <si>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</si>
  <si>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</si>
  <si>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</si>
  <si>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</si>
  <si>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</si>
  <si>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</si>
  <si>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</si>
  <si>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</si>
  <si>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</si>
  <si>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</si>
  <si>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</si>
  <si>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</si>
  <si>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</si>
  <si>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</si>
  <si>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</si>
  <si>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</si>
  <si>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</si>
  <si>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</si>
  <si>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</si>
  <si>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</si>
  <si>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</si>
  <si>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</si>
  <si>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</si>
  <si>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</si>
  <si>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</si>
  <si>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</si>
  <si>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</si>
  <si>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</si>
  <si>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</si>
  <si>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</si>
  <si>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</si>
  <si>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</si>
  <si>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</si>
  <si>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</si>
  <si>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</si>
  <si>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</si>
  <si>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</si>
  <si>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</si>
  <si>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</si>
  <si>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</si>
  <si>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</si>
  <si>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</si>
  <si>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</si>
  <si>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</si>
  <si>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</si>
  <si>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</si>
  <si>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</si>
  <si>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</si>
  <si>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</si>
  <si>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</si>
  <si>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</si>
  <si>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</si>
  <si>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</si>
  <si>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</si>
  <si>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</si>
  <si>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</si>
  <si>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</si>
  <si>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</si>
  <si>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</si>
  <si>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</si>
  <si>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</si>
  <si>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</si>
  <si>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</si>
  <si>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</si>
  <si>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</si>
  <si>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</si>
  <si>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</si>
  <si>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</si>
  <si>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</si>
  <si>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</si>
  <si>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</si>
  <si>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</si>
  <si>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</si>
  <si>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</si>
  <si>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</si>
  <si>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</si>
  <si>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</si>
  <si>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</si>
  <si>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</si>
  <si>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</si>
  <si>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</si>
  <si>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</si>
  <si>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</si>
  <si>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</si>
  <si>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</si>
  <si>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</si>
  <si>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</si>
  <si>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</si>
  <si>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</si>
  <si>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</si>
  <si>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</si>
  <si>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</si>
  <si>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</si>
  <si>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</si>
  <si>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</si>
  <si>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</si>
  <si>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</si>
  <si>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</si>
  <si>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</si>
  <si>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</si>
  <si>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</si>
  <si>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</si>
  <si>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</si>
  <si>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</si>
  <si>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</si>
  <si>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</si>
  <si>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</si>
  <si>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</si>
  <si>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</si>
  <si>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</si>
  <si>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</si>
  <si>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</si>
  <si>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</si>
  <si>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</si>
  <si>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</si>
  <si>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</si>
  <si>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</si>
  <si>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</si>
  <si>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</si>
  <si>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</si>
  <si>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</si>
  <si>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</si>
  <si>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</si>
  <si>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</si>
  <si>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</si>
  <si>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</si>
  <si>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</si>
  <si>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</si>
  <si>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</si>
  <si>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</si>
  <si>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</si>
  <si>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</si>
  <si>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</si>
  <si>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</si>
  <si>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</si>
  <si>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</si>
  <si>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</si>
  <si>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</si>
  <si>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</si>
  <si>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</si>
  <si>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</si>
  <si>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</si>
  <si>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</si>
  <si>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</si>
  <si>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</si>
  <si>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</si>
  <si>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</si>
  <si>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</si>
  <si>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</si>
  <si>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</si>
  <si>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</si>
  <si>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</si>
  <si>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</si>
  <si>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</si>
  <si>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</si>
  <si>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</si>
  <si>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</si>
  <si>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</si>
  <si>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</si>
  <si>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</si>
  <si>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</si>
  <si>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</si>
  <si>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</si>
  <si>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</si>
  <si>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</si>
  <si>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</si>
  <si>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</si>
  <si>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</si>
  <si>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</si>
  <si>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</si>
  <si>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</si>
  <si>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</si>
  <si>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</si>
  <si>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</si>
  <si>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</si>
  <si>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</si>
  <si>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</si>
  <si>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</si>
  <si>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</si>
  <si>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</si>
  <si>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</si>
  <si>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</si>
  <si>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</si>
  <si>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</si>
  <si>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</si>
  <si>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</si>
  <si>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</si>
  <si>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</si>
  <si>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</si>
  <si>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</si>
  <si>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</si>
  <si>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</si>
  <si>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</si>
  <si>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</si>
  <si>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</si>
  <si>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</si>
  <si>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</si>
  <si>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</si>
  <si>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</si>
  <si>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</si>
  <si>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</si>
  <si>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</si>
  <si>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</si>
  <si>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</si>
  <si>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</si>
  <si>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</si>
  <si>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</si>
  <si>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</si>
  <si>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</si>
  <si>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</si>
  <si>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</si>
  <si>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</si>
  <si>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</si>
  <si>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</si>
  <si>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</si>
  <si>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</si>
  <si>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</si>
  <si>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</si>
  <si>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</si>
  <si>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</si>
  <si>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</si>
  <si>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</si>
  <si>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</si>
  <si>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</si>
  <si>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</si>
  <si>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</si>
  <si>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</si>
  <si>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</si>
  <si>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</si>
  <si>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</si>
  <si>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</si>
  <si>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</si>
  <si>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</si>
  <si>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</si>
  <si>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</si>
  <si>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</si>
  <si>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</si>
  <si>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</si>
  <si>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</si>
  <si>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</si>
  <si>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</si>
  <si>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</si>
  <si>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</si>
  <si>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</si>
  <si>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</si>
  <si>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</si>
  <si>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</si>
  <si>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</si>
  <si>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</si>
  <si>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</si>
  <si>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</si>
  <si>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</si>
  <si>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</si>
  <si>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</si>
  <si>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</si>
  <si>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</si>
  <si>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</si>
  <si>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</si>
  <si>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</si>
  <si>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</si>
  <si>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</si>
  <si>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</si>
  <si>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</si>
  <si>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</si>
  <si>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</si>
  <si>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</si>
  <si>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</si>
  <si>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</si>
  <si>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</si>
  <si>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</si>
  <si>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</si>
  <si>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</si>
  <si>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</si>
  <si>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</si>
  <si>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</si>
  <si>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</si>
  <si>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</si>
  <si>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</si>
  <si>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</si>
  <si>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</si>
  <si>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</si>
  <si>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</si>
  <si>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</si>
  <si>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</si>
  <si>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</si>
  <si>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</si>
  <si>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</si>
  <si>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</si>
  <si>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</si>
  <si>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</si>
  <si>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</si>
  <si>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</si>
  <si>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</si>
  <si>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</si>
  <si>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</si>
  <si>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</si>
  <si>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</si>
  <si>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</si>
  <si>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</si>
  <si>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</si>
  <si>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</si>
  <si>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</si>
  <si>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</si>
  <si>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</si>
  <si>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</si>
  <si>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</si>
  <si>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</si>
  <si>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</si>
  <si>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</si>
  <si>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</si>
  <si>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</si>
  <si>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</si>
  <si>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</si>
  <si>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</si>
  <si>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</si>
  <si>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</si>
  <si>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</si>
  <si>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</si>
  <si>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</si>
  <si>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</si>
  <si>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</si>
  <si>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</si>
  <si>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</si>
  <si>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</si>
  <si>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</si>
  <si>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</si>
  <si>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</si>
  <si>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</si>
  <si>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</si>
  <si>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</si>
  <si>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</si>
  <si>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</si>
  <si>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</si>
  <si>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</si>
  <si>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</si>
  <si>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</si>
  <si>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</si>
  <si>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</si>
  <si>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</si>
  <si>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</si>
  <si>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</si>
  <si>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</si>
  <si>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</si>
  <si>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</si>
  <si>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</si>
  <si>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</si>
  <si>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</si>
  <si>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</si>
  <si>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</si>
  <si>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</si>
  <si>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</si>
  <si>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</si>
  <si>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</si>
  <si>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</si>
  <si>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</si>
  <si>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</si>
  <si>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</si>
  <si>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</si>
  <si>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</si>
  <si>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</si>
  <si>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</si>
  <si>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</si>
  <si>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</si>
  <si>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</si>
  <si>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</si>
  <si>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</si>
  <si>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</si>
  <si>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</si>
  <si>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</si>
  <si>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</si>
  <si>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</si>
  <si>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</si>
  <si>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</si>
  <si>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</si>
  <si>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</si>
  <si>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</si>
  <si>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</si>
  <si>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</si>
  <si>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</si>
  <si>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</si>
  <si>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</si>
  <si>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</si>
  <si>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</si>
  <si>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</si>
  <si>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</si>
  <si>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</si>
  <si>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</si>
  <si>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</si>
  <si>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</si>
  <si>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</si>
  <si>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</si>
  <si>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</si>
  <si>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</si>
  <si>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</si>
  <si>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</si>
  <si>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</si>
  <si>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</si>
  <si>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</si>
  <si>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</si>
  <si>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</si>
  <si>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</si>
  <si>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</si>
  <si>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</si>
  <si>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</si>
  <si>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</si>
  <si>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</si>
  <si>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</si>
  <si>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</si>
  <si>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</si>
  <si>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</si>
  <si>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</si>
  <si>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</si>
  <si>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</si>
  <si>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</si>
  <si>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</si>
  <si>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</si>
  <si>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</si>
  <si>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</si>
  <si>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</si>
  <si>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</si>
  <si>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</si>
  <si>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</si>
  <si>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</si>
  <si>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</si>
  <si>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</si>
  <si>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</si>
  <si>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</si>
  <si>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</si>
  <si>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</si>
  <si>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</si>
  <si>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</si>
  <si>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</si>
  <si>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</si>
  <si>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</si>
  <si>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</si>
  <si>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</si>
  <si>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</si>
  <si>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</si>
  <si>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</si>
  <si>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</si>
  <si>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</si>
  <si>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</si>
  <si>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</si>
  <si>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</si>
  <si>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</si>
  <si>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</si>
  <si>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</si>
  <si>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</si>
  <si>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</si>
  <si>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</si>
  <si>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</si>
  <si>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</si>
  <si>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</si>
  <si>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</si>
  <si>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</si>
  <si>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</si>
  <si>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</si>
  <si>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</si>
  <si>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</si>
  <si>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</si>
  <si>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</si>
  <si>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</si>
  <si>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</si>
  <si>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</si>
  <si>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</si>
  <si>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</si>
  <si>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</si>
  <si>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</si>
  <si>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</si>
  <si>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</si>
  <si>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</si>
  <si>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</si>
  <si>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</si>
  <si>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</si>
  <si>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</si>
  <si>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</si>
  <si>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</si>
  <si>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</si>
  <si>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</si>
  <si>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</si>
  <si>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</si>
  <si>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</si>
  <si>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</si>
  <si>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</si>
  <si>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</si>
  <si>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</si>
  <si>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</si>
  <si>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</si>
  <si>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</si>
  <si>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</si>
  <si>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</si>
  <si>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</si>
  <si>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</si>
  <si>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</si>
  <si>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</si>
  <si>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</si>
  <si>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</si>
  <si>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</si>
  <si>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</si>
  <si>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</si>
  <si>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</si>
  <si>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</si>
  <si>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</si>
  <si>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</si>
  <si>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</si>
  <si>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</si>
  <si>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</si>
  <si>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</si>
  <si>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</si>
  <si>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</si>
  <si>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</si>
  <si>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</si>
  <si>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</si>
  <si>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</si>
  <si>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</si>
  <si>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</si>
  <si>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</si>
  <si>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</si>
  <si>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</si>
  <si>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</si>
  <si>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</si>
  <si>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</si>
  <si>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</si>
  <si>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</si>
  <si>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</si>
  <si>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</si>
  <si>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</si>
  <si>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</si>
  <si>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</si>
  <si>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</si>
  <si>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</si>
  <si>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</si>
  <si>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</si>
  <si>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</si>
  <si>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</si>
  <si>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</si>
  <si>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</si>
  <si>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</si>
  <si>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</si>
  <si>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</si>
  <si>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</si>
  <si>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</si>
  <si>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</si>
  <si>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</si>
  <si>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</si>
  <si>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</si>
  <si>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</si>
  <si>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</si>
  <si>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</si>
  <si>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</si>
  <si>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</si>
  <si>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</si>
  <si>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</si>
  <si>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</si>
  <si>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</si>
  <si>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</si>
  <si>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</si>
  <si>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</si>
  <si>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</si>
  <si>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</si>
  <si>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</si>
  <si>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</si>
  <si>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</si>
  <si>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</si>
  <si>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</si>
  <si>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</si>
  <si>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</si>
  <si>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</si>
  <si>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</si>
  <si>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</si>
  <si>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</si>
  <si>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</si>
  <si>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</si>
  <si>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</si>
  <si>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</si>
  <si>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</si>
  <si>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</si>
  <si>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</si>
  <si>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</si>
  <si>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</si>
  <si>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</si>
  <si>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</si>
  <si>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</si>
  <si>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</si>
  <si>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</si>
  <si>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</si>
  <si>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</si>
  <si>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</si>
  <si>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</si>
  <si>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</si>
  <si>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</si>
  <si>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</si>
  <si>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</si>
  <si>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</si>
  <si>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</si>
  <si>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</si>
  <si>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</si>
  <si>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</si>
  <si>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</si>
  <si>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</si>
  <si>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</si>
  <si>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</si>
  <si>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</si>
  <si>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</si>
  <si>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</si>
  <si>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</si>
  <si>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</si>
  <si>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</si>
  <si>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</si>
  <si>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</si>
  <si>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</si>
  <si>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</si>
  <si>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</si>
  <si>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</si>
  <si>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</si>
  <si>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</si>
  <si>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</si>
  <si>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</si>
  <si>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</si>
  <si>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</si>
  <si>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</si>
  <si>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</si>
  <si>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</si>
  <si>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</si>
  <si>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</si>
  <si>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</si>
  <si>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</si>
  <si>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</si>
  <si>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</si>
  <si>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</si>
  <si>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</si>
  <si>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</si>
  <si>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</si>
  <si>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</si>
  <si>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</si>
  <si>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</si>
  <si>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</si>
  <si>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</si>
  <si>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</si>
  <si>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</si>
  <si>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</si>
  <si>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</si>
  <si>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</si>
  <si>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</si>
  <si>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</si>
  <si>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</si>
  <si>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</si>
  <si>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</si>
  <si>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</si>
  <si>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</si>
  <si>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</si>
  <si>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</si>
  <si>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</si>
  <si>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</si>
  <si>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</si>
  <si>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</si>
  <si>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</si>
  <si>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</si>
  <si>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</si>
  <si>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</si>
  <si>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</si>
  <si>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</si>
  <si>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</si>
  <si>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</si>
  <si>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</si>
  <si>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</si>
  <si>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</si>
  <si>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</si>
  <si>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</si>
  <si>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</si>
  <si>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</si>
  <si>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</si>
  <si>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</si>
  <si>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</si>
  <si>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</si>
  <si>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</si>
  <si>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</si>
  <si>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</si>
  <si>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</si>
  <si>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</si>
  <si>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</si>
  <si>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</si>
  <si>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</si>
  <si>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</si>
  <si>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</si>
  <si>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</si>
  <si>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</si>
  <si>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</si>
  <si>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</si>
  <si>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</si>
  <si>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</si>
  <si>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</si>
  <si>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</si>
  <si>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</si>
  <si>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</si>
  <si>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</si>
  <si>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</si>
  <si>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</si>
  <si>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</si>
  <si>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</si>
  <si>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</si>
  <si>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</si>
  <si>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</si>
  <si>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</si>
  <si>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</si>
  <si>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</si>
  <si>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</si>
  <si>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</si>
  <si>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</si>
  <si>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</si>
  <si>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</si>
  <si>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</si>
  <si>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</si>
  <si>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</si>
  <si>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</si>
  <si>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</si>
  <si>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</si>
  <si>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</si>
  <si>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</si>
  <si>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</si>
  <si>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</si>
  <si>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</si>
  <si>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</si>
  <si>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</si>
  <si>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</si>
  <si>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</si>
  <si>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</si>
  <si>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</si>
  <si>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</si>
  <si>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</si>
  <si>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</si>
  <si>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</si>
  <si>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</si>
  <si>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</si>
  <si>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</si>
  <si>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</si>
  <si>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</si>
  <si>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</si>
  <si>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</si>
  <si>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</si>
  <si>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</si>
  <si>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</si>
  <si>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</si>
  <si>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</si>
  <si>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</si>
  <si>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</si>
  <si>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</si>
  <si>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</si>
  <si>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</si>
  <si>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</si>
  <si>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</si>
  <si>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</si>
  <si>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</si>
  <si>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</si>
  <si>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</si>
  <si>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</si>
  <si>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</si>
  <si>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</si>
  <si>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</si>
  <si>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</si>
  <si>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</si>
  <si>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</si>
  <si>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</si>
  <si>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</si>
  <si>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</si>
  <si>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</si>
  <si>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</si>
  <si>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</si>
  <si>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</si>
  <si>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</si>
  <si>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</si>
  <si>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</si>
  <si>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</si>
  <si>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</si>
  <si>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</si>
  <si>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</si>
  <si>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</si>
  <si>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</si>
  <si>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</si>
  <si>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</si>
  <si>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</si>
  <si>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</si>
  <si>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</si>
  <si>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</si>
  <si>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</si>
  <si>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</si>
  <si>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</si>
  <si>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</si>
  <si>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</si>
  <si>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</si>
  <si>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</si>
  <si>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</si>
  <si>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</si>
  <si>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</si>
  <si>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</si>
  <si>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</si>
  <si>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</si>
  <si>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</si>
  <si>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</si>
  <si>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</si>
  <si>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</si>
  <si>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</si>
  <si>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</si>
  <si>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</si>
  <si>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</si>
  <si>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</si>
  <si>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</si>
  <si>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</si>
  <si>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</si>
  <si>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</si>
  <si>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</si>
  <si>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</si>
  <si>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</si>
  <si>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</si>
  <si>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</si>
  <si>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</si>
  <si>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</si>
  <si>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</si>
  <si>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</si>
  <si>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</si>
  <si>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</si>
  <si>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</si>
  <si>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</si>
  <si>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</si>
  <si>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</si>
  <si>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</si>
  <si>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</si>
  <si>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</si>
  <si>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</si>
  <si>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</si>
  <si>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</si>
  <si>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</si>
  <si>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</si>
  <si>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</si>
  <si>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</si>
  <si>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</si>
  <si>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</si>
  <si>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</si>
  <si>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</si>
  <si>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</si>
  <si>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</si>
  <si>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</si>
  <si>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</si>
  <si>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</si>
  <si>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</si>
  <si>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</si>
  <si>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</si>
  <si>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</si>
  <si>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</si>
  <si>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</si>
  <si>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</si>
  <si>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</si>
  <si>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</si>
  <si>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</si>
  <si>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</si>
  <si>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</si>
  <si>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</si>
  <si>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</si>
  <si>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</si>
  <si>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</si>
  <si>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</si>
  <si>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</si>
  <si>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</si>
  <si>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</si>
  <si>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</si>
  <si>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</si>
  <si>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</si>
  <si>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</si>
  <si>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</si>
  <si>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</si>
  <si>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</si>
  <si>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</si>
  <si>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</si>
  <si>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</si>
  <si>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</si>
  <si>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</si>
  <si>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</si>
  <si>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</si>
  <si>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</si>
  <si>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</si>
  <si>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</si>
  <si>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</si>
  <si>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</si>
  <si>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</si>
  <si>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</si>
  <si>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</si>
  <si>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</si>
  <si>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</si>
  <si>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</si>
  <si>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</si>
  <si>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</si>
  <si>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</si>
  <si>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</si>
  <si>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</si>
  <si>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</si>
  <si>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</si>
  <si>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</si>
  <si>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</si>
  <si>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</si>
  <si>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</si>
  <si>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</si>
  <si>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</si>
  <si>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</si>
  <si>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</si>
  <si>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</si>
  <si>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</si>
  <si>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</si>
  <si>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</si>
  <si>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</si>
  <si>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</si>
  <si>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</si>
  <si>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</si>
  <si>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</si>
  <si>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</si>
  <si>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</si>
  <si>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</si>
  <si>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</si>
  <si>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</si>
  <si>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</si>
  <si>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</si>
  <si>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</si>
  <si>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</si>
  <si>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</si>
  <si>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</si>
  <si>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</si>
  <si>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</si>
  <si>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</si>
  <si>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</si>
  <si>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</si>
  <si>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</si>
  <si>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</si>
  <si>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</si>
  <si>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</si>
  <si>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</si>
  <si>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</si>
  <si>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</si>
  <si>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</si>
  <si>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</si>
  <si>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</si>
  <si>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</si>
  <si>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</si>
  <si>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</si>
  <si>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</si>
  <si>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</si>
  <si>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</si>
  <si>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</si>
  <si>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</si>
  <si>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</si>
  <si>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</si>
  <si>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</si>
  <si>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</si>
  <si>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</si>
  <si>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</si>
  <si>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</si>
  <si>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</si>
  <si>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</si>
  <si>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</si>
  <si>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</si>
  <si>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</si>
  <si>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</si>
  <si>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</si>
  <si>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</si>
  <si>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</si>
  <si>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</si>
  <si>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</si>
  <si>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</si>
  <si>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</si>
  <si>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</si>
  <si>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</si>
  <si>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</si>
  <si>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</si>
  <si>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</si>
  <si>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</si>
  <si>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</si>
  <si>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</si>
  <si>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</si>
  <si>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</si>
  <si>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</si>
  <si>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</si>
  <si>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</si>
  <si>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</si>
  <si>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</si>
  <si>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</si>
  <si>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</si>
  <si>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</si>
  <si>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</si>
  <si>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</si>
  <si>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</si>
  <si>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</si>
  <si>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</si>
  <si>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</si>
  <si>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</si>
  <si>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</si>
  <si>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</si>
  <si>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</si>
  <si>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</si>
  <si>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</si>
  <si>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</si>
  <si>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</si>
  <si>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</si>
  <si>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</si>
  <si>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</si>
  <si>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</si>
  <si>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</si>
  <si>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</si>
  <si>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</si>
  <si>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</si>
  <si>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</si>
  <si>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</si>
  <si>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</si>
  <si>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</si>
  <si>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</si>
  <si>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</si>
  <si>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</si>
  <si>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</si>
  <si>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</si>
  <si>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</si>
  <si>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</si>
  <si>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</si>
  <si>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</si>
  <si>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</si>
  <si>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</si>
  <si>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</si>
  <si>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</si>
  <si>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</si>
  <si>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</si>
  <si>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</si>
  <si>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</si>
  <si>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</si>
  <si>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</si>
  <si>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</si>
  <si>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</si>
  <si>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</si>
  <si>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</si>
  <si>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</si>
  <si>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</si>
  <si>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</si>
  <si>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</si>
  <si>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</si>
  <si>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</si>
  <si>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</si>
  <si>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</si>
  <si>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</si>
  <si>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</si>
  <si>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</si>
  <si>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</si>
  <si>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</si>
  <si>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</si>
  <si>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</si>
  <si>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</si>
  <si>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</si>
  <si>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</si>
  <si>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</si>
  <si>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</si>
  <si>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</si>
  <si>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</si>
  <si>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</si>
  <si>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</si>
  <si>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</si>
  <si>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</si>
  <si>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</si>
  <si>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</si>
  <si>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</si>
  <si>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</si>
  <si>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</si>
  <si>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</si>
  <si>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</si>
  <si>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</si>
  <si>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</si>
  <si>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</si>
  <si>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</si>
  <si>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</si>
  <si>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</si>
  <si>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</si>
  <si>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</si>
  <si>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</si>
  <si>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</si>
  <si>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</si>
  <si>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</si>
  <si>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</si>
  <si>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</si>
  <si>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</si>
  <si>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</si>
  <si>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</si>
  <si>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</si>
  <si>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</si>
  <si>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</si>
  <si>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</si>
  <si>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</si>
  <si>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</si>
  <si>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</si>
  <si>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</si>
  <si>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</si>
  <si>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</si>
  <si>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</si>
  <si>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</si>
  <si>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</si>
  <si>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</si>
  <si>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</si>
  <si>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</si>
  <si>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</si>
  <si>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</si>
  <si>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</si>
  <si>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</si>
  <si>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</si>
  <si>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</si>
  <si>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</si>
  <si>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</si>
  <si>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</si>
  <si>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</si>
  <si>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</si>
  <si>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</si>
  <si>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</si>
  <si>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</si>
  <si>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</si>
  <si>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</si>
  <si>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</si>
  <si>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</si>
  <si>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</si>
  <si>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</si>
  <si>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</si>
  <si>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</si>
  <si>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</si>
  <si>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</si>
  <si>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</si>
  <si>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</si>
  <si>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</si>
  <si>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</si>
  <si>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</si>
  <si>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</si>
  <si>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</si>
  <si>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</si>
  <si>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</si>
  <si>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</si>
  <si>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</si>
  <si>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</si>
  <si>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</si>
  <si>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</si>
  <si>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</si>
  <si>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</si>
  <si>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</si>
  <si>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</si>
  <si>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</si>
  <si>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</si>
  <si>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</si>
  <si>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</si>
  <si>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</si>
  <si>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</si>
  <si>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</si>
  <si>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</si>
  <si>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</si>
  <si>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</si>
  <si>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</si>
  <si>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</si>
  <si>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</si>
  <si>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</si>
  <si>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</si>
  <si>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</si>
  <si>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</si>
  <si>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</si>
  <si>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</si>
  <si>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</si>
  <si>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</si>
  <si>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</si>
  <si>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</si>
  <si>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</si>
  <si>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</si>
  <si>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</si>
  <si>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</si>
  <si>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</si>
  <si>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</si>
  <si>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</si>
  <si>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</si>
  <si>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</si>
  <si>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</si>
  <si>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</si>
  <si>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</si>
  <si>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</si>
  <si>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</si>
  <si>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</si>
  <si>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</si>
  <si>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</si>
  <si>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</si>
  <si>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</si>
  <si>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</si>
  <si>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</si>
  <si>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</si>
  <si>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</si>
  <si>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</si>
  <si>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</si>
  <si>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</si>
  <si>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</si>
  <si>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</si>
  <si>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</si>
  <si>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</si>
  <si>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</si>
  <si>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</si>
  <si>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</si>
  <si>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</si>
  <si>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</si>
  <si>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</si>
  <si>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</si>
  <si>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</si>
  <si>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</si>
  <si>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</si>
  <si>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</si>
  <si>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</si>
  <si>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</si>
  <si>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</si>
  <si>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</si>
  <si>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</si>
  <si>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</si>
  <si>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</si>
  <si>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</si>
  <si>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</si>
  <si>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</si>
  <si>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</si>
  <si>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</si>
  <si>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</si>
  <si>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</si>
  <si>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</si>
  <si>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</si>
  <si>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</si>
  <si>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</si>
  <si>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</si>
  <si>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</si>
  <si>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</si>
  <si>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</si>
  <si>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</si>
  <si>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</si>
  <si>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</si>
  <si>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</si>
  <si>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</si>
  <si>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</si>
  <si>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</si>
  <si>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</si>
  <si>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</si>
  <si>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</si>
  <si>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</si>
  <si>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</si>
  <si>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</si>
  <si>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</si>
  <si>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</si>
  <si>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</si>
  <si>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</si>
  <si>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</si>
  <si>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</si>
  <si>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</si>
  <si>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</si>
  <si>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</si>
  <si>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</si>
  <si>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</si>
  <si>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</si>
  <si>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</si>
  <si>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</si>
  <si>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</si>
  <si>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</si>
  <si>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</si>
  <si>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</si>
  <si>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</si>
  <si>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</si>
  <si>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</si>
  <si>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</si>
  <si>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</si>
  <si>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</si>
  <si>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</si>
  <si>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</si>
  <si>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</si>
  <si>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</si>
  <si>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</si>
  <si>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</si>
  <si>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</si>
  <si>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</si>
  <si>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</si>
  <si>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</si>
  <si>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</si>
  <si>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</si>
  <si>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</si>
  <si>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</si>
  <si>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</si>
  <si>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</si>
  <si>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</si>
  <si>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</si>
  <si>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</si>
  <si>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</si>
  <si>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</si>
  <si>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</si>
  <si>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</si>
  <si>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</si>
  <si>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</si>
  <si>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</si>
  <si>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</si>
  <si>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</si>
  <si>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</si>
  <si>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</si>
  <si>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</si>
  <si>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</si>
  <si>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</si>
  <si>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</si>
  <si>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</si>
  <si>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</si>
  <si>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</si>
  <si>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</si>
  <si>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</si>
  <si>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</si>
  <si>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</si>
  <si>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</si>
  <si>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</si>
  <si>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</si>
  <si>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</si>
  <si>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</si>
  <si>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</si>
  <si>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</si>
  <si>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</si>
  <si>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</si>
  <si>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</si>
  <si>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</si>
  <si>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</si>
  <si>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</si>
  <si>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</si>
  <si>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</si>
  <si>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</si>
  <si>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</si>
  <si>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</si>
  <si>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</si>
  <si>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</si>
  <si>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</si>
  <si>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</si>
  <si>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</si>
  <si>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</si>
  <si>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</si>
  <si>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</si>
  <si>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</si>
  <si>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</si>
  <si>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</si>
  <si>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</si>
  <si>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</si>
  <si>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</si>
  <si>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</si>
  <si>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</si>
  <si>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</si>
  <si>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</si>
  <si>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</si>
  <si>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</si>
  <si>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</si>
  <si>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</si>
  <si>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</si>
  <si>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</si>
  <si>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</si>
  <si>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</si>
  <si>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</si>
  <si>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</si>
  <si>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</si>
  <si>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</si>
  <si>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</si>
  <si>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</si>
  <si>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</si>
  <si>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</si>
  <si>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</si>
  <si>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</si>
  <si>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</si>
  <si>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</si>
  <si>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</si>
  <si>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</si>
  <si>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</si>
  <si>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</si>
  <si>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</si>
  <si>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</si>
  <si>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</si>
  <si>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</si>
  <si>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</si>
  <si>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</si>
  <si>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</si>
  <si>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</si>
  <si>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</si>
  <si>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</si>
  <si>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</si>
  <si>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</si>
  <si>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</si>
  <si>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</si>
  <si>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</si>
  <si>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</si>
  <si>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</si>
  <si>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</si>
  <si>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</si>
  <si>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</si>
  <si>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</si>
  <si>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</si>
  <si>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</si>
  <si>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</si>
  <si>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</si>
  <si>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</si>
  <si>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</si>
  <si>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</si>
  <si>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</si>
  <si>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</si>
  <si>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</si>
  <si>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</si>
  <si>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</si>
  <si>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</si>
  <si>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</si>
  <si>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</si>
  <si>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</si>
  <si>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</si>
  <si>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</si>
  <si>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</si>
  <si>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</si>
  <si>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</si>
  <si>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</si>
  <si>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</si>
  <si>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</si>
  <si>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</si>
  <si>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</si>
  <si>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</si>
  <si>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</si>
  <si>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</si>
  <si>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</si>
  <si>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</si>
  <si>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</si>
  <si>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</si>
  <si>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</si>
  <si>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</si>
  <si>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</si>
  <si>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</si>
  <si>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</si>
  <si>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</si>
  <si>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</si>
  <si>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</si>
  <si>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</si>
  <si>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</si>
  <si>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</si>
  <si>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</si>
  <si>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</si>
  <si>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</si>
  <si>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</si>
  <si>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</si>
  <si>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</si>
  <si>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</si>
  <si>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</si>
  <si>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</si>
  <si>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</si>
  <si>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</si>
  <si>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</si>
  <si>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</si>
  <si>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</si>
  <si>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</si>
  <si>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</si>
  <si>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</si>
  <si>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</si>
  <si>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</si>
  <si>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</si>
  <si>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</si>
  <si>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</si>
  <si>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</si>
  <si>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</si>
  <si>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</si>
  <si>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</si>
  <si>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</si>
  <si>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</si>
  <si>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</si>
  <si>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</si>
  <si>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</si>
  <si>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</si>
  <si>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</si>
  <si>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</si>
  <si>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</si>
  <si>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</si>
  <si>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</si>
  <si>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</si>
  <si>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</si>
  <si>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</si>
  <si>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</si>
  <si>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</si>
  <si>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</si>
  <si>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</si>
  <si>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</si>
  <si>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</si>
  <si>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</si>
  <si>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</si>
  <si>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</si>
  <si>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</si>
  <si>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</si>
  <si>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</si>
  <si>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</si>
  <si>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</si>
  <si>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</si>
  <si>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</si>
  <si>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A栋</t>
    <phoneticPr fontId="134" type="noConversion"/>
  </si>
  <si>
    <t>B栋</t>
    <phoneticPr fontId="134" type="noConversion"/>
  </si>
  <si>
    <t>C栋</t>
    <phoneticPr fontId="134" type="noConversion"/>
  </si>
  <si>
    <t>D栋</t>
    <phoneticPr fontId="134" type="noConversion"/>
  </si>
  <si>
    <t>1层</t>
    <phoneticPr fontId="134" type="noConversion"/>
  </si>
  <si>
    <t>2层</t>
    <phoneticPr fontId="134" type="noConversion"/>
  </si>
  <si>
    <t>3层</t>
  </si>
  <si>
    <t>4层</t>
  </si>
  <si>
    <t>5层</t>
  </si>
  <si>
    <t>6层</t>
  </si>
  <si>
    <t>7层</t>
  </si>
  <si>
    <t>8层</t>
  </si>
  <si>
    <t>附属用房</t>
    <phoneticPr fontId="134" type="noConversion"/>
  </si>
  <si>
    <t>9层</t>
  </si>
  <si>
    <t>10层</t>
  </si>
  <si>
    <t>11层</t>
  </si>
  <si>
    <t>12层</t>
  </si>
  <si>
    <t>13层</t>
  </si>
  <si>
    <t>14层</t>
  </si>
  <si>
    <t>15层</t>
  </si>
  <si>
    <t>多功能配套</t>
    <phoneticPr fontId="134" type="noConversion"/>
  </si>
  <si>
    <t>地下1层</t>
    <phoneticPr fontId="134" type="noConversion"/>
  </si>
  <si>
    <t>地下2层</t>
    <phoneticPr fontId="134" type="noConversion"/>
  </si>
  <si>
    <t>地下车库</t>
    <phoneticPr fontId="134" type="noConversion"/>
  </si>
  <si>
    <t>人防面积</t>
    <phoneticPr fontId="134" type="noConversion"/>
  </si>
  <si>
    <t>地下总面积</t>
    <phoneticPr fontId="134" type="noConversion"/>
  </si>
  <si>
    <t>楼层</t>
    <phoneticPr fontId="134" type="noConversion"/>
  </si>
  <si>
    <t>地下2层人防</t>
    <phoneticPr fontId="134" type="noConversion"/>
  </si>
  <si>
    <t>地下2层人防通道</t>
    <phoneticPr fontId="134" type="noConversion"/>
  </si>
  <si>
    <t>地下1层人防通道</t>
    <phoneticPr fontId="134" type="noConversion"/>
  </si>
  <si>
    <t>1层人防室外口及通道</t>
    <phoneticPr fontId="134" type="noConversion"/>
  </si>
  <si>
    <t>Ⅵ-BDA东</t>
  </si>
  <si>
    <t>是</t>
  </si>
  <si>
    <t>地上</t>
  </si>
  <si>
    <t>办公楼</t>
  </si>
  <si>
    <t>地下</t>
  </si>
  <si>
    <t>经海六路9号院</t>
  </si>
  <si>
    <t>经海六路9号院</t>
    <phoneticPr fontId="7" type="noConversion"/>
  </si>
  <si>
    <t>不动产权证面积</t>
    <phoneticPr fontId="134"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</si>
  <si>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</si>
  <si>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</si>
  <si>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</si>
  <si>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</si>
  <si>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</si>
  <si>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外部</t>
    <phoneticPr fontId="3" type="noConversion"/>
  </si>
  <si>
    <t>成新度</t>
  </si>
  <si>
    <t>收益法</t>
  </si>
  <si>
    <t>押一</t>
  </si>
  <si>
    <t>钢混</t>
  </si>
  <si>
    <t>非生产用房</t>
  </si>
  <si>
    <t>否</t>
  </si>
  <si>
    <t>M4科研用地</t>
  </si>
  <si>
    <t>估价对象容积率</t>
  </si>
  <si>
    <t>不临65条商业街</t>
  </si>
  <si>
    <t>通路</t>
  </si>
  <si>
    <t>通电</t>
  </si>
  <si>
    <t>通讯</t>
  </si>
  <si>
    <t>通上水</t>
  </si>
  <si>
    <t>通下水</t>
  </si>
  <si>
    <t>平整</t>
  </si>
  <si>
    <t>好</t>
  </si>
  <si>
    <t>较好</t>
  </si>
  <si>
    <t>一般</t>
  </si>
  <si>
    <t>较差</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</si>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</sst>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0" applyFont="1" applyAlignment="1">
      <alignment horizontal="left" vertical="center"/>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估价对象为北京市房地产，为所有。根据《国有土地使用证》[]，估价对象（分摊）出让国有建设用地使用权面积为23080.7平方米，建筑面积为71810.27平方米。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估价对象为北京市房地产,属开发建设的，该项目尚在开发建设中。根据《国有土地使用证》[]，估价对象（分摊）出让国有建设用地使用权面积为23080.7平方米，规划建筑面积为71810.27平方米。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72356</v>
      </c>
    </row>
    <row r="21" spans="1:2">
      <c r="A21" s="1119" t="s">
        <v>537</v>
      </c>
      <c r="B21" s="1120">
        <f ca="1">'预评函-2'!D7</f>
        <v>10076</v>
      </c>
    </row>
    <row r="22" spans="1:2">
      <c r="A22" s="1119" t="s">
        <v>538</v>
      </c>
      <c r="B22" s="1120" t="str">
        <f ca="1">'预评函-2'!D6</f>
        <v>柒亿贰仟叁佰伍拾陆万元整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72356</v>
      </c>
    </row>
    <row r="31" spans="1:2">
      <c r="A31" s="1119" t="s">
        <v>576</v>
      </c>
      <c r="B31" s="1120">
        <f ca="1">'预评函-2'!D15</f>
        <v>10076</v>
      </c>
    </row>
    <row r="32" spans="1:2">
      <c r="A32" s="1119" t="s">
        <v>543</v>
      </c>
      <c r="B32" s="1120" t="str">
        <f ca="1">'预评函-2'!D14</f>
        <v>柒亿贰仟叁佰伍拾陆万元整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71810.27</v>
      </c>
    </row>
    <row r="44" spans="1:2">
      <c r="A44" s="1119" t="s">
        <v>575</v>
      </c>
      <c r="B44" s="1120" t="str">
        <f>'预评函-3'!C2</f>
        <v>(分摊)土地面积</v>
      </c>
    </row>
    <row r="45" spans="1:2">
      <c r="A45" s="1119" t="s">
        <v>547</v>
      </c>
      <c r="B45" s="1120">
        <f>'预评函-3'!C4</f>
        <v>23080.7</v>
      </c>
    </row>
    <row r="46" spans="1:2">
      <c r="A46" s="1119" t="s">
        <v>573</v>
      </c>
      <c r="B46" s="1120" t="str">
        <f>'预评函-3'!D2</f>
        <v>出让国有建设用地使用权价值</v>
      </c>
    </row>
    <row r="47" spans="1:2">
      <c r="A47" s="1119" t="s">
        <v>548</v>
      </c>
      <c r="B47" s="1120">
        <f ca="1">'预评函-3'!D4</f>
        <v>30534</v>
      </c>
    </row>
    <row r="48" spans="1:2">
      <c r="A48" s="1119" t="s">
        <v>549</v>
      </c>
      <c r="B48" s="1120">
        <f ca="1">'预评函-3'!E4</f>
        <v>4252</v>
      </c>
    </row>
    <row r="49" spans="1:2">
      <c r="A49" s="1119" t="s">
        <v>550</v>
      </c>
      <c r="B49" s="1120" t="str">
        <f ca="1">'预评函-3'!D5</f>
        <v>叁亿零伍佰叁拾肆万元整</v>
      </c>
    </row>
    <row r="50" spans="1:2">
      <c r="A50" s="1119" t="s">
        <v>574</v>
      </c>
      <c r="B50" s="1120" t="str">
        <f>'预评函-3'!F2</f>
        <v>在建建筑物价值</v>
      </c>
    </row>
    <row r="51" spans="1:2">
      <c r="A51" s="1119" t="s">
        <v>551</v>
      </c>
      <c r="B51" s="1120">
        <f ca="1">'预评函-3'!F4</f>
        <v>41822</v>
      </c>
    </row>
    <row r="52" spans="1:2">
      <c r="A52" s="1119" t="s">
        <v>552</v>
      </c>
      <c r="B52" s="1120">
        <f ca="1">'预评函-3'!G4</f>
        <v>5824</v>
      </c>
    </row>
    <row r="53" spans="1:2">
      <c r="A53" s="1119" t="s">
        <v>580</v>
      </c>
      <c r="B53" s="1120" t="str">
        <f ca="1">'预评函-3'!F5</f>
        <v>肆亿壹仟捌佰贰拾贰万元整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45828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08"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09"/>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f>H13</f>
        <v>58424</v>
      </c>
      <c r="G13" s="803"/>
      <c r="H13" s="803">
        <v>58424</v>
      </c>
      <c r="I13" s="803">
        <f>H13</f>
        <v>58424</v>
      </c>
      <c r="J13" s="2803"/>
      <c r="K13" s="2399"/>
      <c r="L13" s="2399"/>
      <c r="M13" s="2245"/>
      <c r="N13" s="1670"/>
      <c r="O13" s="2245"/>
      <c r="P13" s="2245"/>
      <c r="Q13" s="2245"/>
      <c r="AD13" s="1618"/>
    </row>
    <row r="14" spans="1:30">
      <c r="A14" s="1018"/>
      <c r="B14" s="2218" t="s">
        <v>2191</v>
      </c>
      <c r="C14" s="2219"/>
      <c r="D14" s="2219"/>
      <c r="E14" s="2219"/>
      <c r="F14" s="2219">
        <v>50</v>
      </c>
      <c r="G14" s="2219"/>
      <c r="H14" s="2219">
        <v>50</v>
      </c>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f>IF(A13="出让",IF(F13="","",ROUNDDOWN(MIN((F13-$D$3)/365,F14),2)),F14)</f>
        <v>34.5</v>
      </c>
      <c r="G15" s="2221" t="str">
        <f>IF(A13="出让",IF(G13="","",ROUNDDOWN(MIN((G13-$D$3)/365,G14),2)),G14)</f>
        <v/>
      </c>
      <c r="H15" s="2221">
        <f>IF(A13="出让",IF(H13="","",ROUNDDOWN(MIN((H13-$D$3)/365,H14),2)),H14)</f>
        <v>34.5</v>
      </c>
      <c r="I15" s="2221">
        <f>IF(A13="出让",IF(I13="","",ROUNDDOWN(MIN((I13-$D$3)/365,I14),2)),I14)</f>
        <v>34.5</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71810.27</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23080.7</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t="s">
        <v>29</v>
      </c>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3447</v>
      </c>
      <c r="F38" s="2238" t="s">
        <v>3447</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23080.7</v>
      </c>
      <c r="B3" s="11">
        <f>IF(C3="否",G5-AT5,G5)</f>
        <v>71810.27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71810.27</v>
      </c>
      <c r="H5" s="13">
        <f t="shared" ref="H5:AT5" si="0">SUM(H13:H656)</f>
        <v>71810.27</v>
      </c>
      <c r="I5" s="13">
        <f t="shared" si="0"/>
        <v>57731.839999999989</v>
      </c>
      <c r="J5" s="13">
        <f t="shared" si="0"/>
        <v>0</v>
      </c>
      <c r="K5" s="13">
        <f t="shared" si="0"/>
        <v>14078.430000000015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71810.27</v>
      </c>
      <c r="BA5" s="15">
        <f t="shared" si="1"/>
        <v>71810.27</v>
      </c>
      <c r="BB5" s="15">
        <f t="shared" si="1"/>
        <v>57731.839999999989</v>
      </c>
      <c r="BC5" s="15">
        <f t="shared" si="1"/>
        <v>14078.430000000015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23080.7</v>
      </c>
      <c r="F6" s="13" t="s">
        <v>0</v>
      </c>
      <c r="G6" s="13" t="s">
        <v>1</v>
      </c>
      <c r="H6" s="17">
        <f>SUMIF(I$12:AB$12,"总值",I6:AB6)</f>
        <v>23080.7</v>
      </c>
      <c r="I6" s="13">
        <f t="shared" ref="I6:AB6" si="2">ROUND($A$3*I5/$B$3,2)</f>
        <v>18555.72</v>
      </c>
      <c r="J6" s="13">
        <f t="shared" si="2"/>
        <v>0</v>
      </c>
      <c r="K6" s="13">
        <f t="shared" si="2"/>
        <v>4524.9799999999996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23080.7</v>
      </c>
      <c r="AZ6" s="13" t="s">
        <v>2</v>
      </c>
      <c r="BA6" s="13">
        <f>ROUND($AY$6*BA5/$AZ$5,2)</f>
        <v>23080.7</v>
      </c>
      <c r="BB6" s="13">
        <f>ROUND($AY$6*BB5/$AZ$5,2)</f>
        <v>18555.72</v>
      </c>
      <c r="BC6" s="13">
        <f t="shared" ref="BC6:BH6" si="4">ROUND($AY$6*BC5/$AZ$5,2)</f>
        <v>4524.9799999999996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3449</v>
      </c>
      <c r="J9" s="761"/>
      <c r="K9" s="1491" t="s">
        <v>3451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3450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3448</v>
      </c>
      <c r="E13" s="13">
        <f>IF($C$3="是",ROUND($A$3*G13/$B$3,2),ROUND($A$3*(G13-AT13)/$B$3,2))</f>
        <v>23080.7</v>
      </c>
      <c r="F13" s="29"/>
      <c r="G13" s="30">
        <f>H13+AC13+AT13</f>
        <v>71810.27</v>
      </c>
      <c r="H13" s="17">
        <f>SUMIF(I$12:AB$12,"总值",I13:AB13)</f>
        <v>71810.27</v>
      </c>
      <c r="I13" s="1514">
        <f>实测面积清单!C22+实测面积清单!D22+实测面积清单!E22+实测面积清单!F22+实测面积清单!G22</f>
        <v>57731.839999999989</v>
      </c>
      <c r="J13" s="1514"/>
      <c r="K13" s="1514">
        <f>实测面积清单!L5-'数据-基础表'!I13</f>
        <v>14078.430000000015</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23080.7</v>
      </c>
      <c r="AZ13" s="13">
        <f>BA13+BL13</f>
        <v>71810.27</v>
      </c>
      <c r="BA13" s="13">
        <f>SUM(BB13:BK13)</f>
        <v>71810.27</v>
      </c>
      <c r="BB13" s="13">
        <f>IF($D13="是",I13-J13,0)</f>
        <v>57731.839999999989</v>
      </c>
      <c r="BC13" s="13">
        <f>IF($D13="是",K13-L13,0)</f>
        <v>14078.430000000015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23080.7</v>
      </c>
      <c r="E3" s="41">
        <f>'数据-基础表'!AZ5</f>
        <v>71810.27</v>
      </c>
      <c r="F3" s="2439"/>
      <c r="G3" s="42"/>
      <c r="H3" s="43" t="s">
        <v>1106</v>
      </c>
      <c r="I3" s="802">
        <f>ROUND('数据-基础表'!B3/'数据-基础表'!A3,2)</f>
        <v>3.11</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2.5</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3.11</v>
      </c>
      <c r="J5" s="2439"/>
      <c r="K5" s="2439"/>
      <c r="L5" s="2439"/>
      <c r="M5" s="2439"/>
      <c r="N5" s="2439"/>
      <c r="O5" s="2439"/>
      <c r="P5" s="2439"/>
    </row>
    <row r="6" spans="1:16" ht="15" thickBot="1">
      <c r="A6" s="1527"/>
      <c r="B6" s="3248" t="s">
        <v>1111</v>
      </c>
      <c r="C6" s="3248"/>
      <c r="D6" s="43">
        <f>ROUND($D$3*E6/$E$3,2)</f>
        <v>23080.7</v>
      </c>
      <c r="E6" s="44">
        <f>E3-E5</f>
        <v>71810.27</v>
      </c>
      <c r="F6" s="2439"/>
      <c r="G6" s="1529" t="s">
        <v>1112</v>
      </c>
      <c r="H6" s="45" t="s">
        <v>1113</v>
      </c>
      <c r="I6" s="2435">
        <f>ROUND(F31/D31,2)</f>
        <v>2.5</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18555.72</v>
      </c>
      <c r="E8" s="46">
        <f>SUMIF('数据-基础表'!BB10:BK10,"地上",'数据-基础表'!BB5:BK5)</f>
        <v>57731.839999999989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4524.9799999999996</v>
      </c>
      <c r="E13" s="46">
        <f>SUMPRODUCT(('数据-基础表'!BB10:BK10="地下")*('数据-基础表'!BB11:BK11="车库")*('数据-基础表'!BB5:BK5))</f>
        <v>14078.430000000015</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23080.7</v>
      </c>
      <c r="E16" s="48">
        <f>SUM(E8:E15)</f>
        <v>71810.27</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3453</v>
      </c>
      <c r="D19" s="43">
        <f>ROUND($D$3*E19/$E$3,2)</f>
        <v>23080.7</v>
      </c>
      <c r="E19" s="51">
        <f t="shared" ref="E19:E26" si="1">SUM(F19:G19)</f>
        <v>71810.27</v>
      </c>
      <c r="F19" s="2558">
        <f>'数据-基础表'!I13</f>
        <v>57731.839999999989</v>
      </c>
      <c r="G19" s="1243">
        <f>'数据-基础表'!K13</f>
        <v>14078.430000000015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23080.7</v>
      </c>
      <c r="S19" s="51">
        <f t="shared" si="5"/>
        <v>71810.27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23080.7</v>
      </c>
      <c r="E27" s="1073">
        <f>IF(SUM(E19:E26)='数据-基础表'!BA5,SUM(E19:E26),IF(F27="地上面积有误","面积有误","地下面积有误"))</f>
        <v>71810.27</v>
      </c>
      <c r="F27" s="1072">
        <f>IF(SUM(F19:F26)=E8,SUM(F19:F26),"地上面积有误")</f>
        <v>57731.839999999989</v>
      </c>
      <c r="G27" s="1074">
        <f>SUM(G19:G26)</f>
        <v>14078.430000000015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23080.7</v>
      </c>
      <c r="S27" s="43">
        <f>IF(SUM(S19:S26)=$E$3,SUM(S19:S26),SUM(S19:S26)&amp;"误差"&amp;ROUND(SUM(S19:S26)-E3,2))</f>
        <v>71810.27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23080.7</v>
      </c>
      <c r="E31" s="643">
        <f>E27+E30</f>
        <v>71810.27</v>
      </c>
      <c r="F31" s="644">
        <f>F27+F30</f>
        <v>57731.839999999989</v>
      </c>
      <c r="G31" s="645">
        <f>G27+G30</f>
        <v>14078.430000000015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经海六路9号院</v>
      </c>
      <c r="B6" s="1587" t="str">
        <f>IF(A6=0,"","经营性")</f>
        <v>经营性</v>
      </c>
      <c r="C6" s="1588" t="s">
        <v>3</v>
      </c>
      <c r="D6" s="805">
        <f>SUMIF(项目基本情况!C$12:I$12,C6,项目基本情况!C$14:I$14)</f>
        <v>50</v>
      </c>
      <c r="E6" s="804">
        <f>IF(B6="","",SUMIF(项目基本情况!C$12:I$12,C6,项目基本情况!C$13:I$13))</f>
        <v>58424</v>
      </c>
      <c r="F6" s="61">
        <f>SUMIF(项目基本情况!C$12:I$12,C6,项目基本情况!C$15:I$15)</f>
        <v>34.5</v>
      </c>
      <c r="G6" s="62">
        <f>IF(ISERROR(ROUND(POWER(1+H6,D6-F6)*(POWER(1+H6,F6)-1)/(POWER(1+H6,D6)-1),3)),0,ROUND(POWER(1+H6,D6-F6)*(POWER(1+H6,F6)-1)/(POWER(1+H6,D6)-1),3))</f>
        <v>0.89200000000000002</v>
      </c>
      <c r="H6" s="691">
        <v>0.05</v>
      </c>
      <c r="I6" s="691">
        <v>5.5E-2</v>
      </c>
      <c r="J6" s="63">
        <v>7.0000000000000007E-2</v>
      </c>
      <c r="K6" s="970">
        <f>SUMIF('数据-汇总表'!C$19:C$33,A6,'数据-汇总表'!E$19:E$33)</f>
        <v>71810.27</v>
      </c>
      <c r="L6" s="692">
        <v>5000</v>
      </c>
      <c r="M6" s="64">
        <f t="shared" ref="M6:M14" si="0">ROUND(K6*L6/10000,0)</f>
        <v>35905</v>
      </c>
      <c r="N6" s="690">
        <v>0.88</v>
      </c>
      <c r="O6" s="64" t="str">
        <f>IF($N$5="成新度","——",ROUND(M6*N6,0))</f>
        <v>——</v>
      </c>
      <c r="P6" s="65" t="str">
        <f>IF($N$5="成新度","——",M6-O6)</f>
        <v>——</v>
      </c>
      <c r="Q6" s="693">
        <v>0.15</v>
      </c>
      <c r="R6" s="66">
        <f ca="1">SUMIF('数据-汇总表'!C$19:C$33,A6,'数据-汇总表'!R$19:R$27)</f>
        <v>23080.7</v>
      </c>
      <c r="S6" s="49">
        <f>IF('数据-汇总表'!$I$17="按面积比例",SUMIF('数据-汇总表'!C$19:C$33,A6,'数据-汇总表'!K$19:K$33),SUMIF('数据-汇总表'!C$19:C$33,A6,'数据-汇总表'!N$19:N$33))</f>
        <v>0</v>
      </c>
      <c r="T6" s="1092">
        <f>ROUND($L$14*S6/10000,0)</f>
        <v>0</v>
      </c>
      <c r="U6" s="3127">
        <v>2.2000000000000002</v>
      </c>
      <c r="V6" s="67">
        <v>0.02</v>
      </c>
      <c r="W6" s="67">
        <v>0.1</v>
      </c>
      <c r="X6" s="979"/>
      <c r="Y6" s="68">
        <f>N6</f>
        <v>0.88</v>
      </c>
      <c r="Z6" s="69"/>
      <c r="AA6" s="63"/>
      <c r="AB6" s="63"/>
      <c r="AC6" s="979"/>
      <c r="AD6" s="70"/>
      <c r="AE6" s="980">
        <f ca="1">IF(AN6="",0,SUMIF(INDIRECT("'"&amp;AN6&amp;"'"&amp;"!E:E"),$AE$5,INDIRECT("'"&amp;AN6&amp;"'"&amp;"!F:F")))</f>
        <v>34.5</v>
      </c>
      <c r="AF6" s="74"/>
      <c r="AG6" s="130">
        <f>IF(AF6="",0,AE6-AF6)</f>
        <v>0</v>
      </c>
      <c r="AH6" s="71">
        <f>'数据-汇总表'!F31</f>
        <v>57731.839999999989</v>
      </c>
      <c r="AI6" s="73">
        <v>365</v>
      </c>
      <c r="AJ6" s="74"/>
      <c r="AK6" s="75">
        <v>3.0000000000000001E-3</v>
      </c>
      <c r="AL6" s="76">
        <v>1E-3</v>
      </c>
      <c r="AM6" s="77">
        <v>5.0000000000000001E-3</v>
      </c>
      <c r="AN6" s="1589" t="s">
        <v>3462</v>
      </c>
      <c r="AO6" s="50">
        <f ca="1">SUMIF(INDIRECT("'"&amp;AN6&amp;"'"&amp;"!A:A"),"总价",INDIRECT("'"&amp;AN6&amp;"'"&amp;"!B:B"))</f>
        <v>65694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0.89200000000000002</v>
      </c>
      <c r="H16" s="84">
        <f>ROUND(SUMPRODUCT(H6:H13,K6:K13)/SUMPRODUCT((H6:H13&gt;0)*(K6:K13)),3)</f>
        <v>0.05</v>
      </c>
      <c r="I16" s="85"/>
      <c r="J16" s="85"/>
      <c r="K16" s="86">
        <f>SUM(K6:K15)</f>
        <v>71810.27</v>
      </c>
      <c r="L16" s="87">
        <f>ROUND(M16*10000/SUM(K6:K14),0)</f>
        <v>5000</v>
      </c>
      <c r="M16" s="87">
        <f>SUM(M6:M14)</f>
        <v>35905</v>
      </c>
      <c r="N16" s="88">
        <f>ROUND(SUMPRODUCT(M6:M14,N6:N14)/M16,3)</f>
        <v>0.88</v>
      </c>
      <c r="O16" s="87">
        <f>SUM(O6:O14)</f>
        <v>0</v>
      </c>
      <c r="P16" s="87">
        <f>SUM(P6:P14)</f>
        <v>0</v>
      </c>
      <c r="Q16" s="89">
        <f>ROUND(SUMPRODUCT(Q6:Q13,K6:K13)/SUMPRODUCT((Q6:Q13&gt;0)*(K6:K13)),2)</f>
        <v>0.15</v>
      </c>
      <c r="R16" s="974">
        <f ca="1">SUM(R6:R13)</f>
        <v>23080.7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3499" t="s">
        <v>3455</v>
      </c>
      <c r="K19" s="2450"/>
      <c r="L19" s="2450">
        <f>ROUND((K20*L20+K21*L21)/K16,0)</f>
        <v>2892</v>
      </c>
      <c r="M19" s="2449"/>
      <c r="N19" s="2449">
        <f>1-(2025-N18)/60</f>
        <v>0.8833333333333333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3500" t="s">
        <v>3456</v>
      </c>
      <c r="K20" s="2450">
        <f>'数据-基础表'!I13</f>
        <v>57731.839999999989</v>
      </c>
      <c r="L20" s="2450">
        <v>2500</v>
      </c>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3500" t="s">
        <v>3457</v>
      </c>
      <c r="K21" s="2450">
        <f>'数据-基础表'!K13</f>
        <v>14078.430000000015</v>
      </c>
      <c r="L21" s="2450">
        <v>4500</v>
      </c>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3499" t="s">
        <v>3458</v>
      </c>
      <c r="K22" s="2450"/>
      <c r="L22" s="2450">
        <v>500</v>
      </c>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3499" t="s">
        <v>3459</v>
      </c>
      <c r="K23" s="2450"/>
      <c r="L23" s="2450">
        <v>1000</v>
      </c>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3499" t="s">
        <v>3460</v>
      </c>
      <c r="K24" s="3501">
        <v>0.03</v>
      </c>
      <c r="L24" s="2450">
        <f>ROUND((L19+L22+L23)*K24,0)</f>
        <v>132</v>
      </c>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f>L19+L22+L23+L24</f>
        <v>4524</v>
      </c>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1436</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94B17-9611-4889-B7CA-99652A8326AC}">
  <dimension ref="B3:L30"/>
  <sheetViews>
    <sheetView workbookViewId="0">
      <selection activeCell="K28" sqref="K28"/>
    </sheetView>
  </sheetViews>
  <sheetFormatPr defaultRowHeight="14.25"/>
  <cols>
    <col min="1" max="16384" width="9" style="3498"/>
  </cols>
  <sheetData>
    <row r="3" spans="2:12">
      <c r="B3" s="3498" t="s">
        <v>3442</v>
      </c>
      <c r="C3" s="3498" t="s">
        <v>3416</v>
      </c>
      <c r="D3" s="3498" t="s">
        <v>3417</v>
      </c>
      <c r="E3" s="3498" t="s">
        <v>3418</v>
      </c>
      <c r="F3" s="3498" t="s">
        <v>3419</v>
      </c>
      <c r="G3" s="3498" t="s">
        <v>3436</v>
      </c>
      <c r="H3" s="3498" t="s">
        <v>3439</v>
      </c>
      <c r="I3" s="3498" t="s">
        <v>3440</v>
      </c>
      <c r="J3" s="3498" t="s">
        <v>3441</v>
      </c>
    </row>
    <row r="4" spans="2:12">
      <c r="B4" s="3498" t="s">
        <v>3420</v>
      </c>
      <c r="C4" s="3498">
        <v>1541.94</v>
      </c>
      <c r="D4" s="3498">
        <v>669.42</v>
      </c>
      <c r="E4" s="3498">
        <v>663.8</v>
      </c>
      <c r="F4" s="3498">
        <v>1535.61</v>
      </c>
      <c r="G4" s="3498">
        <v>5481.35</v>
      </c>
      <c r="L4" s="3498" t="s">
        <v>3454</v>
      </c>
    </row>
    <row r="5" spans="2:12">
      <c r="B5" s="3498" t="s">
        <v>3421</v>
      </c>
      <c r="C5" s="3498">
        <v>1427.36</v>
      </c>
      <c r="D5" s="3498">
        <v>3199.42</v>
      </c>
      <c r="E5" s="3498">
        <v>3193.24</v>
      </c>
      <c r="F5" s="3498">
        <v>1427.04</v>
      </c>
      <c r="L5" s="3498">
        <v>71810.27</v>
      </c>
    </row>
    <row r="6" spans="2:12">
      <c r="B6" s="3498" t="s">
        <v>3422</v>
      </c>
      <c r="C6" s="3498">
        <v>1316.78</v>
      </c>
      <c r="D6" s="3498">
        <v>2915.34</v>
      </c>
      <c r="E6" s="3498">
        <v>2907.36</v>
      </c>
      <c r="F6" s="3498">
        <v>1316.52</v>
      </c>
    </row>
    <row r="7" spans="2:12">
      <c r="B7" s="3498" t="s">
        <v>3423</v>
      </c>
      <c r="C7" s="3498">
        <v>710.76</v>
      </c>
      <c r="D7" s="3498">
        <v>926.72</v>
      </c>
      <c r="E7" s="3498">
        <v>926.72</v>
      </c>
      <c r="F7" s="3498">
        <v>710.76</v>
      </c>
    </row>
    <row r="8" spans="2:12">
      <c r="B8" s="3498" t="s">
        <v>3424</v>
      </c>
      <c r="C8" s="3498">
        <v>710.76</v>
      </c>
      <c r="D8" s="3498">
        <v>926.72</v>
      </c>
      <c r="E8" s="3498">
        <v>926.72</v>
      </c>
      <c r="F8" s="3498">
        <v>710.76</v>
      </c>
    </row>
    <row r="9" spans="2:12">
      <c r="B9" s="3498" t="s">
        <v>3425</v>
      </c>
      <c r="C9" s="3498">
        <v>710.76</v>
      </c>
      <c r="D9" s="3498">
        <v>926.72</v>
      </c>
      <c r="E9" s="3498">
        <v>926.72</v>
      </c>
      <c r="F9" s="3498">
        <v>710.76</v>
      </c>
    </row>
    <row r="10" spans="2:12">
      <c r="B10" s="3498" t="s">
        <v>3426</v>
      </c>
      <c r="C10" s="3498">
        <v>710.76</v>
      </c>
      <c r="D10" s="3498">
        <v>926.72</v>
      </c>
      <c r="E10" s="3498">
        <v>926.72</v>
      </c>
      <c r="F10" s="3498">
        <v>710.76</v>
      </c>
    </row>
    <row r="11" spans="2:12">
      <c r="B11" s="3498" t="s">
        <v>3427</v>
      </c>
      <c r="C11" s="3498">
        <v>710.76</v>
      </c>
      <c r="D11" s="3498">
        <v>926.72</v>
      </c>
      <c r="E11" s="3498">
        <v>926.72</v>
      </c>
      <c r="F11" s="3498">
        <v>710.76</v>
      </c>
    </row>
    <row r="12" spans="2:12">
      <c r="B12" s="3498" t="s">
        <v>3429</v>
      </c>
      <c r="D12" s="3498">
        <v>926.72</v>
      </c>
      <c r="E12" s="3498">
        <v>926.72</v>
      </c>
    </row>
    <row r="13" spans="2:12">
      <c r="B13" s="3498" t="s">
        <v>3430</v>
      </c>
      <c r="D13" s="3498">
        <v>926.72</v>
      </c>
      <c r="E13" s="3498">
        <v>926.72</v>
      </c>
    </row>
    <row r="14" spans="2:12">
      <c r="B14" s="3498" t="s">
        <v>3431</v>
      </c>
      <c r="D14" s="3498">
        <v>926.72</v>
      </c>
      <c r="E14" s="3498">
        <v>926.72</v>
      </c>
    </row>
    <row r="15" spans="2:12">
      <c r="B15" s="3498" t="s">
        <v>3432</v>
      </c>
      <c r="D15" s="3498">
        <v>926.72</v>
      </c>
      <c r="E15" s="3498">
        <v>926.72</v>
      </c>
    </row>
    <row r="16" spans="2:12">
      <c r="B16" s="3498" t="s">
        <v>3433</v>
      </c>
      <c r="D16" s="3498">
        <v>926.72</v>
      </c>
      <c r="E16" s="3498">
        <v>926.72</v>
      </c>
    </row>
    <row r="17" spans="2:10">
      <c r="B17" s="3498" t="s">
        <v>3434</v>
      </c>
      <c r="D17" s="3498">
        <v>926.72</v>
      </c>
      <c r="E17" s="3498">
        <v>926.72</v>
      </c>
    </row>
    <row r="18" spans="2:10">
      <c r="B18" s="3498" t="s">
        <v>3435</v>
      </c>
      <c r="D18" s="3498">
        <v>926.72</v>
      </c>
      <c r="E18" s="3498">
        <v>926.72</v>
      </c>
    </row>
    <row r="19" spans="2:10">
      <c r="B19" s="3498" t="s">
        <v>3428</v>
      </c>
      <c r="C19" s="3498">
        <v>110.07</v>
      </c>
      <c r="D19" s="3498">
        <v>166.23</v>
      </c>
      <c r="E19" s="3498">
        <v>166.23</v>
      </c>
      <c r="F19" s="3498">
        <v>110.07</v>
      </c>
      <c r="G19" s="3498">
        <v>235.18</v>
      </c>
    </row>
    <row r="20" spans="2:10">
      <c r="B20" s="3498" t="s">
        <v>3437</v>
      </c>
      <c r="H20" s="3498">
        <f>J20-I20</f>
        <v>8793.380000000001</v>
      </c>
      <c r="I20" s="3498">
        <v>26.8</v>
      </c>
      <c r="J20" s="3498">
        <v>8820.18</v>
      </c>
    </row>
    <row r="21" spans="2:10">
      <c r="B21" s="3498" t="s">
        <v>3438</v>
      </c>
      <c r="H21" s="3498">
        <f>J21-I21</f>
        <v>5466.65</v>
      </c>
      <c r="I21" s="3498">
        <v>3392.25</v>
      </c>
      <c r="J21" s="3498">
        <v>8858.9</v>
      </c>
    </row>
    <row r="22" spans="2:10">
      <c r="B22" s="3498" t="s">
        <v>2592</v>
      </c>
      <c r="C22" s="3498">
        <f t="shared" ref="C22:G22" si="0">SUM(C4:C21)</f>
        <v>7949.9500000000007</v>
      </c>
      <c r="D22" s="3498">
        <f t="shared" si="0"/>
        <v>18071.049999999996</v>
      </c>
      <c r="E22" s="3498">
        <f t="shared" si="0"/>
        <v>18051.269999999997</v>
      </c>
      <c r="F22" s="3498">
        <f t="shared" si="0"/>
        <v>7943.0400000000009</v>
      </c>
      <c r="G22" s="3498">
        <f t="shared" si="0"/>
        <v>5716.5300000000007</v>
      </c>
      <c r="H22" s="3498">
        <f>SUM(H4:H21)</f>
        <v>14260.03</v>
      </c>
      <c r="I22" s="3498">
        <f t="shared" ref="I22:J22" si="1">SUM(I4:I21)</f>
        <v>3419.05</v>
      </c>
      <c r="J22" s="3498">
        <f t="shared" si="1"/>
        <v>17679.080000000002</v>
      </c>
    </row>
    <row r="26" spans="2:10">
      <c r="H26" s="3498" t="s">
        <v>3443</v>
      </c>
      <c r="I26" s="3498">
        <v>3350.76</v>
      </c>
    </row>
    <row r="27" spans="2:10">
      <c r="H27" s="3498" t="s">
        <v>3444</v>
      </c>
      <c r="I27" s="3498">
        <f>I21-I26</f>
        <v>41.489999999999782</v>
      </c>
    </row>
    <row r="28" spans="2:10">
      <c r="H28" s="3498" t="s">
        <v>3445</v>
      </c>
      <c r="I28" s="3498">
        <v>26.8</v>
      </c>
    </row>
    <row r="29" spans="2:10">
      <c r="H29" s="3498" t="s">
        <v>3446</v>
      </c>
      <c r="I29" s="3498">
        <v>101.77</v>
      </c>
    </row>
    <row r="30" spans="2:10">
      <c r="I30" s="3498">
        <f>I26+I27+I28+I29</f>
        <v>3520.82</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4" sqref="F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71810.27</v>
      </c>
      <c r="C1" s="2462"/>
      <c r="D1" s="2462"/>
      <c r="E1" s="2462"/>
      <c r="F1" s="2462"/>
      <c r="G1" s="2463"/>
      <c r="H1" s="2463"/>
      <c r="I1" s="2463"/>
      <c r="J1" s="2463"/>
      <c r="K1" s="2463"/>
    </row>
    <row r="2" spans="1:11" ht="16.5">
      <c r="A2" s="2300" t="s">
        <v>653</v>
      </c>
      <c r="B2" s="2300">
        <f>SUM(C14:C23)</f>
        <v>23080.7</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72356</v>
      </c>
      <c r="C5" s="2300">
        <f ca="1">IF(B5=D14,结果表!H102,ROUND(B5*10000/$B$1,0))</f>
        <v>10076</v>
      </c>
      <c r="D5" s="2300">
        <f ca="1">ROUND(B5*10000/$B$2,0)</f>
        <v>31349</v>
      </c>
      <c r="E5" s="2462"/>
      <c r="F5" s="2463"/>
      <c r="G5" s="2463"/>
      <c r="H5" s="2463"/>
      <c r="I5" s="2463"/>
      <c r="J5" s="2463"/>
      <c r="K5" s="2463"/>
    </row>
    <row r="6" spans="1:11" ht="16.5">
      <c r="A6" s="2300" t="s">
        <v>656</v>
      </c>
      <c r="B6" s="2300">
        <f ca="1">SUM(G14:G23)</f>
        <v>72356</v>
      </c>
      <c r="C6" s="2300">
        <f ca="1">IF(B6=G14,结果表!H108,ROUND(B6*10000/$B$1,0))</f>
        <v>10076</v>
      </c>
      <c r="D6" s="2300">
        <f ca="1">ROUND(B6*10000/$B$2,0)</f>
        <v>31349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71810.27</v>
      </c>
      <c r="C14" s="2306">
        <f>'数据-汇总表'!D31</f>
        <v>23080.7</v>
      </c>
      <c r="D14" s="2306">
        <f ca="1">结果表!G19</f>
        <v>72356</v>
      </c>
      <c r="E14" s="2306">
        <f ca="1">ROUND(D14*10000/B14,0)</f>
        <v>10076</v>
      </c>
      <c r="F14" s="2306">
        <f ca="1">ROUND(D14*10000/C14,0)</f>
        <v>31349</v>
      </c>
      <c r="G14" s="2306">
        <f ca="1">D14</f>
        <v>72356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30" sqref="E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3483</v>
      </c>
      <c r="D4" s="1626" t="s">
        <v>3462</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5</v>
      </c>
      <c r="D14" s="3312">
        <v>5</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3" t="s">
        <v>2131</v>
      </c>
      <c r="F18" s="3344"/>
      <c r="G18" s="3344"/>
      <c r="H18" s="3344"/>
      <c r="I18" s="3344"/>
      <c r="K18" s="294" t="s">
        <v>1289</v>
      </c>
      <c r="L18" s="294">
        <f>IF(C1="",'数据-汇总表'!E3,SUMIF(项目类型,C1,'数据-汇总表'!E17:E26)+SUMIF(项目类型,C1,'数据-汇总表'!I17:I26))</f>
        <v>71810.27</v>
      </c>
      <c r="M18" s="294">
        <f>IF(C1="",'数据-汇总表'!E3,SUMIF(项目类型,C1,'数据-汇总表'!E17:E26))</f>
        <v>71810.27</v>
      </c>
    </row>
    <row r="19" spans="1:36" ht="15">
      <c r="A19" s="1630" t="s">
        <v>1290</v>
      </c>
      <c r="B19" s="1631" t="s">
        <v>1291</v>
      </c>
      <c r="C19" s="126">
        <f ca="1">SUMIF(INDIRECT("'"&amp;C4&amp;"'"&amp;"!A:A"),结果表!B19,INDIRECT("'"&amp;C4&amp;"'"&amp;"!B:B"))</f>
        <v>79018</v>
      </c>
      <c r="D19" s="127">
        <f ca="1">SUMIF(INDIRECT("'"&amp;D4&amp;"'"&amp;"!A:A"),结果表!B19,INDIRECT("'"&amp;D4&amp;"'"&amp;"!B:B"))</f>
        <v>65694</v>
      </c>
      <c r="E19" s="1630" t="s">
        <v>1292</v>
      </c>
      <c r="F19" s="1631" t="s">
        <v>1291</v>
      </c>
      <c r="G19" s="128">
        <f ca="1">ROUND(C19*$C$18+D19*$D$18,0)</f>
        <v>72356</v>
      </c>
      <c r="H19" s="1632" t="s">
        <v>1293</v>
      </c>
      <c r="I19" s="121"/>
      <c r="K19" s="294" t="s">
        <v>1294</v>
      </c>
      <c r="L19" s="294">
        <f>IF(C1="",'数据-汇总表'!D3,SUMIF(项目类型,C1,'数据-汇总表'!D17:D26)+SUMIF(项目类型,C1,'数据-汇总表'!H17:H27))</f>
        <v>23080.7</v>
      </c>
      <c r="M19" s="294">
        <f>IF(C1="",'数据-汇总表'!D3,SUMIF(项目类型,C1,'数据-汇总表'!D17:D26))</f>
        <v>23080.7</v>
      </c>
    </row>
    <row r="20" spans="1:36" ht="15">
      <c r="A20" s="1633"/>
      <c r="B20" s="43" t="s">
        <v>1295</v>
      </c>
      <c r="C20" s="129">
        <f ca="1">SUMIF(INDIRECT("'"&amp;C4&amp;"'"&amp;"!A:A"),结果表!B20,INDIRECT("'"&amp;C4&amp;"'"&amp;"!B:B"))</f>
        <v>11004</v>
      </c>
      <c r="D20" s="130">
        <f ca="1">SUMIF(INDIRECT("'"&amp;D4&amp;"'"&amp;"!A:A"),结果表!B20,INDIRECT("'"&amp;D4&amp;"'"&amp;"!B:B"))</f>
        <v>9148</v>
      </c>
      <c r="E20" s="1633"/>
      <c r="F20" s="43" t="s">
        <v>1295</v>
      </c>
      <c r="G20" s="131">
        <f ca="1">ROUND(C20*$C$18+D20*$D$18,0)</f>
        <v>10076</v>
      </c>
      <c r="H20" s="760" t="s">
        <v>1296</v>
      </c>
      <c r="I20" s="121"/>
    </row>
    <row r="21" spans="1:36" ht="15" customHeight="1" thickBot="1">
      <c r="A21" s="449"/>
      <c r="B21" s="93" t="s">
        <v>1297</v>
      </c>
      <c r="C21" s="678">
        <f ca="1">ROUND(C19*10000/L19,0)</f>
        <v>34236</v>
      </c>
      <c r="D21" s="679">
        <f ca="1">ROUND(D19*10000/L19,0)</f>
        <v>28463</v>
      </c>
      <c r="E21" s="449"/>
      <c r="F21" s="93" t="s">
        <v>1297</v>
      </c>
      <c r="G21" s="132">
        <f ca="1">ROUND(G19*10000/L19,0)</f>
        <v>31349</v>
      </c>
      <c r="H21" s="1634" t="s">
        <v>1296</v>
      </c>
      <c r="I21" s="121"/>
    </row>
    <row r="22" spans="1:36" ht="15" thickBot="1">
      <c r="A22" s="1564" t="s">
        <v>1298</v>
      </c>
      <c r="B22" s="1635"/>
      <c r="C22" s="1636"/>
      <c r="D22" s="680">
        <f ca="1">IF(C19&lt;D19,D19/C19-1,C19/D19-1)</f>
        <v>0.20281913112308581</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72356</v>
      </c>
      <c r="D32" s="1641" t="s">
        <v>3484</v>
      </c>
      <c r="E32" s="121"/>
      <c r="F32" s="121"/>
      <c r="G32" s="121"/>
      <c r="H32" s="121"/>
      <c r="I32" s="121"/>
    </row>
    <row r="33" spans="1:15" ht="15">
      <c r="A33" s="740" t="s">
        <v>1306</v>
      </c>
      <c r="B33" s="123"/>
      <c r="C33" s="1642" t="s">
        <v>3485</v>
      </c>
      <c r="D33" s="1643" t="s">
        <v>3483</v>
      </c>
      <c r="E33" s="1644" t="s">
        <v>1307</v>
      </c>
      <c r="F33" s="1645" t="str">
        <f>IF(D32="楼面单价","取值（单价）","取值（总价）")</f>
        <v>取值（总价）</v>
      </c>
      <c r="G33" s="121"/>
      <c r="H33" s="121"/>
      <c r="I33" s="121"/>
    </row>
    <row r="34" spans="1:15" ht="15">
      <c r="A34" s="1646"/>
      <c r="B34" s="1647" t="s">
        <v>1308</v>
      </c>
      <c r="C34" s="140">
        <f ca="1">IF(C33="自定义",F34,C32-C35)</f>
        <v>30534</v>
      </c>
      <c r="D34" s="808">
        <f ca="1">IF(C33="自定义",ROUND(C34/C32,3),IF(C33="收益比率",SUMIF(INDIRECT("'"&amp;D33&amp;"'"&amp;"!b:b"),"土地收益比率",INDIRECT("'"&amp;D33&amp;"'"&amp;"!c:c")),SUMIF(INDIRECT("'"&amp;D33&amp;"'"&amp;"!b:b"),"土地成本比率",INDIRECT("'"&amp;D33&amp;"'"&amp;"!c:c"))))</f>
        <v>0.42200000000000004</v>
      </c>
      <c r="E34" s="1648" t="s">
        <v>1309</v>
      </c>
      <c r="F34" s="1243"/>
      <c r="G34" s="121"/>
      <c r="H34" s="121"/>
      <c r="I34" s="121"/>
    </row>
    <row r="35" spans="1:15" ht="15.75" thickBot="1">
      <c r="A35" s="1649"/>
      <c r="B35" s="1650" t="s">
        <v>1310</v>
      </c>
      <c r="C35" s="1090">
        <f ca="1">IF(C33="自定义",F35,ROUND(C32*D35,0))</f>
        <v>41822</v>
      </c>
      <c r="D35" s="1091">
        <f ca="1">IF(C33="自定义",ROUND(C35/C32,3),IF(C33="收益比率",SUMIF(INDIRECT("'"&amp;D33&amp;"'"&amp;"!b:b"),"建筑物收益比率",INDIRECT("'"&amp;D33&amp;"'"&amp;"!c:c")),SUMIF(INDIRECT("'"&amp;D33&amp;"'"&amp;"!b:b"),"建筑物成本比率",INDIRECT("'"&amp;D33&amp;"'"&amp;"!c:c"))))</f>
        <v>0.57799999999999996</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72356</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4" t="s">
        <v>1340</v>
      </c>
      <c r="L48" s="3254"/>
      <c r="M48" s="3257">
        <f ca="1">H101</f>
        <v>72356</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f ca="1">IF(项目基本情况!E8="房地产抵押价值",H107,H109)</f>
        <v>72356</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3790</v>
      </c>
      <c r="E52" s="1256" t="s">
        <v>1354</v>
      </c>
      <c r="F52" s="2340">
        <f>'数据-取费表'!B41</f>
        <v>5.5000000000000007E-2</v>
      </c>
      <c r="G52" s="2341"/>
      <c r="H52" s="2331"/>
      <c r="I52" s="1669"/>
      <c r="J52" s="2310">
        <v>1</v>
      </c>
      <c r="K52" s="3279" t="s">
        <v>1355</v>
      </c>
      <c r="L52" s="3279"/>
      <c r="M52" s="2312" t="b">
        <f>D48</f>
        <v>0</v>
      </c>
      <c r="N52" s="2310" t="str">
        <f>E48</f>
        <v>销售额×税（费）率</v>
      </c>
      <c r="O52" s="2313">
        <f>F48</f>
        <v>5.5000000000000007E-2</v>
      </c>
    </row>
    <row r="53" spans="1:35" ht="12" customHeight="1">
      <c r="A53" s="2153" t="s">
        <v>1356</v>
      </c>
      <c r="B53" s="3303" t="s">
        <v>2291</v>
      </c>
      <c r="C53" s="3304"/>
      <c r="D53" s="1024">
        <f ca="1">ROUND(D45*'数据-取费表'!B41/(1+'数据-取费表'!C42),0)</f>
        <v>3790</v>
      </c>
      <c r="E53" s="1256" t="s">
        <v>1354</v>
      </c>
      <c r="F53" s="2340">
        <f>'数据-取费表'!B41</f>
        <v>5.5000000000000007E-2</v>
      </c>
      <c r="G53" s="2341"/>
      <c r="H53" s="2331"/>
      <c r="I53" s="1669"/>
      <c r="J53" s="2310">
        <v>2</v>
      </c>
      <c r="K53" s="3279" t="s">
        <v>1357</v>
      </c>
      <c r="L53" s="3279"/>
      <c r="M53" s="2312">
        <f t="shared" ref="M53:O54" ca="1" si="0">D55</f>
        <v>36</v>
      </c>
      <c r="N53" s="2310" t="str">
        <f t="shared" si="0"/>
        <v>销售额×税（费）率</v>
      </c>
      <c r="O53" s="2313" t="str">
        <f t="shared" si="0"/>
        <v>免征</v>
      </c>
    </row>
    <row r="54" spans="1:35" ht="12" customHeight="1">
      <c r="A54" s="2153" t="s">
        <v>1358</v>
      </c>
      <c r="B54" s="3303" t="s">
        <v>2292</v>
      </c>
      <c r="C54" s="3304"/>
      <c r="D54" s="1024">
        <f ca="1">C68</f>
        <v>3790</v>
      </c>
      <c r="E54" s="319" t="s">
        <v>1359</v>
      </c>
      <c r="F54" s="2340">
        <f>'数据-取费表'!B41</f>
        <v>5.5000000000000007E-2</v>
      </c>
      <c r="G54" s="2341"/>
      <c r="H54" s="2342"/>
      <c r="I54" s="1669"/>
      <c r="J54" s="2310">
        <v>3</v>
      </c>
      <c r="K54" s="3279" t="s">
        <v>1360</v>
      </c>
      <c r="L54" s="3279"/>
      <c r="M54" s="2312">
        <f t="shared" ca="1" si="0"/>
        <v>41018</v>
      </c>
      <c r="N54" s="2310" t="str">
        <f t="shared" si="0"/>
        <v>增值额×税（费）率</v>
      </c>
      <c r="O54" s="2314" t="str">
        <f t="shared" si="0"/>
        <v>免征</v>
      </c>
    </row>
    <row r="55" spans="1:35" ht="24" customHeight="1">
      <c r="A55" s="3339" t="s">
        <v>1361</v>
      </c>
      <c r="B55" s="3317"/>
      <c r="C55" s="3317"/>
      <c r="D55" s="12">
        <f ca="1">IF(H55="个人住宅",0,ROUND(D45*I55,0))</f>
        <v>36</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689</v>
      </c>
      <c r="N55" s="1883" t="str">
        <f>E59</f>
        <v>差额计税</v>
      </c>
      <c r="O55" s="2316">
        <f>F59</f>
        <v>0.01</v>
      </c>
    </row>
    <row r="56" spans="1:35" ht="24.75">
      <c r="A56" s="3339" t="s">
        <v>1363</v>
      </c>
      <c r="B56" s="3317"/>
      <c r="C56" s="3317"/>
      <c r="D56" s="12">
        <f ca="1">IF(H56="个人住宅",D57,D58)</f>
        <v>41018</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41743</v>
      </c>
      <c r="O57" s="2320"/>
      <c r="P57" s="2465">
        <f ca="1">N57/M49</f>
        <v>0.57691138260821495</v>
      </c>
    </row>
    <row r="58" spans="1:35" ht="24.75">
      <c r="A58" s="2153" t="s">
        <v>1352</v>
      </c>
      <c r="B58" s="3303" t="s">
        <v>1369</v>
      </c>
      <c r="C58" s="3302"/>
      <c r="D58" s="12">
        <f ca="1">IF(H58="转让取得",C81,C97)</f>
        <v>41018</v>
      </c>
      <c r="E58" s="1256" t="s">
        <v>1364</v>
      </c>
      <c r="F58" s="294" t="s">
        <v>28</v>
      </c>
      <c r="G58" s="2341"/>
      <c r="H58" s="2344"/>
      <c r="I58" s="1670"/>
      <c r="J58" s="3279"/>
      <c r="K58" s="3279"/>
      <c r="L58" s="2317" t="s">
        <v>1370</v>
      </c>
      <c r="M58" s="2321"/>
      <c r="N58" s="2322" t="str">
        <f ca="1">NUMBERSTRING(INT(N57*10000),2)&amp;"元整"</f>
        <v>肆亿壹仟柒佰肆拾叁万元整</v>
      </c>
      <c r="O58" s="2323"/>
    </row>
    <row r="59" spans="1:35" ht="24.75" thickBot="1">
      <c r="A59" s="3283" t="s">
        <v>1371</v>
      </c>
      <c r="B59" s="3284"/>
      <c r="C59" s="3284"/>
      <c r="D59" s="2346">
        <f ca="1">IF(H59="非个人房产","——",IF(H59="个人住宅（满五唯一有凭证）",0,IF(H59="个人其他（无凭证）",ROUND(D45*F59,0),ROUND(C67*F59,0))))</f>
        <v>689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f ca="1">M49-N57</f>
        <v>30613</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叁亿零陆佰壹拾叁万元整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4263</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68910</v>
      </c>
      <c r="D63" s="159"/>
      <c r="E63" s="160"/>
      <c r="F63" s="1670"/>
      <c r="G63" s="1670"/>
      <c r="H63" s="151"/>
      <c r="I63" s="121"/>
      <c r="J63" s="3262" t="s">
        <v>1379</v>
      </c>
      <c r="K63" s="1245" t="s">
        <v>1380</v>
      </c>
      <c r="L63" s="1245">
        <f ca="1">IF(M49&gt;10000,M49*0.5%,IF(AND(M49&gt;1000,M49&lt;=10000),M49*1%,IF(AND(M49&gt;100,M49&lt;=1000),M49*3%,IF(AND(M49&gt;10,M49&lt;=100),M49*5%,M49*8%))))</f>
        <v>361.78000000000003</v>
      </c>
      <c r="M63" s="294">
        <f ca="1">ROUND(L63,1)</f>
        <v>361.8</v>
      </c>
      <c r="N63" s="2330"/>
      <c r="Z63" s="1623"/>
      <c r="AI63" s="1561"/>
    </row>
    <row r="64" spans="1:35" ht="14.25" customHeight="1">
      <c r="A64" s="161" t="s">
        <v>325</v>
      </c>
      <c r="B64" s="162" t="s">
        <v>1381</v>
      </c>
      <c r="C64" s="2351">
        <f ca="1">D45</f>
        <v>72356</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361.78000000000003</v>
      </c>
      <c r="M64" s="294">
        <f t="shared" ref="M64:M65" ca="1" si="1">ROUND(L64,1)</f>
        <v>361.8</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72.355999999999995</v>
      </c>
      <c r="M65" s="294">
        <f t="shared" ca="1" si="1"/>
        <v>72.400000000000006</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361.78000000000003</v>
      </c>
      <c r="M66" s="294">
        <f ca="1">IF(L66&gt;0.5,0.5,ROUND(L66,0))</f>
        <v>0.5</v>
      </c>
      <c r="N66" s="2331" t="s">
        <v>1388</v>
      </c>
      <c r="Z66" s="1623"/>
      <c r="AI66" s="1561"/>
    </row>
    <row r="67" spans="1:35" ht="14.25" customHeight="1">
      <c r="A67" s="165" t="s">
        <v>328</v>
      </c>
      <c r="B67" s="166" t="s">
        <v>1389</v>
      </c>
      <c r="C67" s="2354">
        <f ca="1">C63-C66</f>
        <v>68910</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14.485600000000002</v>
      </c>
      <c r="M67" s="294">
        <f ca="1">ROUND(L67*0.9,1)</f>
        <v>13</v>
      </c>
      <c r="N67" s="2330"/>
      <c r="Z67" s="1623"/>
      <c r="AI67" s="1561"/>
    </row>
    <row r="68" spans="1:35" ht="14.25" customHeight="1" thickBot="1">
      <c r="A68" s="168" t="s">
        <v>329</v>
      </c>
      <c r="B68" s="169" t="s">
        <v>1391</v>
      </c>
      <c r="C68" s="2355">
        <f ca="1">IF(C67&lt;=0,0,ROUND(C67*D68,0))</f>
        <v>3790</v>
      </c>
      <c r="D68" s="2356">
        <f>'数据-取费表'!B41</f>
        <v>5.5000000000000007E-2</v>
      </c>
      <c r="E68" s="170"/>
      <c r="F68" s="1670"/>
      <c r="G68" s="1670"/>
      <c r="H68" s="151"/>
      <c r="I68" s="121"/>
      <c r="J68" s="3262"/>
      <c r="K68" s="1245" t="s">
        <v>1392</v>
      </c>
      <c r="L68" s="1245">
        <f ca="1">IF(M49&gt;10000,M49*0.5%,IF(AND(M49&gt;5000,M49&lt;=10000),M49*1%,IF(AND(M49&gt;1000,M49&lt;=5000),M49*2%,IF(AND(M49&gt;200,M49&lt;=1000),M49*3%,M49*5%))))</f>
        <v>361.78000000000003</v>
      </c>
      <c r="M68" s="294">
        <f ca="1">ROUND(L68,1)</f>
        <v>361.8</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1171</v>
      </c>
      <c r="N69" s="2332">
        <f ca="1">M69/M49</f>
        <v>1.6183868649455469E-2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68910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345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345</v>
      </c>
      <c r="D78" s="2363">
        <f>'数据-取费表'!B43</f>
        <v>5.000000000000001E-3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68565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198.7391304347826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41018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68910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345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345</v>
      </c>
      <c r="D93" s="2363">
        <f>'数据-取费表'!B43</f>
        <v>5.000000000000001E-3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68565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198.7391304347826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41018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成本法</v>
      </c>
      <c r="D101" s="2372" t="str">
        <f>D4</f>
        <v>收益法</v>
      </c>
      <c r="E101" s="3258" t="s">
        <v>1431</v>
      </c>
      <c r="F101" s="3259"/>
      <c r="G101" s="1687" t="s">
        <v>1432</v>
      </c>
      <c r="H101" s="2381">
        <f ca="1">H118</f>
        <v>72356</v>
      </c>
      <c r="I101" s="121"/>
    </row>
    <row r="102" spans="1:35" ht="18.75" customHeight="1">
      <c r="A102" s="3290" t="s">
        <v>1433</v>
      </c>
      <c r="B102" s="2370" t="s">
        <v>1432</v>
      </c>
      <c r="C102" s="2371">
        <f ca="1">IF(D32="楼面单价",ROUND(C19,0),C19)</f>
        <v>79018</v>
      </c>
      <c r="D102" s="2372">
        <f ca="1">IF(D32="楼面单价",ROUND(D19,0),D19)</f>
        <v>65694</v>
      </c>
      <c r="E102" s="3258"/>
      <c r="F102" s="3259"/>
      <c r="G102" s="1687" t="s">
        <v>1434</v>
      </c>
      <c r="H102" s="2341">
        <f ca="1">I118</f>
        <v>10076</v>
      </c>
      <c r="I102" s="121"/>
    </row>
    <row r="103" spans="1:35" ht="42.75" customHeight="1">
      <c r="A103" s="3290"/>
      <c r="B103" s="2370" t="s">
        <v>1434</v>
      </c>
      <c r="C103" s="2373">
        <f ca="1">C20</f>
        <v>11004</v>
      </c>
      <c r="D103" s="2374">
        <f ca="1">D20</f>
        <v>9148</v>
      </c>
      <c r="E103" s="3251" t="s">
        <v>1435</v>
      </c>
      <c r="F103" s="3252"/>
      <c r="G103" s="1688" t="s">
        <v>1436</v>
      </c>
      <c r="H103" s="2381">
        <f>IF(D36="正常操作",H104+H105+H106,H105+H106)</f>
        <v>0</v>
      </c>
      <c r="I103" s="121"/>
    </row>
    <row r="104" spans="1:35" ht="18.75" customHeight="1">
      <c r="A104" s="3290" t="s">
        <v>1437</v>
      </c>
      <c r="B104" s="2375" t="s">
        <v>1432</v>
      </c>
      <c r="C104" s="2376">
        <f ca="1">H118</f>
        <v>72356</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10076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f ca="1">IF(E107="——","——",H101-H103)</f>
        <v>72356</v>
      </c>
      <c r="I107" s="121"/>
    </row>
    <row r="108" spans="1:35" ht="18.75" customHeight="1">
      <c r="A108" s="121"/>
      <c r="B108" s="121"/>
      <c r="C108" s="121"/>
      <c r="D108" s="121"/>
      <c r="E108" s="3291"/>
      <c r="F108" s="3259"/>
      <c r="G108" s="1687" t="s">
        <v>1434</v>
      </c>
      <c r="H108" s="2341">
        <f ca="1">IF(H107=H101,H102,ROUND(H107*10000/'数据-汇总表'!E3,0))</f>
        <v>10076</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71810.27</v>
      </c>
      <c r="C118" s="2150">
        <f>M19</f>
        <v>23080.7</v>
      </c>
      <c r="D118" s="2150">
        <f ca="1">ROUND(IF(D32="总价",C34,E118*B118/10000),0)</f>
        <v>30534</v>
      </c>
      <c r="E118" s="2150">
        <f ca="1">ROUND(IF(C33="自定义",IF(D32="楼面单价",C34,D118*10000/B118),I118-G118),0)</f>
        <v>4252</v>
      </c>
      <c r="F118" s="2150">
        <f ca="1">ROUND(IF(D32="总价",C35,G118*B118/10000),0)</f>
        <v>41822</v>
      </c>
      <c r="G118" s="2150">
        <f ca="1">ROUND(IF(D32="楼面单价",C35,F118*10000/B118),0)</f>
        <v>5824</v>
      </c>
      <c r="H118" s="2150">
        <f ca="1">ROUND(IF(D32="总价",C32,I118*B118/10000),0)</f>
        <v>72356</v>
      </c>
      <c r="I118" s="2150">
        <f ca="1">ROUND(IF(D32="楼面单价",C32,H118*10000/B118),0)</f>
        <v>10076</v>
      </c>
    </row>
    <row r="119" spans="1:27" ht="18.75" customHeight="1">
      <c r="A119" s="3266" t="s">
        <v>1452</v>
      </c>
      <c r="B119" s="3266"/>
      <c r="C119" s="3266"/>
      <c r="D119" s="3272" t="str">
        <f ca="1">NUMBERSTRING(INT(D118*10000),2)&amp;"元整"</f>
        <v>叁亿零伍佰叁拾肆万元整</v>
      </c>
      <c r="E119" s="3273"/>
      <c r="F119" s="3272" t="str">
        <f ca="1">NUMBERSTRING(INT(F118*10000),2)&amp;"元整"</f>
        <v>肆亿壹仟捌佰贰拾贰万元整</v>
      </c>
      <c r="G119" s="3273"/>
      <c r="H119" s="3272" t="str">
        <f ca="1">NUMBERSTRING(INT(H118*10000),2)&amp;"元整"</f>
        <v>柒亿贰仟叁佰伍拾陆万元整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72356</v>
      </c>
      <c r="E122" s="3268"/>
      <c r="F122" s="3268"/>
      <c r="G122" s="3268"/>
      <c r="H122" s="3268"/>
      <c r="I122" s="3269"/>
      <c r="AA122" s="684"/>
    </row>
    <row r="123" spans="1:27" ht="18.75" customHeight="1">
      <c r="A123" s="3266" t="s">
        <v>1452</v>
      </c>
      <c r="B123" s="3266"/>
      <c r="C123" s="3266"/>
      <c r="D123" s="3272" t="str">
        <f ca="1">NUMBERSTRING(INT(D122*10000),2)&amp;"元整"</f>
        <v>柒亿贰仟叁佰伍拾陆万元整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3452</v>
      </c>
      <c r="C1" s="190"/>
      <c r="D1" s="190"/>
      <c r="E1" s="190"/>
      <c r="F1" s="190"/>
      <c r="G1" s="1062">
        <f>MATCH(B1,'数据-取费表'!A6:A16,0)+5</f>
        <v>6</v>
      </c>
    </row>
    <row r="2" spans="1:9" s="192" customFormat="1" ht="18" customHeight="1">
      <c r="A2" s="193" t="s">
        <v>1462</v>
      </c>
      <c r="B2" s="194">
        <f ca="1">IF(D2="——",C52,C52-E2)</f>
        <v>79018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11004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24950</v>
      </c>
      <c r="D5" s="203" t="s">
        <v>1469</v>
      </c>
      <c r="E5" s="204" t="s">
        <v>1470</v>
      </c>
      <c r="F5" s="204" t="s">
        <v>1471</v>
      </c>
      <c r="G5" s="205"/>
    </row>
    <row r="6" spans="1:9" s="206" customFormat="1" ht="13.5" customHeight="1">
      <c r="A6" s="732" t="s">
        <v>1472</v>
      </c>
      <c r="B6" s="207" t="s">
        <v>1473</v>
      </c>
      <c r="C6" s="208">
        <f>基准地价修正!B2</f>
        <v>22818</v>
      </c>
      <c r="D6" s="209"/>
      <c r="E6" s="210"/>
      <c r="F6" s="210"/>
      <c r="G6" s="211"/>
    </row>
    <row r="7" spans="1:9" s="206" customFormat="1" ht="13.5" customHeight="1">
      <c r="A7" s="732" t="s">
        <v>1474</v>
      </c>
      <c r="B7" s="207" t="s">
        <v>1475</v>
      </c>
      <c r="C7" s="212">
        <f>ROUND(C6*F7,0)</f>
        <v>696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1436</v>
      </c>
      <c r="D8" s="214"/>
      <c r="E8" s="212"/>
      <c r="F8" s="213"/>
      <c r="G8" s="1714" t="s">
        <v>3480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3481</v>
      </c>
      <c r="H9" s="1070"/>
      <c r="I9" s="1716" t="s">
        <v>1479</v>
      </c>
    </row>
    <row r="10" spans="1:9" s="206" customFormat="1" ht="13.5" customHeight="1">
      <c r="A10" s="733" t="s">
        <v>356</v>
      </c>
      <c r="B10" s="216" t="s">
        <v>1480</v>
      </c>
      <c r="C10" s="217">
        <f ca="1">ROUND(D10*E10/10000,0)</f>
        <v>1436</v>
      </c>
      <c r="D10" s="795">
        <f ca="1">IF(B1="",'数据-汇总表'!E6,IF(INDIRECT("'数据-取费表'!c"&amp;$G$1)="住宅",INDIRECT("'数据-取费表'!s"&amp;$G$1),INDIRECT("'数据-取费表'!k"&amp;$G$1)+INDIRECT("'数据-取费表'!s"&amp;$G$1)))</f>
        <v>71810.27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71810.27</v>
      </c>
      <c r="E19" s="203">
        <f>'数据-取费表'!B31</f>
        <v>200</v>
      </c>
      <c r="F19" s="223"/>
      <c r="G19" s="1714" t="s">
        <v>3482</v>
      </c>
    </row>
    <row r="20" spans="1:7" s="206" customFormat="1" ht="13.5" customHeight="1">
      <c r="A20" s="247" t="s">
        <v>1493</v>
      </c>
      <c r="B20" s="202" t="s">
        <v>1494</v>
      </c>
      <c r="C20" s="224">
        <f ca="1">ROUND((C5+C19)*F20,0)</f>
        <v>499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1534</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1519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3817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3817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33333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39854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35905</v>
      </c>
      <c r="D34" s="209"/>
      <c r="E34" s="212"/>
      <c r="F34" s="249">
        <f ca="1">IF('数据-取费表'!B24=0,1,IF(B1="",'数据-取费表'!N16,INDIRECT("'数据-取费表'!n"&amp;$G$1)))</f>
        <v>1</v>
      </c>
      <c r="G34" s="211" t="s">
        <v>1526</v>
      </c>
    </row>
    <row r="35" spans="1:7" ht="13.5" customHeight="1">
      <c r="A35" s="734" t="s">
        <v>351</v>
      </c>
      <c r="B35" s="207" t="s">
        <v>1527</v>
      </c>
      <c r="C35" s="212">
        <f ca="1">ROUND(C34*F35,0)</f>
        <v>1795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1436</v>
      </c>
      <c r="D37" s="209">
        <f ca="1">D19</f>
        <v>71810.27</v>
      </c>
      <c r="E37" s="241">
        <f>'数据-取费表'!B35</f>
        <v>200</v>
      </c>
      <c r="F37" s="251"/>
      <c r="G37" s="253" t="s">
        <v>1532</v>
      </c>
    </row>
    <row r="38" spans="1:7" ht="13.5" customHeight="1">
      <c r="A38" s="734" t="s">
        <v>354</v>
      </c>
      <c r="B38" s="207" t="s">
        <v>1533</v>
      </c>
      <c r="C38" s="212">
        <f ca="1">ROUND(C34*F38,0)</f>
        <v>718</v>
      </c>
      <c r="D38" s="212"/>
      <c r="E38" s="212"/>
      <c r="F38" s="251">
        <f>'数据-取费表'!B36</f>
        <v>0.02</v>
      </c>
      <c r="G38" s="211" t="s">
        <v>1528</v>
      </c>
    </row>
    <row r="39" spans="1:7" s="206" customFormat="1" ht="13.5" customHeight="1">
      <c r="A39" s="247" t="s">
        <v>1534</v>
      </c>
      <c r="B39" s="202" t="s">
        <v>1535</v>
      </c>
      <c r="C39" s="224">
        <f ca="1">ROUND(C33*F20,0)</f>
        <v>797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1220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1196</v>
      </c>
      <c r="D42" s="230"/>
      <c r="E42" s="230"/>
      <c r="F42" s="231"/>
      <c r="G42" s="3345" t="s">
        <v>1544</v>
      </c>
    </row>
    <row r="43" spans="1:7" ht="13.5" customHeight="1">
      <c r="A43" s="734" t="s">
        <v>347</v>
      </c>
      <c r="B43" s="207" t="s">
        <v>1545</v>
      </c>
      <c r="C43" s="230">
        <f ca="1">ROUND(IF('数据-取费表'!B22&lt;=1,C39*F22*'数据-取费表'!B21/2,C39*(POWER((1+F22),'数据-取费表'!B21/2)-1)),0)</f>
        <v>24</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6098</v>
      </c>
      <c r="D45" s="227">
        <f ca="1">C47</f>
        <v>3.0000000000000001E-3</v>
      </c>
      <c r="E45" s="228" t="s">
        <v>1539</v>
      </c>
      <c r="F45" s="238">
        <f ca="1">F27</f>
        <v>0.15</v>
      </c>
      <c r="G45" s="239" t="s">
        <v>1548</v>
      </c>
    </row>
    <row r="46" spans="1:7" s="206" customFormat="1" ht="13.5" customHeight="1">
      <c r="A46" s="734" t="s">
        <v>346</v>
      </c>
      <c r="B46" s="240" t="s">
        <v>1549</v>
      </c>
      <c r="C46" s="241">
        <f ca="1">ROUND((C33+C39)*F27,0)</f>
        <v>6098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51915</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45685</v>
      </c>
      <c r="D51" s="224"/>
      <c r="E51" s="224"/>
      <c r="F51" s="256"/>
      <c r="G51" s="226" t="s">
        <v>1560</v>
      </c>
    </row>
    <row r="52" spans="1:7" s="200" customFormat="1" ht="16.5" thickBot="1">
      <c r="A52" s="257" t="s">
        <v>1561</v>
      </c>
      <c r="B52" s="258"/>
      <c r="C52" s="259">
        <f ca="1">C31+C51</f>
        <v>79018</v>
      </c>
      <c r="D52" s="258"/>
      <c r="E52" s="258"/>
      <c r="F52" s="258"/>
      <c r="G52" s="260"/>
    </row>
    <row r="55" spans="1:7" ht="15">
      <c r="B55" s="262" t="s">
        <v>1562</v>
      </c>
      <c r="C55" s="263"/>
    </row>
    <row r="56" spans="1:7">
      <c r="B56" s="265" t="s">
        <v>802</v>
      </c>
      <c r="C56" s="267">
        <f ca="1">1-C57</f>
        <v>0.42200000000000004</v>
      </c>
    </row>
    <row r="57" spans="1:7">
      <c r="B57" s="265" t="s">
        <v>803</v>
      </c>
      <c r="C57" s="266">
        <f ca="1">ROUND(C51/C52,3)</f>
        <v>0.57799999999999996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49522.525900000001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6896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14362054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14362054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14362054</v>
      </c>
      <c r="D10" s="795">
        <f ca="1">IF(B1="",'数据-汇总表'!E6,IF(INDIRECT("'数据-取费表'!c"&amp;$G$1)="住宅",INDIRECT("'数据-取费表'!s"&amp;$G$1),INDIRECT("'数据-取费表'!k"&amp;$G$1)+INDIRECT("'数据-取费表'!s"&amp;$G$1)))</f>
        <v>71810.27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14362054</v>
      </c>
      <c r="D19" s="204">
        <f ca="1">D9+D10</f>
        <v>71810.27</v>
      </c>
      <c r="E19" s="203">
        <f>'数据-取费表'!B31</f>
        <v>200</v>
      </c>
      <c r="F19" s="223"/>
      <c r="G19" s="1714"/>
    </row>
    <row r="20" spans="1:7" s="206" customFormat="1" ht="13.5" customHeight="1">
      <c r="A20" s="247" t="s">
        <v>1574</v>
      </c>
      <c r="B20" s="202" t="s">
        <v>1575</v>
      </c>
      <c r="C20" s="224">
        <f ca="1">ROUND((C5+C19)*F20,0)</f>
        <v>574482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1766532</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874649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874649</v>
      </c>
      <c r="D24" s="230"/>
      <c r="E24" s="230"/>
      <c r="F24" s="231"/>
      <c r="G24" s="232" t="s">
        <v>1586</v>
      </c>
    </row>
    <row r="25" spans="1:7" s="206" customFormat="1" ht="24">
      <c r="A25" s="734" t="s">
        <v>1476</v>
      </c>
      <c r="B25" s="207" t="s">
        <v>1587</v>
      </c>
      <c r="C25" s="230">
        <f ca="1">ROUND(IF('数据-取费表'!B22&lt;=1,C20*F22*'数据-取费表'!B22/2,C20*(POWER((1+F22),'数据-取费表'!B22/2)-1)),0)</f>
        <v>17234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4394789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4394789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38376527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398546999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359051350</v>
      </c>
      <c r="D34" s="209"/>
      <c r="E34" s="212"/>
      <c r="F34" s="249"/>
      <c r="G34" s="211"/>
    </row>
    <row r="35" spans="1:7" ht="13.5" customHeight="1">
      <c r="A35" s="734" t="s">
        <v>351</v>
      </c>
      <c r="B35" s="207" t="s">
        <v>1527</v>
      </c>
      <c r="C35" s="212">
        <f ca="1">ROUND(C34*F35,0)</f>
        <v>17952568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14362054</v>
      </c>
      <c r="D37" s="209">
        <f ca="1">D19</f>
        <v>71810.27</v>
      </c>
      <c r="E37" s="241">
        <f>'数据-取费表'!B35</f>
        <v>200</v>
      </c>
      <c r="F37" s="251"/>
      <c r="G37" s="253"/>
    </row>
    <row r="38" spans="1:7" ht="13.5" customHeight="1">
      <c r="A38" s="734" t="s">
        <v>354</v>
      </c>
      <c r="B38" s="207" t="s">
        <v>1533</v>
      </c>
      <c r="C38" s="212">
        <f ca="1">ROUND(C34*F38,0)</f>
        <v>7181027</v>
      </c>
      <c r="D38" s="212"/>
      <c r="E38" s="212"/>
      <c r="F38" s="251">
        <f>'数据-取费表'!B36</f>
        <v>0.02</v>
      </c>
      <c r="G38" s="211" t="s">
        <v>1528</v>
      </c>
    </row>
    <row r="39" spans="1:7" s="206" customFormat="1" ht="13.5" customHeight="1">
      <c r="A39" s="247" t="s">
        <v>1534</v>
      </c>
      <c r="B39" s="202" t="s">
        <v>1535</v>
      </c>
      <c r="C39" s="224">
        <f ca="1">ROUND(C33*F20,0)</f>
        <v>7970940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12195538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11956410</v>
      </c>
      <c r="D42" s="230"/>
      <c r="E42" s="230"/>
      <c r="F42" s="231"/>
      <c r="G42" s="3345" t="s">
        <v>1591</v>
      </c>
    </row>
    <row r="43" spans="1:7" ht="13.5" customHeight="1">
      <c r="A43" s="734" t="s">
        <v>347</v>
      </c>
      <c r="B43" s="207" t="s">
        <v>1545</v>
      </c>
      <c r="C43" s="230">
        <f ca="1">ROUND(IF('数据-取费表'!B22&lt;=1,C39*F22*'数据-取费表'!B20/2,C39*(POWER((1+F22),'数据-取费表'!B20/2)-1)),0)</f>
        <v>239128</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60977691</v>
      </c>
      <c r="D45" s="227">
        <f ca="1">C47</f>
        <v>3.0000000000000001E-3</v>
      </c>
      <c r="E45" s="228" t="s">
        <v>1539</v>
      </c>
      <c r="F45" s="238">
        <f ca="1">F27</f>
        <v>0.15</v>
      </c>
      <c r="G45" s="239" t="s">
        <v>1548</v>
      </c>
    </row>
    <row r="46" spans="1:7" s="206" customFormat="1" ht="13.5" customHeight="1">
      <c r="A46" s="734" t="s">
        <v>346</v>
      </c>
      <c r="B46" s="240" t="s">
        <v>1549</v>
      </c>
      <c r="C46" s="241">
        <f ca="1">ROUND((C33+C39)*F27,0)</f>
        <v>60977691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519146286</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456848732</v>
      </c>
      <c r="D51" s="224"/>
      <c r="E51" s="224"/>
      <c r="F51" s="256"/>
      <c r="G51" s="226" t="s">
        <v>1560</v>
      </c>
    </row>
    <row r="52" spans="1:7" s="200" customFormat="1" ht="16.5" thickBot="1">
      <c r="A52" s="257" t="s">
        <v>1561</v>
      </c>
      <c r="B52" s="258"/>
      <c r="C52" s="259">
        <f ca="1">C31+C51</f>
        <v>495225259</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71810.27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71810.27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1436</v>
      </c>
      <c r="D20" s="796">
        <f ca="1">IF(C1="",'数据-汇总表'!E6,IF(INDIRECT("'数据-取费表'!c"&amp;$K$1)="住宅",INDIRECT("'数据-取费表'!s"&amp;$K$1),INDIRECT("'数据-取费表'!k"&amp;$K$1)+INDIRECT("'数据-取费表'!s"&amp;$K$1)))</f>
        <v>71810.27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3452</v>
      </c>
      <c r="D1" s="1271" t="s">
        <v>43</v>
      </c>
      <c r="E1" s="1272" t="s">
        <v>678</v>
      </c>
      <c r="F1" s="999">
        <f ca="1">J53</f>
        <v>34.5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65694</v>
      </c>
      <c r="C2" s="1289" t="s">
        <v>805</v>
      </c>
      <c r="D2" s="1289"/>
      <c r="E2" s="1295"/>
      <c r="F2" s="1296"/>
      <c r="G2" s="2479"/>
      <c r="H2" s="2469"/>
      <c r="I2" s="2469"/>
      <c r="J2" s="2469"/>
      <c r="K2" s="2470"/>
      <c r="L2" s="2469"/>
      <c r="M2" s="2469"/>
    </row>
    <row r="3" spans="1:37" ht="18" customHeight="1" thickBot="1">
      <c r="A3" s="1297" t="s">
        <v>806</v>
      </c>
      <c r="B3" s="1298">
        <f ca="1">IF(ISERROR(B2*10000/F43),0,ROUND(B2*10000/F43,0))</f>
        <v>9148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4177</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4172</v>
      </c>
      <c r="D6" s="147" t="s">
        <v>2109</v>
      </c>
      <c r="E6" s="294" t="s">
        <v>696</v>
      </c>
      <c r="F6" s="295">
        <f ca="1">INDIRECT("'数据-取费表'!u"&amp;$G$1)</f>
        <v>2.2000000000000002</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57731.839999999989</v>
      </c>
      <c r="G7" s="1292"/>
      <c r="H7" s="296"/>
      <c r="I7" s="3351"/>
      <c r="J7" s="298"/>
      <c r="K7" s="299"/>
      <c r="L7" s="294" t="s">
        <v>697</v>
      </c>
      <c r="M7" s="295">
        <f ca="1">F7</f>
        <v>57731.839999999989</v>
      </c>
    </row>
    <row r="8" spans="1:37" ht="18" customHeight="1">
      <c r="A8" s="296"/>
      <c r="B8" s="3351"/>
      <c r="C8" s="298"/>
      <c r="D8" s="299"/>
      <c r="E8" s="294" t="s">
        <v>698</v>
      </c>
      <c r="F8" s="295">
        <f ca="1">INDIRECT("'数据-取费表'!ai"&amp;$G$1)</f>
        <v>365</v>
      </c>
      <c r="G8" s="1292"/>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5</v>
      </c>
      <c r="D10" s="150" t="s">
        <v>2117</v>
      </c>
      <c r="E10" s="305" t="s">
        <v>701</v>
      </c>
      <c r="F10" s="1053" t="s">
        <v>3463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45685</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35905</v>
      </c>
      <c r="D14" s="1257" t="s">
        <v>708</v>
      </c>
      <c r="E14" s="1255"/>
      <c r="F14" s="311"/>
      <c r="G14" s="1292"/>
      <c r="H14" s="928" t="s">
        <v>398</v>
      </c>
      <c r="I14" s="294" t="s">
        <v>709</v>
      </c>
      <c r="J14" s="21">
        <f ca="1">C29</f>
        <v>51915</v>
      </c>
      <c r="K14" s="12"/>
      <c r="L14" s="759"/>
      <c r="M14" s="760"/>
    </row>
    <row r="15" spans="1:37" s="1304" customFormat="1" ht="18" customHeight="1" thickBot="1">
      <c r="A15" s="928" t="s">
        <v>399</v>
      </c>
      <c r="B15" s="294" t="s">
        <v>710</v>
      </c>
      <c r="C15" s="21">
        <f ca="1">ROUND(C14*F15,0)</f>
        <v>1795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159</v>
      </c>
      <c r="K16" s="1024" t="s">
        <v>715</v>
      </c>
      <c r="L16" s="1025"/>
      <c r="M16" s="1009"/>
    </row>
    <row r="17" spans="1:37" s="1304" customFormat="1" ht="18" customHeight="1">
      <c r="A17" s="928" t="s">
        <v>681</v>
      </c>
      <c r="B17" s="294" t="s">
        <v>716</v>
      </c>
      <c r="C17" s="21">
        <f ca="1">ROUND(F17*(F43+INDIRECT("'数据-取费表'!S"&amp;$G$1))/10000,0)</f>
        <v>1436</v>
      </c>
      <c r="D17" s="294" t="s">
        <v>717</v>
      </c>
      <c r="E17" s="294" t="s">
        <v>718</v>
      </c>
      <c r="F17" s="23">
        <f>'数据-取费表'!B35</f>
        <v>200</v>
      </c>
      <c r="G17" s="1303"/>
      <c r="H17" s="928" t="s">
        <v>398</v>
      </c>
      <c r="I17" s="294" t="s">
        <v>719</v>
      </c>
      <c r="J17" s="2140">
        <f ca="1">ROUND(IF(AND(项目基本情况!B11="自然人",项目基本情况!B10="北京市"),J6*M17/(1+'数据-取费表'!C42),J18+J19+J20),2)</f>
        <v>3.46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718</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39854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797</v>
      </c>
      <c r="D20" s="315" t="s">
        <v>729</v>
      </c>
      <c r="E20" s="294" t="s">
        <v>712</v>
      </c>
      <c r="F20" s="314">
        <f>'数据-取费表'!B37</f>
        <v>0.02</v>
      </c>
      <c r="G20" s="1303"/>
      <c r="H20" s="928" t="s">
        <v>680</v>
      </c>
      <c r="I20" s="147" t="s">
        <v>730</v>
      </c>
      <c r="J20" s="22">
        <f ca="1">ROUND(M20*M21/10000,2)</f>
        <v>3.46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23080.7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155.75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1220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-159</v>
      </c>
      <c r="K25" s="1032" t="s">
        <v>753</v>
      </c>
      <c r="L25" s="1033"/>
      <c r="M25" s="1034"/>
    </row>
    <row r="26" spans="1:37">
      <c r="A26" s="928" t="s">
        <v>397</v>
      </c>
      <c r="B26" s="294" t="s">
        <v>754</v>
      </c>
      <c r="C26" s="21">
        <f ca="1">ROUND((C19+C20)*F26,0)</f>
        <v>6098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51915</v>
      </c>
      <c r="D29" s="1029"/>
      <c r="E29" s="1027"/>
      <c r="F29" s="1030"/>
      <c r="G29" s="1303"/>
      <c r="H29" s="325" t="s">
        <v>396</v>
      </c>
      <c r="I29" s="326" t="s">
        <v>768</v>
      </c>
      <c r="J29" s="327">
        <f ca="1">ROUND(J26/(1+F40)^F41,0)</f>
        <v>0</v>
      </c>
      <c r="K29" s="328" t="s">
        <v>769</v>
      </c>
      <c r="L29" s="329"/>
      <c r="M29" s="330">
        <f ca="1">INDIRECT("'数据-取费表'!k"&amp;$G$1)</f>
        <v>71810.27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921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698.79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218.53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476.8</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3.46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23080.7</v>
      </c>
      <c r="G35" s="1292"/>
      <c r="H35" s="2471"/>
      <c r="I35" s="1305"/>
      <c r="J35" s="1306"/>
      <c r="K35" s="2475"/>
      <c r="L35" s="2474"/>
      <c r="M35" s="2474"/>
    </row>
    <row r="36" spans="1:18" ht="18" customHeight="1">
      <c r="A36" s="1039" t="s">
        <v>402</v>
      </c>
      <c r="B36" s="294" t="s">
        <v>738</v>
      </c>
      <c r="C36" s="21">
        <f ca="1">ROUND(C29*F36,2)</f>
        <v>155.75</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45.69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20.89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3256</v>
      </c>
      <c r="D39" s="1032" t="s">
        <v>773</v>
      </c>
      <c r="E39" s="1033"/>
      <c r="F39" s="1034"/>
      <c r="G39" s="1292"/>
      <c r="H39" s="2474"/>
      <c r="I39" s="1305"/>
      <c r="J39" s="1306"/>
      <c r="K39" s="2472"/>
      <c r="L39" s="2474"/>
      <c r="M39" s="2474"/>
    </row>
    <row r="40" spans="1:18" ht="18" customHeight="1">
      <c r="A40" s="291" t="s">
        <v>395</v>
      </c>
      <c r="B40" s="292" t="s">
        <v>774</v>
      </c>
      <c r="C40" s="293">
        <f ca="1">ROUND(C39*(1-((1+F42)/(1+F40))^F41)/(F40-F42),0)</f>
        <v>63981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8910</v>
      </c>
      <c r="D43" s="328" t="s">
        <v>777</v>
      </c>
      <c r="E43" s="329" t="s">
        <v>778</v>
      </c>
      <c r="F43" s="330">
        <f ca="1">INDIRECT("'数据-取费表'!k"&amp;$G$1)</f>
        <v>71810.27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-67105</v>
      </c>
      <c r="D46" s="1313" t="str">
        <f>C2</f>
        <v>万元</v>
      </c>
      <c r="E46" s="1307"/>
      <c r="F46" s="1307"/>
      <c r="I46" s="1314" t="s">
        <v>810</v>
      </c>
      <c r="J46" s="1315"/>
      <c r="K46" s="1316"/>
      <c r="L46" s="1317">
        <f ca="1">IF(M47="住宅",0,IF(L48&gt;J51,L60,J60))</f>
        <v>1713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3464</v>
      </c>
      <c r="K47" s="1323" t="s">
        <v>816</v>
      </c>
      <c r="L47" s="1324">
        <f ca="1">INDIRECT("'数据-取费表'!d"&amp;$G$1)</f>
        <v>50</v>
      </c>
      <c r="M47" s="1288" t="str">
        <f>IF(ISNUMBER(FIND("住宅",C1)),"住宅","非住宅")</f>
        <v>非住宅</v>
      </c>
      <c r="O47" s="1325" t="s">
        <v>403</v>
      </c>
      <c r="P47" s="1326" t="s">
        <v>817</v>
      </c>
      <c r="Q47" s="1327">
        <f ca="1">C40+J29</f>
        <v>63981</v>
      </c>
      <c r="R47" s="1327" t="s">
        <v>818</v>
      </c>
    </row>
    <row r="48" spans="1:18" s="1292" customFormat="1" ht="28.5" thickBot="1">
      <c r="A48" s="1047" t="s">
        <v>438</v>
      </c>
      <c r="B48" s="292" t="s">
        <v>692</v>
      </c>
      <c r="C48" s="1268">
        <f ca="1">C49+C53+C55</f>
        <v>0</v>
      </c>
      <c r="D48" s="1049"/>
      <c r="E48" s="1050"/>
      <c r="F48" s="908"/>
      <c r="G48" s="681"/>
      <c r="H48" s="682"/>
      <c r="I48" s="1328" t="s">
        <v>819</v>
      </c>
      <c r="J48" s="1329" t="s">
        <v>3465</v>
      </c>
      <c r="K48" s="1330" t="s">
        <v>820</v>
      </c>
      <c r="L48" s="1331">
        <f ca="1">INDIRECT("'数据-取费表'!f"&amp;$G$1)</f>
        <v>34.5</v>
      </c>
      <c r="O48" s="1325" t="s">
        <v>404</v>
      </c>
      <c r="P48" s="1326" t="s">
        <v>821</v>
      </c>
      <c r="Q48" s="1327">
        <f ca="1">J60</f>
        <v>1713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2018</v>
      </c>
      <c r="K49" s="1330" t="s">
        <v>824</v>
      </c>
      <c r="L49" s="1333"/>
      <c r="O49" s="1334" t="s">
        <v>405</v>
      </c>
      <c r="P49" s="1326" t="s">
        <v>825</v>
      </c>
      <c r="Q49" s="1327">
        <f ca="1">C29</f>
        <v>51915</v>
      </c>
      <c r="R49" s="1327" t="s">
        <v>818</v>
      </c>
    </row>
    <row r="50" spans="1:18" s="1292" customFormat="1" ht="13.5" thickBot="1">
      <c r="A50" s="922"/>
      <c r="B50" s="925"/>
      <c r="C50" s="1055"/>
      <c r="D50" s="899"/>
      <c r="E50" s="993" t="s">
        <v>697</v>
      </c>
      <c r="F50" s="994">
        <f ca="1">F7</f>
        <v>57731.839999999989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1074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34.5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34.5</v>
      </c>
      <c r="K53" s="3348" t="s">
        <v>837</v>
      </c>
      <c r="L53" s="3349"/>
      <c r="O53" s="1325" t="s">
        <v>409</v>
      </c>
      <c r="P53" s="1326" t="s">
        <v>838</v>
      </c>
      <c r="Q53" s="1327">
        <f ca="1">Q47+Q48</f>
        <v>65694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0.308</v>
      </c>
      <c r="K55" s="1350" t="s">
        <v>841</v>
      </c>
      <c r="L55" s="1351"/>
      <c r="O55" s="1318" t="s">
        <v>811</v>
      </c>
      <c r="P55" s="1319" t="s">
        <v>812</v>
      </c>
      <c r="Q55" s="1320" t="s">
        <v>813</v>
      </c>
      <c r="R55" s="1320" t="s">
        <v>814</v>
      </c>
    </row>
    <row r="56" spans="1:18" s="1292" customFormat="1" ht="25.5" thickTop="1" thickBot="1">
      <c r="A56" s="903">
        <v>2</v>
      </c>
      <c r="B56" s="904" t="s">
        <v>704</v>
      </c>
      <c r="C56" s="224">
        <f ca="1">C13</f>
        <v>45685</v>
      </c>
      <c r="D56" s="1352"/>
      <c r="E56" s="1353"/>
      <c r="F56" s="1345"/>
      <c r="I56" s="1354" t="s">
        <v>842</v>
      </c>
      <c r="J56" s="1355" t="s">
        <v>3466</v>
      </c>
      <c r="K56" s="1328" t="s">
        <v>843</v>
      </c>
      <c r="L56" s="1331" t="str">
        <f ca="1">IF(L48&lt;J51,"——",L48-J53)</f>
        <v>——</v>
      </c>
      <c r="O56" s="1325" t="s">
        <v>403</v>
      </c>
      <c r="P56" s="1326" t="s">
        <v>817</v>
      </c>
      <c r="Q56" s="1327">
        <f ca="1">C40+J29</f>
        <v>63981</v>
      </c>
      <c r="R56" s="1327" t="s">
        <v>818</v>
      </c>
    </row>
    <row r="57" spans="1:18" s="1292" customFormat="1" ht="24.75" thickBot="1">
      <c r="A57" s="1356"/>
      <c r="B57" s="896" t="s">
        <v>767</v>
      </c>
      <c r="C57" s="230">
        <f ca="1">C29</f>
        <v>51915</v>
      </c>
      <c r="D57" s="1357"/>
      <c r="E57" s="1358"/>
      <c r="F57" s="1359"/>
      <c r="I57" s="1360" t="s">
        <v>844</v>
      </c>
      <c r="J57" s="1361">
        <f ca="1">IF(OR(M47="住宅",J51&lt;L48,J56="是"),"——",J51-L48)</f>
        <v>18.5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204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20766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1713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3.46</v>
      </c>
      <c r="D62" s="911" t="s">
        <v>786</v>
      </c>
      <c r="E62" s="896" t="s">
        <v>787</v>
      </c>
      <c r="F62" s="317">
        <f t="shared" si="0"/>
        <v>1.5</v>
      </c>
      <c r="I62" s="1367" t="s">
        <v>858</v>
      </c>
      <c r="J62" s="610" t="s">
        <v>859</v>
      </c>
      <c r="K62" s="610" t="s">
        <v>860</v>
      </c>
      <c r="L62" s="610" t="s">
        <v>861</v>
      </c>
      <c r="M62" s="1368" t="s">
        <v>862</v>
      </c>
      <c r="O62" s="1325" t="s">
        <v>409</v>
      </c>
      <c r="P62" s="1326" t="s">
        <v>863</v>
      </c>
      <c r="Q62" s="1327">
        <f ca="1">Q56+Q57</f>
        <v>63981</v>
      </c>
      <c r="R62" s="1327" t="s">
        <v>410</v>
      </c>
    </row>
    <row r="63" spans="1:18" s="1292" customFormat="1" ht="13.5" thickBot="1">
      <c r="A63" s="318"/>
      <c r="B63" s="902"/>
      <c r="C63" s="26"/>
      <c r="D63" s="912"/>
      <c r="E63" s="896" t="s">
        <v>788</v>
      </c>
      <c r="F63" s="295">
        <f t="shared" ca="1" si="0"/>
        <v>23080.7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155.75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45.69</v>
      </c>
      <c r="D65" s="910" t="s">
        <v>743</v>
      </c>
      <c r="E65" s="896" t="s">
        <v>744</v>
      </c>
      <c r="F65" s="321">
        <f t="shared" ca="1" si="0"/>
        <v>1E-3</v>
      </c>
      <c r="I65" s="1367" t="s">
        <v>867</v>
      </c>
      <c r="J65" s="610">
        <v>40</v>
      </c>
      <c r="K65" s="610">
        <v>30</v>
      </c>
      <c r="L65" s="610">
        <v>50</v>
      </c>
      <c r="M65" s="1369">
        <v>0.02</v>
      </c>
      <c r="O65" s="1325" t="s">
        <v>403</v>
      </c>
      <c r="P65" s="1326" t="s">
        <v>868</v>
      </c>
      <c r="Q65" s="1327">
        <f ca="1">C40+J29</f>
        <v>63981</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-204</v>
      </c>
      <c r="D67" s="909" t="s">
        <v>753</v>
      </c>
      <c r="E67" s="914"/>
      <c r="F67" s="915"/>
      <c r="O67" s="1334" t="s">
        <v>405</v>
      </c>
      <c r="P67" s="1326" t="s">
        <v>850</v>
      </c>
      <c r="Q67" s="1370">
        <f ca="1">L51</f>
        <v>1074</v>
      </c>
      <c r="R67" s="1327" t="s">
        <v>870</v>
      </c>
    </row>
    <row r="68" spans="1:18" s="1292" customFormat="1" ht="16.5" thickBot="1">
      <c r="A68" s="893" t="s">
        <v>395</v>
      </c>
      <c r="B68" s="894" t="s">
        <v>774</v>
      </c>
      <c r="C68" s="293">
        <f ca="1">ROUND(C67*(1-((1+F70)/(1+F68))^F69)/(F68-F70),0)</f>
        <v>-3124</v>
      </c>
      <c r="D68" s="911" t="s">
        <v>758</v>
      </c>
      <c r="E68" s="896" t="s">
        <v>759</v>
      </c>
      <c r="F68" s="304">
        <f ca="1">F40</f>
        <v>5.5E-2</v>
      </c>
      <c r="O68" s="1334" t="s">
        <v>406</v>
      </c>
      <c r="P68" s="1371" t="s">
        <v>871</v>
      </c>
      <c r="Q68" s="1327">
        <f ca="1">ROUND(Q69-Q70*Q71,0)</f>
        <v>58</v>
      </c>
      <c r="R68" s="1327" t="s">
        <v>414</v>
      </c>
    </row>
    <row r="69" spans="1:18" s="1292" customFormat="1" ht="13.5" thickBot="1">
      <c r="A69" s="897"/>
      <c r="B69" s="898"/>
      <c r="C69" s="298"/>
      <c r="D69" s="916" t="s">
        <v>762</v>
      </c>
      <c r="E69" s="896" t="s">
        <v>763</v>
      </c>
      <c r="F69" s="324">
        <f ca="1">F41</f>
        <v>34.5</v>
      </c>
      <c r="O69" s="1334" t="s">
        <v>411</v>
      </c>
      <c r="P69" s="1371" t="s">
        <v>872</v>
      </c>
      <c r="Q69" s="1327">
        <f ca="1">C39</f>
        <v>3256</v>
      </c>
      <c r="R69" s="1327" t="s">
        <v>818</v>
      </c>
    </row>
    <row r="70" spans="1:18" s="1292" customFormat="1" ht="13.5" thickBot="1">
      <c r="A70" s="900"/>
      <c r="B70" s="901"/>
      <c r="C70" s="302"/>
      <c r="D70" s="912"/>
      <c r="E70" s="896" t="s">
        <v>766</v>
      </c>
      <c r="F70" s="991"/>
      <c r="O70" s="1334" t="s">
        <v>412</v>
      </c>
      <c r="P70" s="1371" t="s">
        <v>873</v>
      </c>
      <c r="Q70" s="1327">
        <f ca="1">C13</f>
        <v>45685</v>
      </c>
      <c r="R70" s="1327" t="s">
        <v>818</v>
      </c>
    </row>
    <row r="71" spans="1:18" s="1292" customFormat="1" ht="13.5" thickBot="1">
      <c r="A71" s="917" t="s">
        <v>396</v>
      </c>
      <c r="B71" s="918" t="s">
        <v>776</v>
      </c>
      <c r="C71" s="327">
        <f ca="1">ROUND(C68*10000/F71,0)</f>
        <v>-435</v>
      </c>
      <c r="D71" s="919" t="s">
        <v>777</v>
      </c>
      <c r="E71" s="920" t="s">
        <v>778</v>
      </c>
      <c r="F71" s="330">
        <f ca="1">F43</f>
        <v>71810.27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3198</v>
      </c>
      <c r="D75" s="1292"/>
      <c r="E75" s="1292"/>
      <c r="F75" s="1292"/>
      <c r="K75" s="1309"/>
      <c r="L75" s="1292"/>
      <c r="O75" s="1325" t="s">
        <v>409</v>
      </c>
      <c r="P75" s="1326" t="s">
        <v>838</v>
      </c>
      <c r="Q75" s="1327">
        <f ca="1">Q65+Q66</f>
        <v>63981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1.8000000000000016E-2</v>
      </c>
    </row>
    <row r="80" spans="1:18">
      <c r="B80" s="331" t="s">
        <v>800</v>
      </c>
      <c r="C80" s="266">
        <f ca="1">ROUND(C75/C39,3)</f>
        <v>0.98199999999999998</v>
      </c>
    </row>
    <row r="81" spans="2:3">
      <c r="B81" s="262" t="s">
        <v>801</v>
      </c>
      <c r="C81" s="230"/>
    </row>
    <row r="82" spans="2:3">
      <c r="B82" s="265" t="s">
        <v>802</v>
      </c>
      <c r="C82" s="267">
        <f ca="1">1-C83</f>
        <v>0.28600000000000003</v>
      </c>
    </row>
    <row r="83" spans="2:3">
      <c r="B83" s="265" t="s">
        <v>803</v>
      </c>
      <c r="C83" s="266">
        <f ca="1">ROUND(C13/C40,3)</f>
        <v>0.71399999999999997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3" t="s">
        <v>2317</v>
      </c>
      <c r="K2" s="335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5" t="s">
        <v>2327</v>
      </c>
      <c r="K3" s="3356"/>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5" t="s">
        <v>2329</v>
      </c>
      <c r="K4" s="3356"/>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7" t="s">
        <v>2333</v>
      </c>
      <c r="B6" s="3358"/>
      <c r="C6" s="3359"/>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4" t="s">
        <v>2347</v>
      </c>
      <c r="C8" s="3365"/>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4" t="s">
        <v>2353</v>
      </c>
      <c r="C9" s="3365"/>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64" t="s">
        <v>2356</v>
      </c>
      <c r="C10" s="3365"/>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64" t="s">
        <v>2359</v>
      </c>
      <c r="C11" s="3365"/>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6" t="s">
        <v>2362</v>
      </c>
      <c r="C12" s="3367"/>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6" t="s">
        <v>2368</v>
      </c>
      <c r="C14" s="3367"/>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6" t="s">
        <v>2372</v>
      </c>
      <c r="C15" s="3367"/>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6" t="s">
        <v>2381</v>
      </c>
      <c r="C16" s="3367"/>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2384</v>
      </c>
      <c r="C17" s="3369"/>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3" t="s">
        <v>2317</v>
      </c>
      <c r="K32" s="335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5" t="s">
        <v>2327</v>
      </c>
      <c r="K33" s="335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5" t="s">
        <v>2329</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65694</v>
      </c>
      <c r="C2" s="1729" t="s">
        <v>1651</v>
      </c>
      <c r="D2" s="1730" t="s">
        <v>1652</v>
      </c>
      <c r="E2" s="2393">
        <f>SUM(E6:E13)</f>
        <v>71810.27</v>
      </c>
      <c r="F2" s="2480"/>
      <c r="G2" s="459"/>
      <c r="H2" s="459"/>
      <c r="I2" s="459"/>
      <c r="J2" s="459"/>
      <c r="K2" s="459"/>
      <c r="L2" s="459"/>
      <c r="M2" s="459"/>
      <c r="N2" s="459"/>
      <c r="O2" s="459"/>
      <c r="P2" s="459"/>
      <c r="Q2" s="459"/>
      <c r="R2" s="459"/>
      <c r="S2" s="459"/>
    </row>
    <row r="3" spans="1:22" ht="15.75">
      <c r="A3" s="1728" t="s">
        <v>686</v>
      </c>
      <c r="B3" s="2387">
        <f ca="1">ROUND(B2*10000/E2,0)</f>
        <v>9148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65694</v>
      </c>
      <c r="C6" s="1729" t="s">
        <v>1651</v>
      </c>
      <c r="D6" s="2480"/>
      <c r="E6" s="2392">
        <f>IF(OR(A6=0,F6="否"),0,'数据-取费表'!K6+'数据-取费表'!S6)</f>
        <v>71810.27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71810.27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71810.27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71810.27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71810.27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409"/>
      <c r="Q10" s="530" t="str">
        <f t="shared" si="6"/>
        <v>土地使用年限（年）</v>
      </c>
      <c r="R10" s="664" t="s">
        <v>14</v>
      </c>
      <c r="S10" s="665">
        <f t="shared" si="0"/>
        <v>112</v>
      </c>
      <c r="T10" s="664" t="s">
        <v>14</v>
      </c>
      <c r="U10" s="665">
        <f t="shared" si="1"/>
        <v>112</v>
      </c>
      <c r="V10" s="664" t="s">
        <v>14</v>
      </c>
      <c r="W10" s="665">
        <f t="shared" si="2"/>
        <v>112</v>
      </c>
      <c r="X10" s="666"/>
      <c r="Y10" s="3321"/>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57731.839999999989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14078.430000000015</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71810.27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409"/>
      <c r="Q10" s="530" t="str">
        <f t="shared" si="6"/>
        <v>土地使用年限（年）</v>
      </c>
      <c r="R10" s="664" t="s">
        <v>14</v>
      </c>
      <c r="S10" s="665">
        <f t="shared" si="0"/>
        <v>112</v>
      </c>
      <c r="T10" s="664" t="s">
        <v>14</v>
      </c>
      <c r="U10" s="665">
        <f t="shared" si="1"/>
        <v>112</v>
      </c>
      <c r="V10" s="664" t="s">
        <v>14</v>
      </c>
      <c r="W10" s="665">
        <f t="shared" si="2"/>
        <v>112</v>
      </c>
      <c r="X10" s="666"/>
      <c r="Y10" s="3321"/>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57731.839999999989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14078.430000000015</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23080.7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22818</v>
      </c>
      <c r="C2" s="1984" t="s">
        <v>2074</v>
      </c>
      <c r="D2" s="1984" t="s">
        <v>2075</v>
      </c>
      <c r="E2" s="2398">
        <f ca="1">SUMIF(E6:E13,"&lt;&gt;#ref!",E6:E13)</f>
        <v>71810.27</v>
      </c>
      <c r="F2" s="2545"/>
      <c r="G2" s="2545"/>
      <c r="H2" s="2545"/>
      <c r="I2" s="2545"/>
      <c r="J2" s="2545"/>
      <c r="K2" s="2545"/>
      <c r="L2" s="2545"/>
      <c r="M2" s="2545"/>
      <c r="N2" s="2545"/>
      <c r="O2" s="2545"/>
      <c r="P2" s="2545"/>
    </row>
    <row r="3" spans="1:16" ht="15.75">
      <c r="A3" s="1984" t="s">
        <v>2076</v>
      </c>
      <c r="B3" s="2388">
        <f ca="1">ROUND(B2*10000/E2,0)</f>
        <v>3178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22818</v>
      </c>
      <c r="C6" s="1984" t="s">
        <v>2074</v>
      </c>
      <c r="D6" s="2545"/>
      <c r="E6" s="2398">
        <f ca="1">SUMIF(INDIRECT("'"&amp;A6&amp;"'"&amp;"!C:C"),"建筑面积",INDIRECT("'"&amp;A6&amp;"'"&amp;"!D:D"))</f>
        <v>71810.27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71810.27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22818</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6010</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3178</v>
      </c>
      <c r="C3" s="1846" t="s">
        <v>1941</v>
      </c>
      <c r="D3" s="162" t="s">
        <v>1942</v>
      </c>
      <c r="E3" s="3119" t="s">
        <v>3467</v>
      </c>
      <c r="F3" s="1848" t="s">
        <v>3468</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4737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4004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2005</v>
      </c>
      <c r="D5" s="1252">
        <f>ROUND(C6*C17+C20,0)</f>
        <v>2005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3531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3393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2.5</v>
      </c>
      <c r="AA7" s="1133"/>
      <c r="AB7" s="1133"/>
      <c r="AC7" s="1134"/>
      <c r="AD7" s="1135"/>
      <c r="AE7" s="1135"/>
      <c r="AF7" s="1135"/>
      <c r="AG7" s="1135"/>
      <c r="AH7" s="1135"/>
      <c r="AI7" s="1135"/>
      <c r="AJ7" s="1136"/>
    </row>
    <row r="8" spans="1:36" ht="25.5">
      <c r="A8" s="3010"/>
      <c r="B8" s="162" t="s">
        <v>1957</v>
      </c>
      <c r="C8" s="1870" t="s">
        <v>3469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3254</v>
      </c>
      <c r="B20" s="159" t="s">
        <v>1994</v>
      </c>
      <c r="C20" s="3032">
        <f>ROUND(IF(F21="与级别开发程度一致",0,(G21-E21)/C21),0)</f>
        <v>-45</v>
      </c>
      <c r="D20" s="3047" t="s">
        <v>1998</v>
      </c>
      <c r="E20" s="3048"/>
      <c r="F20" s="3466" t="s">
        <v>1995</v>
      </c>
      <c r="G20" s="3467"/>
      <c r="H20" s="3033" t="s">
        <v>3470</v>
      </c>
      <c r="I20" s="3033" t="s">
        <v>3471</v>
      </c>
      <c r="J20" s="3034" t="s">
        <v>3472</v>
      </c>
      <c r="K20" s="1889" t="s">
        <v>3473</v>
      </c>
      <c r="L20" s="1889" t="s">
        <v>3474</v>
      </c>
      <c r="M20" s="1889"/>
      <c r="N20" s="1889"/>
      <c r="O20" s="1890" t="s">
        <v>3475</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2</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45828</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0.89200000000000002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34.5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0.95120000000000005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0.95120000000000005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1.0289999999999999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22818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127</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3806</v>
      </c>
      <c r="D33" s="1940">
        <f>'数据-基础表'!I13</f>
        <v>57731.839999999989</v>
      </c>
      <c r="E33" s="727">
        <f>ROUND(C33*D33/10000,0)</f>
        <v>21973</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571</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2401</v>
      </c>
      <c r="D37" s="1940"/>
      <c r="E37" s="163">
        <f>ROUND(C37*D37/10000,0)</f>
        <v>0</v>
      </c>
      <c r="F37" s="163">
        <f>SUMIF(修正!A57:A68,G2,修正!B57:B68)</f>
        <v>0.6</v>
      </c>
      <c r="G37" s="163">
        <f>ROUND(IF(E2="工业",C37*$M$42,C37*$M$41),0)</f>
        <v>360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1200</v>
      </c>
      <c r="D38" s="1940"/>
      <c r="E38" s="163">
        <f t="shared" ref="E38:E42" si="4">ROUND(C38*D38/10000,0)</f>
        <v>0</v>
      </c>
      <c r="F38" s="163">
        <f>SUMIF(修正!A57:A68,G2,修正!C57:C68)</f>
        <v>0.3</v>
      </c>
      <c r="G38" s="163">
        <f>ROUND(IF(E2="工业",C38*$M$42,C38*$M$41),0)</f>
        <v>180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3259</v>
      </c>
      <c r="C39" s="167">
        <f>ROUND(D5*C22*C23*C24*C28*F39,0)</f>
        <v>1000</v>
      </c>
      <c r="D39" s="1940"/>
      <c r="E39" s="163">
        <f t="shared" si="4"/>
        <v>0</v>
      </c>
      <c r="F39" s="163">
        <f>SUMIF(修正!A57:A68,G2,修正!D57:D68)</f>
        <v>0.25</v>
      </c>
      <c r="G39" s="163">
        <f>ROUND(IF(E2="工业",C39*$M$42,C39*$M$41),0)</f>
        <v>150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1000</v>
      </c>
      <c r="D40" s="1940"/>
      <c r="E40" s="163">
        <f t="shared" si="4"/>
        <v>0</v>
      </c>
      <c r="F40" s="167">
        <f>SUMIF(修正!A57:A68,G2,修正!E57:E68)</f>
        <v>0.25</v>
      </c>
      <c r="G40" s="163">
        <f>ROUND(IF(E2="工业",C40*$M$42,C40*$M$41),0)</f>
        <v>150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1000</v>
      </c>
      <c r="D41" s="1940"/>
      <c r="E41" s="163">
        <f t="shared" si="4"/>
        <v>0</v>
      </c>
      <c r="F41" s="167">
        <f>SUMIF(修正!A57:A68,G2,修正!F57:F68)</f>
        <v>0.25</v>
      </c>
      <c r="G41" s="163">
        <f>ROUND(IF(E2="工业",C41*$M$42,C41*$M$41),0)</f>
        <v>150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600</v>
      </c>
      <c r="D42" s="1945">
        <f>'数据-基础表'!K13</f>
        <v>14078.430000000015</v>
      </c>
      <c r="E42" s="179">
        <f t="shared" si="4"/>
        <v>845</v>
      </c>
      <c r="F42" s="723">
        <f>SUMIF(修正!A57:A68,G2,修正!G57:G68)</f>
        <v>0.15</v>
      </c>
      <c r="G42" s="179">
        <f>ROUND(IF(E2="工业",C42*$M$42,C42*$M$41),0)</f>
        <v>90</v>
      </c>
      <c r="H42" s="179">
        <f t="shared" si="5"/>
        <v>14078.430000000015</v>
      </c>
      <c r="I42" s="179">
        <f t="shared" si="6"/>
        <v>127</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0.89200000000000002</v>
      </c>
      <c r="D44" s="163" t="s">
        <v>1999</v>
      </c>
      <c r="E44" s="1991">
        <f>G24</f>
        <v>0.05</v>
      </c>
      <c r="F44" s="163" t="s">
        <v>2008</v>
      </c>
      <c r="G44" s="175">
        <f>项目基本情况!F15</f>
        <v>34.5</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1.0289999999999999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3476</v>
      </c>
      <c r="D83" s="1002">
        <f t="shared" ref="D83:D90" si="22">SUMIF($J$82:$N$82,C83,J83:N83)</f>
        <v>1.2999999999999999E-2</v>
      </c>
      <c r="E83" s="702">
        <f>ROUND(SUM(D83:D90),4)</f>
        <v>2.9000000000000001E-2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3477</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3270</v>
      </c>
      <c r="B85" s="1262">
        <f>估价对象房地状况!G17</f>
        <v>0</v>
      </c>
      <c r="C85" s="1887" t="s">
        <v>3477</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3478</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3479</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3476</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3477</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3478</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2612</v>
      </c>
      <c r="B91" s="3080" t="e">
        <f>1+E93</f>
        <v>#VALUE!</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3476</v>
      </c>
      <c r="D93" s="2310" t="e">
        <f>SUMIF($J$92:$N$92,C93,J93:N93)</f>
        <v>#VALUE!</v>
      </c>
      <c r="E93" s="3084" t="e">
        <f>ROUND(SUM(D93:D101),4)</f>
        <v>#VALUE!</v>
      </c>
      <c r="F93" s="1675" t="str">
        <f>IF(E2="公共服务",SUMIF(L1:L12,G2,N1:N12),"——")</f>
        <v>——</v>
      </c>
      <c r="G93" s="3075" t="str">
        <f>H93</f>
        <v>——</v>
      </c>
      <c r="H93" s="3120" t="str">
        <f>IFERROR(ROUNDDOWN($F$93*I93/2,4),"——")</f>
        <v>——</v>
      </c>
      <c r="I93" s="3069">
        <v>0.25</v>
      </c>
      <c r="J93" s="1912" t="e">
        <f t="shared" ref="J93:J101" si="28">K93+$G93</f>
        <v>#VALUE!</v>
      </c>
      <c r="K93" s="1912" t="e">
        <f t="shared" ref="K93:K101" si="29">$L93+$G93</f>
        <v>#VALUE!</v>
      </c>
      <c r="L93" s="1912">
        <v>0</v>
      </c>
      <c r="M93" s="1912" t="e">
        <f t="shared" ref="M93:N101" si="30">L93-$G93</f>
        <v>#VALUE!</v>
      </c>
      <c r="N93" s="1912" t="e">
        <f t="shared" si="30"/>
        <v>#VALUE!</v>
      </c>
    </row>
    <row r="94" spans="1:37" ht="38.25">
      <c r="A94" s="3081" t="s">
        <v>3273</v>
      </c>
      <c r="B94" s="3072" t="str">
        <f>估价对象房地状况!C18</f>
        <v>估价对象周边道路状况、公共交通通达情况、停车便捷程度，综合评价交通便捷度较好</v>
      </c>
      <c r="C94" s="1887" t="s">
        <v>3477</v>
      </c>
      <c r="D94" s="2310" t="e">
        <f t="shared" ref="D94:D101" si="31">SUMIF($J$60:$N$60,C94,J94:N94)</f>
        <v>#VALUE!</v>
      </c>
      <c r="E94" s="3085"/>
      <c r="F94" s="1675"/>
      <c r="G94" s="3075" t="str">
        <f t="shared" ref="G94:G101" si="32">H94</f>
        <v>——</v>
      </c>
      <c r="H94" s="3120" t="str">
        <f>IFERROR(ROUNDDOWN($F$93*I94/2,4),"——")</f>
        <v>——</v>
      </c>
      <c r="I94" s="3069">
        <v>0.26</v>
      </c>
      <c r="J94" s="1912" t="e">
        <f t="shared" si="28"/>
        <v>#VALUE!</v>
      </c>
      <c r="K94" s="1912" t="e">
        <f t="shared" si="29"/>
        <v>#VALUE!</v>
      </c>
      <c r="L94" s="1912">
        <v>0</v>
      </c>
      <c r="M94" s="1912" t="e">
        <f t="shared" si="30"/>
        <v>#VALUE!</v>
      </c>
      <c r="N94" s="1912" t="e">
        <f t="shared" si="30"/>
        <v>#VALUE!</v>
      </c>
    </row>
    <row r="95" spans="1:37" ht="36">
      <c r="A95" s="3071" t="s">
        <v>3269</v>
      </c>
      <c r="B95" s="3072">
        <f>估价对象房地状况!C19</f>
        <v>0</v>
      </c>
      <c r="C95" s="1887" t="s">
        <v>3477</v>
      </c>
      <c r="D95" s="2310" t="e">
        <f t="shared" si="31"/>
        <v>#VALUE!</v>
      </c>
      <c r="E95" s="3085"/>
      <c r="F95" s="1675"/>
      <c r="G95" s="3075" t="str">
        <f t="shared" si="32"/>
        <v>——</v>
      </c>
      <c r="H95" s="3120" t="str">
        <f t="shared" ref="H95:H101" si="33">IFERROR(ROUNDDOWN($F$93*I95/2,4),"——")</f>
        <v>——</v>
      </c>
      <c r="I95" s="3069">
        <v>0.11</v>
      </c>
      <c r="J95" s="1912" t="e">
        <f t="shared" si="28"/>
        <v>#VALUE!</v>
      </c>
      <c r="K95" s="1912" t="e">
        <f t="shared" si="29"/>
        <v>#VALUE!</v>
      </c>
      <c r="L95" s="1912">
        <v>0</v>
      </c>
      <c r="M95" s="1912" t="e">
        <f t="shared" si="30"/>
        <v>#VALUE!</v>
      </c>
      <c r="N95" s="1912" t="e">
        <f t="shared" si="30"/>
        <v>#VALUE!</v>
      </c>
    </row>
    <row r="96" spans="1:37" ht="36.75">
      <c r="A96" s="3081" t="s">
        <v>3274</v>
      </c>
      <c r="B96" s="3087" t="s">
        <v>3285</v>
      </c>
      <c r="C96" s="1887" t="s">
        <v>3477</v>
      </c>
      <c r="D96" s="2310" t="e">
        <f t="shared" si="31"/>
        <v>#VALUE!</v>
      </c>
      <c r="E96" s="3085"/>
      <c r="F96" s="1675"/>
      <c r="G96" s="3075" t="str">
        <f t="shared" si="32"/>
        <v>——</v>
      </c>
      <c r="H96" s="3120" t="str">
        <f t="shared" si="33"/>
        <v>——</v>
      </c>
      <c r="I96" s="3069">
        <v>0.05</v>
      </c>
      <c r="J96" s="1912" t="e">
        <f t="shared" si="28"/>
        <v>#VALUE!</v>
      </c>
      <c r="K96" s="1912" t="e">
        <f t="shared" si="29"/>
        <v>#VALUE!</v>
      </c>
      <c r="L96" s="1912">
        <v>0</v>
      </c>
      <c r="M96" s="1912" t="e">
        <f t="shared" si="30"/>
        <v>#VALUE!</v>
      </c>
      <c r="N96" s="1912" t="e">
        <f t="shared" si="30"/>
        <v>#VALUE!</v>
      </c>
    </row>
    <row r="97" spans="1:14" ht="24">
      <c r="A97" s="3081" t="s">
        <v>3275</v>
      </c>
      <c r="B97" s="3072">
        <f>估价对象房地状况!C24</f>
        <v>0</v>
      </c>
      <c r="C97" s="1887" t="s">
        <v>3478</v>
      </c>
      <c r="D97" s="2310">
        <f t="shared" si="31"/>
        <v>0</v>
      </c>
      <c r="E97" s="3085"/>
      <c r="F97" s="1675"/>
      <c r="G97" s="3075" t="str">
        <f t="shared" si="32"/>
        <v>——</v>
      </c>
      <c r="H97" s="3120" t="str">
        <f t="shared" si="33"/>
        <v>——</v>
      </c>
      <c r="I97" s="3069">
        <v>0.05</v>
      </c>
      <c r="J97" s="1912" t="e">
        <f t="shared" si="28"/>
        <v>#VALUE!</v>
      </c>
      <c r="K97" s="1912" t="e">
        <f t="shared" si="29"/>
        <v>#VALUE!</v>
      </c>
      <c r="L97" s="1912">
        <v>0</v>
      </c>
      <c r="M97" s="1912" t="e">
        <f t="shared" si="30"/>
        <v>#VALUE!</v>
      </c>
      <c r="N97" s="1912" t="e">
        <f t="shared" si="30"/>
        <v>#VALUE!</v>
      </c>
    </row>
    <row r="98" spans="1:14" ht="24">
      <c r="A98" s="3081" t="s">
        <v>3276</v>
      </c>
      <c r="B98" s="3088" t="s">
        <v>3286</v>
      </c>
      <c r="C98" s="1887" t="s">
        <v>3477</v>
      </c>
      <c r="D98" s="2310" t="e">
        <f t="shared" si="31"/>
        <v>#VALUE!</v>
      </c>
      <c r="E98" s="3085"/>
      <c r="F98" s="1675"/>
      <c r="G98" s="3075" t="str">
        <f t="shared" si="32"/>
        <v>——</v>
      </c>
      <c r="H98" s="3120" t="str">
        <f t="shared" si="33"/>
        <v>——</v>
      </c>
      <c r="I98" s="3069">
        <v>0.06</v>
      </c>
      <c r="J98" s="1912" t="e">
        <f t="shared" si="28"/>
        <v>#VALUE!</v>
      </c>
      <c r="K98" s="1912" t="e">
        <f t="shared" si="29"/>
        <v>#VALUE!</v>
      </c>
      <c r="L98" s="1912">
        <v>0</v>
      </c>
      <c r="M98" s="1912" t="e">
        <f t="shared" si="30"/>
        <v>#VALUE!</v>
      </c>
      <c r="N98" s="1912" t="e">
        <f t="shared" si="30"/>
        <v>#VALUE!</v>
      </c>
    </row>
    <row r="99" spans="1:14" ht="25.5">
      <c r="A99" s="3081" t="s">
        <v>3277</v>
      </c>
      <c r="B99" s="3072" t="str">
        <f>估价对象房地状况!C21</f>
        <v>估价对象所在区域公共配套设施齐备情况</v>
      </c>
      <c r="C99" s="1887" t="s">
        <v>3479</v>
      </c>
      <c r="D99" s="2310" t="e">
        <f t="shared" si="31"/>
        <v>#VALUE!</v>
      </c>
      <c r="E99" s="3085"/>
      <c r="F99" s="1675"/>
      <c r="G99" s="3075" t="str">
        <f t="shared" si="32"/>
        <v>——</v>
      </c>
      <c r="H99" s="3120" t="str">
        <f t="shared" si="33"/>
        <v>——</v>
      </c>
      <c r="I99" s="3069">
        <v>0.06</v>
      </c>
      <c r="J99" s="1912" t="e">
        <f t="shared" si="28"/>
        <v>#VALUE!</v>
      </c>
      <c r="K99" s="1912" t="e">
        <f t="shared" si="29"/>
        <v>#VALUE!</v>
      </c>
      <c r="L99" s="1912">
        <v>0</v>
      </c>
      <c r="M99" s="1912" t="e">
        <f t="shared" si="30"/>
        <v>#VALUE!</v>
      </c>
      <c r="N99" s="1912" t="e">
        <f t="shared" si="30"/>
        <v>#VALUE!</v>
      </c>
    </row>
    <row r="100" spans="1:14" ht="25.5">
      <c r="A100" s="3081" t="s">
        <v>3278</v>
      </c>
      <c r="B100" s="3072" t="str">
        <f>估价对象房地状况!C22</f>
        <v>估价对象所在区域基础设施水平</v>
      </c>
      <c r="C100" s="1887" t="s">
        <v>3476</v>
      </c>
      <c r="D100" s="2310" t="e">
        <f t="shared" si="31"/>
        <v>#VALUE!</v>
      </c>
      <c r="E100" s="3085"/>
      <c r="F100" s="1675"/>
      <c r="G100" s="3075" t="str">
        <f t="shared" si="32"/>
        <v>——</v>
      </c>
      <c r="H100" s="3120" t="str">
        <f t="shared" si="33"/>
        <v>——</v>
      </c>
      <c r="I100" s="3069">
        <v>0.09</v>
      </c>
      <c r="J100" s="1912" t="e">
        <f t="shared" si="28"/>
        <v>#VALUE!</v>
      </c>
      <c r="K100" s="1912" t="e">
        <f t="shared" si="29"/>
        <v>#VALUE!</v>
      </c>
      <c r="L100" s="1912">
        <v>0</v>
      </c>
      <c r="M100" s="1912" t="e">
        <f t="shared" si="30"/>
        <v>#VALUE!</v>
      </c>
      <c r="N100" s="1912" t="e">
        <f t="shared" si="30"/>
        <v>#VALUE!</v>
      </c>
    </row>
    <row r="101" spans="1:14" ht="26.25" thickBot="1">
      <c r="A101" s="3082" t="s">
        <v>3279</v>
      </c>
      <c r="B101" s="3089" t="str">
        <f>估价对象房地状况!C20</f>
        <v>区域自然环境：；人文环境；综合评价环境状况一般</v>
      </c>
      <c r="C101" s="1887" t="s">
        <v>3478</v>
      </c>
      <c r="D101" s="2310">
        <f t="shared" si="31"/>
        <v>0</v>
      </c>
      <c r="E101" s="3086"/>
      <c r="F101" s="1675"/>
      <c r="G101" s="3075" t="str">
        <f t="shared" si="32"/>
        <v>——</v>
      </c>
      <c r="H101" s="3120" t="str">
        <f t="shared" si="33"/>
        <v>——</v>
      </c>
      <c r="I101" s="3070">
        <v>7.0000000000000007E-2</v>
      </c>
      <c r="J101" s="1912" t="e">
        <f t="shared" si="28"/>
        <v>#VALUE!</v>
      </c>
      <c r="K101" s="1912" t="e">
        <f t="shared" si="29"/>
        <v>#VALUE!</v>
      </c>
      <c r="L101" s="1912">
        <v>0</v>
      </c>
      <c r="M101" s="1912" t="e">
        <f t="shared" si="30"/>
        <v>#VALUE!</v>
      </c>
      <c r="N101" s="1912" t="e">
        <f t="shared" si="30"/>
        <v>#VALUE!</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91" t="s">
        <v>3297</v>
      </c>
      <c r="D104" s="3092"/>
      <c r="E104" s="3092"/>
      <c r="F104" s="3092"/>
      <c r="G104" s="3092"/>
      <c r="H104" s="3092"/>
      <c r="I104" s="3092"/>
      <c r="J104" s="3093"/>
      <c r="K104" s="3094"/>
      <c r="L104" s="3094"/>
      <c r="M104" s="3094"/>
      <c r="N104" s="3094"/>
    </row>
    <row r="105" spans="1:14">
      <c r="A105" s="3463"/>
      <c r="B105" s="346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3268</v>
      </c>
      <c r="C111" s="3096">
        <f>$I$3</f>
        <v>0</v>
      </c>
      <c r="D111" s="3096">
        <f t="shared" ref="D111:M111" si="34">$I$3</f>
        <v>0</v>
      </c>
      <c r="E111" s="3096">
        <f t="shared" si="34"/>
        <v>0</v>
      </c>
      <c r="F111" s="3096">
        <f t="shared" si="34"/>
        <v>0</v>
      </c>
      <c r="G111" s="3096">
        <f t="shared" si="34"/>
        <v>0</v>
      </c>
      <c r="H111" s="3096">
        <f t="shared" si="34"/>
        <v>0</v>
      </c>
      <c r="I111" s="3096">
        <f t="shared" si="34"/>
        <v>0</v>
      </c>
      <c r="J111" s="3096">
        <f t="shared" si="34"/>
        <v>0</v>
      </c>
      <c r="K111" s="3096">
        <f t="shared" si="34"/>
        <v>0</v>
      </c>
      <c r="L111" s="3096">
        <f t="shared" si="34"/>
        <v>0</v>
      </c>
      <c r="M111" s="3096">
        <f t="shared" si="34"/>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5">(-0.7912*(F111^2)-11.3794*F111+8482)*(10^(-4))</f>
        <v>0.84820000000000007</v>
      </c>
      <c r="G112" s="3090">
        <f t="shared" si="35"/>
        <v>0.84820000000000007</v>
      </c>
      <c r="H112" s="3090">
        <f t="shared" si="35"/>
        <v>0.84820000000000007</v>
      </c>
      <c r="I112" s="3090">
        <f t="shared" si="35"/>
        <v>0.84820000000000007</v>
      </c>
      <c r="J112" s="3090">
        <f>(-0.989*(J111^2)-63.78*J111+7771)*(10^(-4))</f>
        <v>0.77710000000000001</v>
      </c>
      <c r="K112" s="3090">
        <f t="shared" ref="K112:N112" si="36">(-0.989*(K111^2)-63.78*K111+7771)*(10^(-4))</f>
        <v>0.77710000000000001</v>
      </c>
      <c r="L112" s="3090">
        <f t="shared" si="36"/>
        <v>0.77710000000000001</v>
      </c>
      <c r="M112" s="3090">
        <f t="shared" si="36"/>
        <v>0.77710000000000001</v>
      </c>
      <c r="N112" s="3090">
        <f t="shared" si="36"/>
        <v>0.77710000000000001</v>
      </c>
    </row>
    <row r="113" spans="1:14">
      <c r="A113" s="3452" t="s">
        <v>3311</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0.61619999999999997</v>
      </c>
      <c r="E116" s="162" t="s">
        <v>3314</v>
      </c>
      <c r="F116" s="3102" t="str">
        <f>E2</f>
        <v>工业</v>
      </c>
      <c r="G116" s="162" t="s">
        <v>3315</v>
      </c>
      <c r="H116" s="3102" t="str">
        <f>G2</f>
        <v>六级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7">I118</f>
        <v>0.80359999999999998</v>
      </c>
      <c r="K118" s="3090">
        <f t="shared" si="37"/>
        <v>0.80359999999999998</v>
      </c>
      <c r="L118" s="3090">
        <f t="shared" si="37"/>
        <v>0.80359999999999998</v>
      </c>
      <c r="M118" s="3110">
        <f t="shared" si="37"/>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8">D119</f>
        <v>0.90600000000000003</v>
      </c>
      <c r="F119" s="3090">
        <f t="shared" si="38"/>
        <v>0.90600000000000003</v>
      </c>
      <c r="G119" s="3090">
        <f t="shared" si="38"/>
        <v>0.90600000000000003</v>
      </c>
      <c r="H119" s="3090">
        <f t="shared" si="38"/>
        <v>0.90600000000000003</v>
      </c>
      <c r="I119" s="3090">
        <f>ROUND(0.838-0.0182*B116,4)</f>
        <v>0.79249999999999998</v>
      </c>
      <c r="J119" s="3090">
        <f t="shared" si="37"/>
        <v>0.79249999999999998</v>
      </c>
      <c r="K119" s="3090">
        <f t="shared" si="37"/>
        <v>0.79249999999999998</v>
      </c>
      <c r="L119" s="3090">
        <f t="shared" si="37"/>
        <v>0.79249999999999998</v>
      </c>
      <c r="M119" s="3110">
        <f t="shared" si="37"/>
        <v>0.79249999999999998</v>
      </c>
      <c r="N119" s="3098"/>
    </row>
    <row r="120" spans="1:14">
      <c r="A120" s="3058" t="s">
        <v>3330</v>
      </c>
      <c r="B120" s="3090">
        <f>ROUND(0.9448-0.0115*B116,4)</f>
        <v>0.91610000000000003</v>
      </c>
      <c r="C120" s="3090">
        <f>B120</f>
        <v>0.91610000000000003</v>
      </c>
      <c r="D120" s="3090">
        <f>ROUND(0.937-0.0145*B116,4)</f>
        <v>0.90080000000000005</v>
      </c>
      <c r="E120" s="3090">
        <f t="shared" si="38"/>
        <v>0.90080000000000005</v>
      </c>
      <c r="F120" s="3090">
        <f t="shared" si="38"/>
        <v>0.90080000000000005</v>
      </c>
      <c r="G120" s="3090">
        <f t="shared" si="38"/>
        <v>0.90080000000000005</v>
      </c>
      <c r="H120" s="3090">
        <f t="shared" si="38"/>
        <v>0.90080000000000005</v>
      </c>
      <c r="I120" s="3090">
        <f>ROUND(0.7965-0.0185*B116,4)</f>
        <v>0.75029999999999997</v>
      </c>
      <c r="J120" s="3090">
        <f t="shared" si="37"/>
        <v>0.75029999999999997</v>
      </c>
      <c r="K120" s="3090">
        <f t="shared" si="37"/>
        <v>0.75029999999999997</v>
      </c>
      <c r="L120" s="3090">
        <f t="shared" si="37"/>
        <v>0.75029999999999997</v>
      </c>
      <c r="M120" s="3110">
        <f t="shared" si="37"/>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7"/>
        <v>0.54300000000000004</v>
      </c>
      <c r="K121" s="3112">
        <f t="shared" si="37"/>
        <v>0.54300000000000004</v>
      </c>
      <c r="L121" s="3112">
        <f t="shared" si="37"/>
        <v>0.54300000000000004</v>
      </c>
      <c r="M121" s="3113">
        <f t="shared" si="37"/>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9">D122</f>
        <v>0.86180000000000001</v>
      </c>
      <c r="F122" s="3090">
        <f t="shared" si="39"/>
        <v>0.86180000000000001</v>
      </c>
      <c r="G122" s="3090">
        <f t="shared" si="39"/>
        <v>0.86180000000000001</v>
      </c>
      <c r="H122" s="3090">
        <f t="shared" si="39"/>
        <v>0.86180000000000001</v>
      </c>
      <c r="I122" s="3090">
        <f>ROUND(0.7632-0.0166*B116,4)</f>
        <v>0.72170000000000001</v>
      </c>
      <c r="J122" s="3090">
        <f t="shared" si="37"/>
        <v>0.72170000000000001</v>
      </c>
      <c r="K122" s="3090">
        <f t="shared" si="37"/>
        <v>0.72170000000000001</v>
      </c>
      <c r="L122" s="3090">
        <f t="shared" si="37"/>
        <v>0.72170000000000001</v>
      </c>
      <c r="M122" s="3110">
        <f t="shared" si="37"/>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10"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5" t="s">
        <v>2607</v>
      </c>
      <c r="B20" s="3468" t="s">
        <v>2628</v>
      </c>
      <c r="C20" s="2843" t="s">
        <v>2439</v>
      </c>
      <c r="D20" s="2844"/>
      <c r="E20" s="2845">
        <v>1</v>
      </c>
      <c r="F20" s="2846" t="s">
        <v>2440</v>
      </c>
      <c r="G20" s="2846"/>
    </row>
    <row r="21" spans="1:13" ht="19.5" customHeight="1">
      <c r="A21" s="3476"/>
      <c r="B21" s="3469"/>
      <c r="C21" s="2847" t="s">
        <v>2441</v>
      </c>
      <c r="D21" s="2848"/>
      <c r="E21" s="2849">
        <v>1</v>
      </c>
      <c r="F21" s="2846" t="s">
        <v>2442</v>
      </c>
      <c r="G21" s="2846"/>
    </row>
    <row r="22" spans="1:13" ht="19.5" customHeight="1">
      <c r="A22" s="3476"/>
      <c r="B22" s="3469"/>
      <c r="C22" s="2847" t="s">
        <v>2443</v>
      </c>
      <c r="D22" s="2848"/>
      <c r="E22" s="2849">
        <v>0.9</v>
      </c>
      <c r="F22" s="2846" t="s">
        <v>2444</v>
      </c>
      <c r="G22" s="2846"/>
    </row>
    <row r="23" spans="1:13" ht="19.5" customHeight="1">
      <c r="A23" s="3476"/>
      <c r="B23" s="3469"/>
      <c r="C23" s="2847" t="s">
        <v>2445</v>
      </c>
      <c r="D23" s="2848"/>
      <c r="E23" s="2849">
        <v>0.9</v>
      </c>
      <c r="F23" s="2846" t="s">
        <v>2446</v>
      </c>
      <c r="G23" s="2846"/>
    </row>
    <row r="24" spans="1:13" ht="19.5" customHeight="1">
      <c r="A24" s="3476"/>
      <c r="B24" s="3469"/>
      <c r="C24" s="2847" t="s">
        <v>2447</v>
      </c>
      <c r="D24" s="2848"/>
      <c r="E24" s="2849">
        <v>0.8</v>
      </c>
      <c r="F24" s="2846" t="s">
        <v>2448</v>
      </c>
      <c r="G24" s="2846"/>
    </row>
    <row r="25" spans="1:13" ht="19.5" customHeight="1" thickBot="1">
      <c r="A25" s="3477"/>
      <c r="B25" s="347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1" t="s">
        <v>2631</v>
      </c>
      <c r="B27" s="3468" t="s">
        <v>2612</v>
      </c>
      <c r="C27" s="2843" t="s">
        <v>2452</v>
      </c>
      <c r="D27" s="2844"/>
      <c r="E27" s="2845">
        <v>1</v>
      </c>
      <c r="F27" s="2846" t="s">
        <v>2453</v>
      </c>
      <c r="G27" s="2846"/>
    </row>
    <row r="28" spans="1:13" ht="19.5" customHeight="1">
      <c r="A28" s="3472"/>
      <c r="B28" s="3469"/>
      <c r="C28" s="2847" t="s">
        <v>2454</v>
      </c>
      <c r="D28" s="2848"/>
      <c r="E28" s="2849">
        <v>1</v>
      </c>
      <c r="F28" s="2846" t="s">
        <v>2455</v>
      </c>
      <c r="G28" s="2846"/>
    </row>
    <row r="29" spans="1:13" ht="19.5" customHeight="1">
      <c r="A29" s="3472"/>
      <c r="B29" s="3469"/>
      <c r="C29" s="2847" t="s">
        <v>2456</v>
      </c>
      <c r="D29" s="2848"/>
      <c r="E29" s="2849">
        <v>0.8</v>
      </c>
      <c r="F29" s="2846" t="s">
        <v>2457</v>
      </c>
      <c r="G29" s="2846"/>
    </row>
    <row r="30" spans="1:13" ht="19.5" customHeight="1">
      <c r="A30" s="3472"/>
      <c r="B30" s="3469"/>
      <c r="C30" s="2847" t="s">
        <v>2458</v>
      </c>
      <c r="D30" s="2848"/>
      <c r="E30" s="2849">
        <v>0.8</v>
      </c>
      <c r="F30" s="2846" t="s">
        <v>2459</v>
      </c>
      <c r="G30" s="2846"/>
    </row>
    <row r="31" spans="1:13" ht="19.5" customHeight="1">
      <c r="A31" s="3472"/>
      <c r="B31" s="3469"/>
      <c r="C31" s="2847" t="s">
        <v>2460</v>
      </c>
      <c r="D31" s="2848"/>
      <c r="E31" s="2849">
        <v>0.8</v>
      </c>
      <c r="F31" s="2846" t="s">
        <v>2461</v>
      </c>
      <c r="G31" s="2846"/>
    </row>
    <row r="32" spans="1:13" ht="19.5" customHeight="1">
      <c r="A32" s="3472"/>
      <c r="B32" s="3469"/>
      <c r="C32" s="2847" t="s">
        <v>2462</v>
      </c>
      <c r="D32" s="2848"/>
      <c r="E32" s="2849">
        <v>0.7</v>
      </c>
      <c r="F32" s="2846" t="s">
        <v>2463</v>
      </c>
      <c r="G32" s="2846"/>
    </row>
    <row r="33" spans="1:7" ht="19.5" customHeight="1">
      <c r="A33" s="3472"/>
      <c r="B33" s="3469"/>
      <c r="C33" s="2847" t="s">
        <v>2464</v>
      </c>
      <c r="D33" s="2848"/>
      <c r="E33" s="2849">
        <v>0.8</v>
      </c>
      <c r="F33" s="2846" t="s">
        <v>2465</v>
      </c>
      <c r="G33" s="2846"/>
    </row>
    <row r="34" spans="1:7" ht="19.5" customHeight="1">
      <c r="A34" s="3472"/>
      <c r="B34" s="3469"/>
      <c r="C34" s="2847" t="s">
        <v>2466</v>
      </c>
      <c r="D34" s="2848"/>
      <c r="E34" s="2849">
        <v>0.6</v>
      </c>
      <c r="F34" s="2846" t="s">
        <v>2467</v>
      </c>
      <c r="G34" s="2846"/>
    </row>
    <row r="35" spans="1:7" ht="19.5" customHeight="1">
      <c r="A35" s="3472"/>
      <c r="B35" s="3469"/>
      <c r="C35" s="2847" t="s">
        <v>2468</v>
      </c>
      <c r="D35" s="2848"/>
      <c r="E35" s="2849">
        <v>0.2</v>
      </c>
      <c r="F35" s="2846" t="s">
        <v>2469</v>
      </c>
      <c r="G35" s="2846"/>
    </row>
    <row r="36" spans="1:7" ht="19.5" customHeight="1">
      <c r="A36" s="3472"/>
      <c r="B36" s="3469"/>
      <c r="C36" s="2847" t="s">
        <v>2470</v>
      </c>
      <c r="D36" s="2848"/>
      <c r="E36" s="2849">
        <v>0.2</v>
      </c>
      <c r="F36" s="2846" t="s">
        <v>2471</v>
      </c>
      <c r="G36" s="2846"/>
    </row>
    <row r="37" spans="1:7" ht="19.5" customHeight="1">
      <c r="A37" s="3472"/>
      <c r="B37" s="3474" t="s">
        <v>2632</v>
      </c>
      <c r="C37" s="2847" t="s">
        <v>2472</v>
      </c>
      <c r="D37" s="2848"/>
      <c r="E37" s="2849">
        <v>0.6</v>
      </c>
      <c r="F37" s="2846" t="s">
        <v>2473</v>
      </c>
      <c r="G37" s="2846"/>
    </row>
    <row r="38" spans="1:7" ht="19.5" customHeight="1">
      <c r="A38" s="3472"/>
      <c r="B38" s="3469"/>
      <c r="C38" s="2847" t="s">
        <v>2474</v>
      </c>
      <c r="D38" s="2848"/>
      <c r="E38" s="2849">
        <v>0.6</v>
      </c>
      <c r="F38" s="2846" t="s">
        <v>2475</v>
      </c>
      <c r="G38" s="2846"/>
    </row>
    <row r="39" spans="1:7" ht="19.5" customHeight="1" thickBot="1">
      <c r="A39" s="3473"/>
      <c r="B39" s="347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5" t="s">
        <v>2610</v>
      </c>
      <c r="B41" s="3468" t="s">
        <v>2634</v>
      </c>
      <c r="C41" s="2843" t="s">
        <v>2479</v>
      </c>
      <c r="D41" s="2844"/>
      <c r="E41" s="2845">
        <v>1</v>
      </c>
      <c r="F41" s="2846" t="s">
        <v>2480</v>
      </c>
      <c r="G41" s="2846"/>
    </row>
    <row r="42" spans="1:7" ht="19.5" customHeight="1">
      <c r="A42" s="3476"/>
      <c r="B42" s="3469"/>
      <c r="C42" s="2847" t="s">
        <v>2481</v>
      </c>
      <c r="D42" s="2848"/>
      <c r="E42" s="2849">
        <v>1</v>
      </c>
      <c r="F42" s="2846" t="s">
        <v>2482</v>
      </c>
      <c r="G42" s="2846"/>
    </row>
    <row r="43" spans="1:7" ht="19.5" customHeight="1">
      <c r="A43" s="3476"/>
      <c r="B43" s="3478"/>
      <c r="C43" s="2847" t="s">
        <v>2483</v>
      </c>
      <c r="D43" s="2848"/>
      <c r="E43" s="2849">
        <v>1.5</v>
      </c>
      <c r="F43" s="2846" t="s">
        <v>2484</v>
      </c>
      <c r="G43" s="2846"/>
    </row>
    <row r="44" spans="1:7" ht="19.5" customHeight="1">
      <c r="A44" s="3476"/>
      <c r="B44" s="2858" t="s">
        <v>2635</v>
      </c>
      <c r="C44" s="2847" t="s">
        <v>2636</v>
      </c>
      <c r="D44" s="2848"/>
      <c r="E44" s="2849">
        <v>2</v>
      </c>
      <c r="F44" s="2846" t="s">
        <v>2485</v>
      </c>
      <c r="G44" s="2846"/>
    </row>
    <row r="45" spans="1:7" ht="19.5" customHeight="1">
      <c r="A45" s="3476"/>
      <c r="B45" s="3474" t="s">
        <v>2637</v>
      </c>
      <c r="C45" s="2847" t="s">
        <v>2486</v>
      </c>
      <c r="D45" s="2848"/>
      <c r="E45" s="2849">
        <v>1</v>
      </c>
      <c r="F45" s="2846" t="s">
        <v>2487</v>
      </c>
      <c r="G45" s="2846"/>
    </row>
    <row r="46" spans="1:7" ht="19.5" customHeight="1">
      <c r="A46" s="3476"/>
      <c r="B46" s="3469"/>
      <c r="C46" s="2847" t="s">
        <v>2488</v>
      </c>
      <c r="D46" s="2848"/>
      <c r="E46" s="2849">
        <v>1</v>
      </c>
      <c r="F46" s="2846" t="s">
        <v>2489</v>
      </c>
      <c r="G46" s="2846"/>
    </row>
    <row r="47" spans="1:7" ht="19.5" customHeight="1">
      <c r="A47" s="3476"/>
      <c r="B47" s="3469"/>
      <c r="C47" s="2847" t="s">
        <v>2490</v>
      </c>
      <c r="D47" s="2848"/>
      <c r="E47" s="2849">
        <v>1</v>
      </c>
      <c r="F47" s="2846" t="s">
        <v>2491</v>
      </c>
      <c r="G47" s="2846"/>
    </row>
    <row r="48" spans="1:7" ht="19.5" customHeight="1">
      <c r="A48" s="3476"/>
      <c r="B48" s="3469"/>
      <c r="C48" s="2847" t="s">
        <v>2492</v>
      </c>
      <c r="D48" s="2848"/>
      <c r="E48" s="2849">
        <v>1</v>
      </c>
      <c r="F48" s="2846" t="s">
        <v>2493</v>
      </c>
      <c r="G48" s="2846"/>
    </row>
    <row r="49" spans="1:7" ht="19.5" customHeight="1">
      <c r="A49" s="3476"/>
      <c r="B49" s="3469"/>
      <c r="C49" s="2847" t="s">
        <v>2494</v>
      </c>
      <c r="D49" s="2848"/>
      <c r="E49" s="2849">
        <v>1</v>
      </c>
      <c r="F49" s="2846" t="s">
        <v>2495</v>
      </c>
      <c r="G49" s="2846"/>
    </row>
    <row r="50" spans="1:7" ht="19.5" customHeight="1">
      <c r="A50" s="3476"/>
      <c r="B50" s="3469"/>
      <c r="C50" s="2847" t="s">
        <v>2496</v>
      </c>
      <c r="D50" s="2848"/>
      <c r="E50" s="2849">
        <v>1</v>
      </c>
      <c r="F50" s="2846" t="s">
        <v>2497</v>
      </c>
      <c r="G50" s="2846"/>
    </row>
    <row r="51" spans="1:7" ht="19.5" customHeight="1" thickBot="1">
      <c r="A51" s="3477"/>
      <c r="B51" s="347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4" t="s">
        <v>2651</v>
      </c>
      <c r="C73" s="2832" t="s">
        <v>2652</v>
      </c>
      <c r="D73" s="2832" t="s">
        <v>2653</v>
      </c>
      <c r="E73" s="2858">
        <v>0.2</v>
      </c>
      <c r="F73" s="2858">
        <v>25</v>
      </c>
    </row>
    <row r="74" spans="1:7" ht="24">
      <c r="A74" s="2858">
        <v>2</v>
      </c>
      <c r="B74" s="3469"/>
      <c r="C74" s="2832" t="s">
        <v>2654</v>
      </c>
      <c r="D74" s="2832" t="s">
        <v>2655</v>
      </c>
      <c r="E74" s="2858">
        <v>0.2</v>
      </c>
      <c r="F74" s="2858">
        <v>25</v>
      </c>
    </row>
    <row r="75" spans="1:7" ht="24">
      <c r="A75" s="2858">
        <v>3</v>
      </c>
      <c r="B75" s="3469"/>
      <c r="C75" s="2832" t="s">
        <v>2656</v>
      </c>
      <c r="D75" s="2832" t="s">
        <v>2657</v>
      </c>
      <c r="E75" s="2858">
        <v>0.2</v>
      </c>
      <c r="F75" s="2858">
        <v>25</v>
      </c>
    </row>
    <row r="76" spans="1:7" ht="13.5">
      <c r="A76" s="2858">
        <v>4</v>
      </c>
      <c r="B76" s="3469"/>
      <c r="C76" s="2832" t="s">
        <v>2658</v>
      </c>
      <c r="D76" s="2832" t="s">
        <v>2659</v>
      </c>
      <c r="E76" s="2858">
        <v>0.15</v>
      </c>
      <c r="F76" s="2858">
        <v>20</v>
      </c>
    </row>
    <row r="77" spans="1:7" ht="24">
      <c r="A77" s="2858">
        <v>5</v>
      </c>
      <c r="B77" s="3469"/>
      <c r="C77" s="2832" t="s">
        <v>2660</v>
      </c>
      <c r="D77" s="2832" t="s">
        <v>2661</v>
      </c>
      <c r="E77" s="2858">
        <v>0.15</v>
      </c>
      <c r="F77" s="2858">
        <v>20</v>
      </c>
    </row>
    <row r="78" spans="1:7" ht="24">
      <c r="A78" s="2858">
        <v>6</v>
      </c>
      <c r="B78" s="3469"/>
      <c r="C78" s="2832" t="s">
        <v>2662</v>
      </c>
      <c r="D78" s="2832" t="s">
        <v>2663</v>
      </c>
      <c r="E78" s="2858">
        <v>0.15</v>
      </c>
      <c r="F78" s="2858">
        <v>20</v>
      </c>
    </row>
    <row r="79" spans="1:7" ht="24">
      <c r="A79" s="2858">
        <v>7</v>
      </c>
      <c r="B79" s="3469"/>
      <c r="C79" s="2832" t="s">
        <v>2664</v>
      </c>
      <c r="D79" s="2832" t="s">
        <v>2665</v>
      </c>
      <c r="E79" s="2858">
        <v>0.15</v>
      </c>
      <c r="F79" s="2858">
        <v>20</v>
      </c>
    </row>
    <row r="80" spans="1:7" ht="24">
      <c r="A80" s="2858">
        <v>8</v>
      </c>
      <c r="B80" s="3469"/>
      <c r="C80" s="2832" t="s">
        <v>2666</v>
      </c>
      <c r="D80" s="2832" t="s">
        <v>2667</v>
      </c>
      <c r="E80" s="2858">
        <v>0.1</v>
      </c>
      <c r="F80" s="2858">
        <v>15</v>
      </c>
    </row>
    <row r="81" spans="1:6" ht="24">
      <c r="A81" s="2858">
        <v>9</v>
      </c>
      <c r="B81" s="3469"/>
      <c r="C81" s="2832" t="s">
        <v>2668</v>
      </c>
      <c r="D81" s="2832" t="s">
        <v>2669</v>
      </c>
      <c r="E81" s="2858">
        <v>0.1</v>
      </c>
      <c r="F81" s="2858">
        <v>15</v>
      </c>
    </row>
    <row r="82" spans="1:6" ht="24">
      <c r="A82" s="2858">
        <v>10</v>
      </c>
      <c r="B82" s="3469"/>
      <c r="C82" s="2832" t="s">
        <v>2670</v>
      </c>
      <c r="D82" s="2832" t="s">
        <v>2671</v>
      </c>
      <c r="E82" s="2858">
        <v>0.1</v>
      </c>
      <c r="F82" s="2858">
        <v>15</v>
      </c>
    </row>
    <row r="83" spans="1:6" ht="24">
      <c r="A83" s="2858">
        <v>11</v>
      </c>
      <c r="B83" s="3469"/>
      <c r="C83" s="2832" t="s">
        <v>2672</v>
      </c>
      <c r="D83" s="2832" t="s">
        <v>2673</v>
      </c>
      <c r="E83" s="2858">
        <v>0.1</v>
      </c>
      <c r="F83" s="2858">
        <v>15</v>
      </c>
    </row>
    <row r="84" spans="1:6" ht="24">
      <c r="A84" s="2858">
        <v>12</v>
      </c>
      <c r="B84" s="3469"/>
      <c r="C84" s="2832" t="s">
        <v>2674</v>
      </c>
      <c r="D84" s="2832" t="s">
        <v>2675</v>
      </c>
      <c r="E84" s="2858">
        <v>0.1</v>
      </c>
      <c r="F84" s="2858">
        <v>15</v>
      </c>
    </row>
    <row r="85" spans="1:6" ht="13.5">
      <c r="A85" s="2858">
        <v>13</v>
      </c>
      <c r="B85" s="3469"/>
      <c r="C85" s="2832" t="s">
        <v>2676</v>
      </c>
      <c r="D85" s="2832" t="s">
        <v>2677</v>
      </c>
      <c r="E85" s="2858">
        <v>0.1</v>
      </c>
      <c r="F85" s="2858">
        <v>15</v>
      </c>
    </row>
    <row r="86" spans="1:6" ht="13.5">
      <c r="A86" s="2858">
        <v>14</v>
      </c>
      <c r="B86" s="3469"/>
      <c r="C86" s="2832" t="s">
        <v>2678</v>
      </c>
      <c r="D86" s="2832" t="s">
        <v>2679</v>
      </c>
      <c r="E86" s="2858">
        <v>0.1</v>
      </c>
      <c r="F86" s="2858">
        <v>15</v>
      </c>
    </row>
    <row r="87" spans="1:6" ht="13.5">
      <c r="A87" s="2858">
        <v>15</v>
      </c>
      <c r="B87" s="3469"/>
      <c r="C87" s="2832" t="s">
        <v>2680</v>
      </c>
      <c r="D87" s="2832" t="s">
        <v>2681</v>
      </c>
      <c r="E87" s="2858">
        <v>0.1</v>
      </c>
      <c r="F87" s="2858">
        <v>15</v>
      </c>
    </row>
    <row r="88" spans="1:6" ht="24">
      <c r="A88" s="2858">
        <v>16</v>
      </c>
      <c r="B88" s="3469"/>
      <c r="C88" s="2832" t="s">
        <v>2682</v>
      </c>
      <c r="D88" s="2832" t="s">
        <v>2683</v>
      </c>
      <c r="E88" s="2858">
        <v>0.1</v>
      </c>
      <c r="F88" s="2858">
        <v>15</v>
      </c>
    </row>
    <row r="89" spans="1:6" ht="24">
      <c r="A89" s="2858">
        <v>17</v>
      </c>
      <c r="B89" s="3478"/>
      <c r="C89" s="2832" t="s">
        <v>2684</v>
      </c>
      <c r="D89" s="2832" t="s">
        <v>2685</v>
      </c>
      <c r="E89" s="2858">
        <v>0.1</v>
      </c>
      <c r="F89" s="2858">
        <v>15</v>
      </c>
    </row>
    <row r="90" spans="1:6" ht="13.5">
      <c r="A90" s="2858">
        <v>18</v>
      </c>
      <c r="B90" s="3474" t="s">
        <v>2686</v>
      </c>
      <c r="C90" s="2832" t="s">
        <v>2687</v>
      </c>
      <c r="D90" s="2832" t="s">
        <v>2688</v>
      </c>
      <c r="E90" s="2858">
        <v>0.2</v>
      </c>
      <c r="F90" s="2858">
        <v>25</v>
      </c>
    </row>
    <row r="91" spans="1:6" ht="24">
      <c r="A91" s="2858">
        <v>19</v>
      </c>
      <c r="B91" s="3469"/>
      <c r="C91" s="2832" t="s">
        <v>2689</v>
      </c>
      <c r="D91" s="2832" t="s">
        <v>2690</v>
      </c>
      <c r="E91" s="2858">
        <v>0.2</v>
      </c>
      <c r="F91" s="2858">
        <v>25</v>
      </c>
    </row>
    <row r="92" spans="1:6" ht="13.5">
      <c r="A92" s="2858">
        <v>20</v>
      </c>
      <c r="B92" s="3469"/>
      <c r="C92" s="2832" t="s">
        <v>2691</v>
      </c>
      <c r="D92" s="2832" t="s">
        <v>2692</v>
      </c>
      <c r="E92" s="2858">
        <v>0.15</v>
      </c>
      <c r="F92" s="2858">
        <v>20</v>
      </c>
    </row>
    <row r="93" spans="1:6" ht="13.5">
      <c r="A93" s="2858">
        <v>21</v>
      </c>
      <c r="B93" s="3469"/>
      <c r="C93" s="2832" t="s">
        <v>2693</v>
      </c>
      <c r="D93" s="2832" t="s">
        <v>2694</v>
      </c>
      <c r="E93" s="2858">
        <v>0.15</v>
      </c>
      <c r="F93" s="2858">
        <v>20</v>
      </c>
    </row>
    <row r="94" spans="1:6" ht="13.5">
      <c r="A94" s="2858">
        <v>22</v>
      </c>
      <c r="B94" s="3469"/>
      <c r="C94" s="2832" t="s">
        <v>2695</v>
      </c>
      <c r="D94" s="2832" t="s">
        <v>2696</v>
      </c>
      <c r="E94" s="2858">
        <v>0.15</v>
      </c>
      <c r="F94" s="2858">
        <v>20</v>
      </c>
    </row>
    <row r="95" spans="1:6" ht="36">
      <c r="A95" s="2858">
        <v>23</v>
      </c>
      <c r="B95" s="3469"/>
      <c r="C95" s="2832" t="s">
        <v>2697</v>
      </c>
      <c r="D95" s="2832" t="s">
        <v>2698</v>
      </c>
      <c r="E95" s="2858">
        <v>0.15</v>
      </c>
      <c r="F95" s="2858">
        <v>20</v>
      </c>
    </row>
    <row r="96" spans="1:6" ht="13.5">
      <c r="A96" s="2858">
        <v>24</v>
      </c>
      <c r="B96" s="3469"/>
      <c r="C96" s="2832" t="s">
        <v>2699</v>
      </c>
      <c r="D96" s="2832" t="s">
        <v>2700</v>
      </c>
      <c r="E96" s="2858">
        <v>0.1</v>
      </c>
      <c r="F96" s="2858">
        <v>15</v>
      </c>
    </row>
    <row r="97" spans="1:6" ht="13.5">
      <c r="A97" s="2858">
        <v>25</v>
      </c>
      <c r="B97" s="3469"/>
      <c r="C97" s="2832" t="s">
        <v>2701</v>
      </c>
      <c r="D97" s="2832" t="s">
        <v>2702</v>
      </c>
      <c r="E97" s="2858">
        <v>0.1</v>
      </c>
      <c r="F97" s="2858">
        <v>15</v>
      </c>
    </row>
    <row r="98" spans="1:6" ht="24">
      <c r="A98" s="2858">
        <v>26</v>
      </c>
      <c r="B98" s="3469"/>
      <c r="C98" s="2832" t="s">
        <v>2703</v>
      </c>
      <c r="D98" s="2832" t="s">
        <v>2704</v>
      </c>
      <c r="E98" s="2858">
        <v>0.1</v>
      </c>
      <c r="F98" s="2858">
        <v>15</v>
      </c>
    </row>
    <row r="99" spans="1:6" ht="24">
      <c r="A99" s="2858">
        <v>27</v>
      </c>
      <c r="B99" s="3469"/>
      <c r="C99" s="2832" t="s">
        <v>2705</v>
      </c>
      <c r="D99" s="2832" t="s">
        <v>2706</v>
      </c>
      <c r="E99" s="2858">
        <v>0.1</v>
      </c>
      <c r="F99" s="2858">
        <v>15</v>
      </c>
    </row>
    <row r="100" spans="1:6" ht="13.5">
      <c r="A100" s="2858">
        <v>28</v>
      </c>
      <c r="B100" s="3469"/>
      <c r="C100" s="2832" t="s">
        <v>2707</v>
      </c>
      <c r="D100" s="2832" t="s">
        <v>2708</v>
      </c>
      <c r="E100" s="2858">
        <v>0.1</v>
      </c>
      <c r="F100" s="2858">
        <v>15</v>
      </c>
    </row>
    <row r="101" spans="1:6" ht="13.5">
      <c r="A101" s="2858">
        <v>29</v>
      </c>
      <c r="B101" s="3469"/>
      <c r="C101" s="2832" t="s">
        <v>2709</v>
      </c>
      <c r="D101" s="2832" t="s">
        <v>2710</v>
      </c>
      <c r="E101" s="2858">
        <v>0.1</v>
      </c>
      <c r="F101" s="2858">
        <v>15</v>
      </c>
    </row>
    <row r="102" spans="1:6" ht="13.5">
      <c r="A102" s="2858">
        <v>30</v>
      </c>
      <c r="B102" s="3469"/>
      <c r="C102" s="2832" t="s">
        <v>2711</v>
      </c>
      <c r="D102" s="2832" t="s">
        <v>2712</v>
      </c>
      <c r="E102" s="2858">
        <v>0.1</v>
      </c>
      <c r="F102" s="2858">
        <v>15</v>
      </c>
    </row>
    <row r="103" spans="1:6" ht="24">
      <c r="A103" s="2858">
        <v>31</v>
      </c>
      <c r="B103" s="3469"/>
      <c r="C103" s="2832" t="s">
        <v>2713</v>
      </c>
      <c r="D103" s="2832" t="s">
        <v>2714</v>
      </c>
      <c r="E103" s="2858">
        <v>0.1</v>
      </c>
      <c r="F103" s="2858">
        <v>15</v>
      </c>
    </row>
    <row r="104" spans="1:6" ht="24">
      <c r="A104" s="2858">
        <v>32</v>
      </c>
      <c r="B104" s="3469"/>
      <c r="C104" s="2832" t="s">
        <v>2715</v>
      </c>
      <c r="D104" s="2832" t="s">
        <v>2716</v>
      </c>
      <c r="E104" s="2858">
        <v>0.1</v>
      </c>
      <c r="F104" s="2858">
        <v>15</v>
      </c>
    </row>
    <row r="105" spans="1:6" ht="24">
      <c r="A105" s="2858">
        <v>33</v>
      </c>
      <c r="B105" s="3469"/>
      <c r="C105" s="2832" t="s">
        <v>2717</v>
      </c>
      <c r="D105" s="2832" t="s">
        <v>2718</v>
      </c>
      <c r="E105" s="2858">
        <v>0.1</v>
      </c>
      <c r="F105" s="2858">
        <v>15</v>
      </c>
    </row>
    <row r="106" spans="1:6" ht="24">
      <c r="A106" s="2858">
        <v>34</v>
      </c>
      <c r="B106" s="3478"/>
      <c r="C106" s="2832" t="s">
        <v>2719</v>
      </c>
      <c r="D106" s="2832" t="s">
        <v>2720</v>
      </c>
      <c r="E106" s="2858">
        <v>0.1</v>
      </c>
      <c r="F106" s="2858">
        <v>15</v>
      </c>
    </row>
    <row r="107" spans="1:6" ht="24">
      <c r="A107" s="2858">
        <v>35</v>
      </c>
      <c r="B107" s="3474" t="s">
        <v>2721</v>
      </c>
      <c r="C107" s="2858" t="s">
        <v>2722</v>
      </c>
      <c r="D107" s="2832" t="s">
        <v>2723</v>
      </c>
      <c r="E107" s="2858">
        <v>0.15</v>
      </c>
      <c r="F107" s="2858">
        <v>20</v>
      </c>
    </row>
    <row r="108" spans="1:6" ht="13.5">
      <c r="A108" s="2858">
        <v>36</v>
      </c>
      <c r="B108" s="3469"/>
      <c r="C108" s="2858" t="s">
        <v>2724</v>
      </c>
      <c r="D108" s="2832" t="s">
        <v>2725</v>
      </c>
      <c r="E108" s="2858">
        <v>0.15</v>
      </c>
      <c r="F108" s="2858">
        <v>20</v>
      </c>
    </row>
    <row r="109" spans="1:6" ht="13.5">
      <c r="A109" s="2858">
        <v>37</v>
      </c>
      <c r="B109" s="3469"/>
      <c r="C109" s="2858" t="s">
        <v>2726</v>
      </c>
      <c r="D109" s="2832" t="s">
        <v>2727</v>
      </c>
      <c r="E109" s="2858">
        <v>0.15</v>
      </c>
      <c r="F109" s="2858">
        <v>20</v>
      </c>
    </row>
    <row r="110" spans="1:6" ht="13.5">
      <c r="A110" s="2858">
        <v>38</v>
      </c>
      <c r="B110" s="3469"/>
      <c r="C110" s="2858" t="s">
        <v>2728</v>
      </c>
      <c r="D110" s="2832" t="s">
        <v>2729</v>
      </c>
      <c r="E110" s="2858">
        <v>0.1</v>
      </c>
      <c r="F110" s="2858">
        <v>15</v>
      </c>
    </row>
    <row r="111" spans="1:6" ht="24">
      <c r="A111" s="2858">
        <v>39</v>
      </c>
      <c r="B111" s="3469"/>
      <c r="C111" s="2858" t="s">
        <v>2730</v>
      </c>
      <c r="D111" s="2832" t="s">
        <v>2731</v>
      </c>
      <c r="E111" s="2858">
        <v>0.1</v>
      </c>
      <c r="F111" s="2858">
        <v>15</v>
      </c>
    </row>
    <row r="112" spans="1:6" ht="24">
      <c r="A112" s="2858">
        <v>40</v>
      </c>
      <c r="B112" s="3478"/>
      <c r="C112" s="2858" t="s">
        <v>2732</v>
      </c>
      <c r="D112" s="2832" t="s">
        <v>2733</v>
      </c>
      <c r="E112" s="2858">
        <v>0.1</v>
      </c>
      <c r="F112" s="2858">
        <v>15</v>
      </c>
    </row>
    <row r="113" spans="1:6" ht="13.5">
      <c r="A113" s="2858">
        <v>41</v>
      </c>
      <c r="B113" s="3479" t="s">
        <v>2734</v>
      </c>
      <c r="C113" s="2858" t="s">
        <v>2735</v>
      </c>
      <c r="D113" s="2832" t="s">
        <v>2736</v>
      </c>
      <c r="E113" s="2858">
        <v>0.1</v>
      </c>
      <c r="F113" s="2858">
        <v>15</v>
      </c>
    </row>
    <row r="114" spans="1:6" ht="13.5">
      <c r="A114" s="2858">
        <v>42</v>
      </c>
      <c r="B114" s="3479"/>
      <c r="C114" s="2858" t="s">
        <v>2737</v>
      </c>
      <c r="D114" s="2832" t="s">
        <v>2738</v>
      </c>
      <c r="E114" s="2858">
        <v>0.1</v>
      </c>
      <c r="F114" s="2858">
        <v>15</v>
      </c>
    </row>
    <row r="115" spans="1:6" ht="24">
      <c r="A115" s="2858">
        <v>43</v>
      </c>
      <c r="B115" s="3479"/>
      <c r="C115" s="2858" t="s">
        <v>2739</v>
      </c>
      <c r="D115" s="2832" t="s">
        <v>2740</v>
      </c>
      <c r="E115" s="2858">
        <v>0.1</v>
      </c>
      <c r="F115" s="2858">
        <v>15</v>
      </c>
    </row>
    <row r="116" spans="1:6" ht="13.5">
      <c r="A116" s="2858">
        <v>44</v>
      </c>
      <c r="B116" s="3474" t="s">
        <v>2741</v>
      </c>
      <c r="C116" s="2858" t="s">
        <v>2742</v>
      </c>
      <c r="D116" s="2832" t="s">
        <v>2743</v>
      </c>
      <c r="E116" s="2858">
        <v>0.1</v>
      </c>
      <c r="F116" s="2858">
        <v>15</v>
      </c>
    </row>
    <row r="117" spans="1:6" ht="24">
      <c r="A117" s="2858">
        <v>45</v>
      </c>
      <c r="B117" s="3478"/>
      <c r="C117" s="2832" t="s">
        <v>2744</v>
      </c>
      <c r="D117" s="2832" t="s">
        <v>2745</v>
      </c>
      <c r="E117" s="2858">
        <v>0.1</v>
      </c>
      <c r="F117" s="2858">
        <v>15</v>
      </c>
    </row>
    <row r="118" spans="1:6" ht="24">
      <c r="A118" s="2858">
        <v>46</v>
      </c>
      <c r="B118" s="3474" t="s">
        <v>2746</v>
      </c>
      <c r="C118" s="2858" t="s">
        <v>2747</v>
      </c>
      <c r="D118" s="2832" t="s">
        <v>2748</v>
      </c>
      <c r="E118" s="2858">
        <v>0.1</v>
      </c>
      <c r="F118" s="2858">
        <v>15</v>
      </c>
    </row>
    <row r="119" spans="1:6" ht="24">
      <c r="A119" s="2858">
        <v>47</v>
      </c>
      <c r="B119" s="3478"/>
      <c r="C119" s="2858" t="s">
        <v>2749</v>
      </c>
      <c r="D119" s="2832" t="s">
        <v>2750</v>
      </c>
      <c r="E119" s="2858">
        <v>0.1</v>
      </c>
      <c r="F119" s="2858">
        <v>15</v>
      </c>
    </row>
    <row r="120" spans="1:6" ht="13.5">
      <c r="A120" s="2858">
        <v>48</v>
      </c>
      <c r="B120" s="3474" t="s">
        <v>2751</v>
      </c>
      <c r="C120" s="2858" t="s">
        <v>2752</v>
      </c>
      <c r="D120" s="2832" t="s">
        <v>2753</v>
      </c>
      <c r="E120" s="2858">
        <v>0.1</v>
      </c>
      <c r="F120" s="2858">
        <v>15</v>
      </c>
    </row>
    <row r="121" spans="1:6" ht="13.5">
      <c r="A121" s="2858">
        <v>49</v>
      </c>
      <c r="B121" s="3478"/>
      <c r="C121" s="2858" t="s">
        <v>2754</v>
      </c>
      <c r="D121" s="2832" t="s">
        <v>2755</v>
      </c>
      <c r="E121" s="2858">
        <v>0.1</v>
      </c>
      <c r="F121" s="2858">
        <v>15</v>
      </c>
    </row>
    <row r="122" spans="1:6" ht="24">
      <c r="A122" s="2858">
        <v>50</v>
      </c>
      <c r="B122" s="3479" t="s">
        <v>2756</v>
      </c>
      <c r="C122" s="2858" t="s">
        <v>2757</v>
      </c>
      <c r="D122" s="2832" t="s">
        <v>2758</v>
      </c>
      <c r="E122" s="2858">
        <v>0.1</v>
      </c>
      <c r="F122" s="2858">
        <v>15</v>
      </c>
    </row>
    <row r="123" spans="1:6" ht="24">
      <c r="A123" s="2858">
        <v>51</v>
      </c>
      <c r="B123" s="3479"/>
      <c r="C123" s="2858" t="s">
        <v>2759</v>
      </c>
      <c r="D123" s="2832" t="s">
        <v>2760</v>
      </c>
      <c r="E123" s="2858">
        <v>0.1</v>
      </c>
      <c r="F123" s="2858">
        <v>15</v>
      </c>
    </row>
    <row r="124" spans="1:6" ht="24">
      <c r="A124" s="2858">
        <v>52</v>
      </c>
      <c r="B124" s="3479" t="s">
        <v>2761</v>
      </c>
      <c r="C124" s="2858" t="s">
        <v>2762</v>
      </c>
      <c r="D124" s="2832" t="s">
        <v>2763</v>
      </c>
      <c r="E124" s="2858">
        <v>0.1</v>
      </c>
      <c r="F124" s="2858">
        <v>15</v>
      </c>
    </row>
    <row r="125" spans="1:6" ht="24">
      <c r="A125" s="2858">
        <v>53</v>
      </c>
      <c r="B125" s="347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9" t="s">
        <v>2769</v>
      </c>
      <c r="C127" s="2858" t="s">
        <v>2770</v>
      </c>
      <c r="D127" s="2832" t="s">
        <v>2771</v>
      </c>
      <c r="E127" s="2858">
        <v>0.1</v>
      </c>
      <c r="F127" s="2858">
        <v>15</v>
      </c>
    </row>
    <row r="128" spans="1:6" ht="13.5">
      <c r="A128" s="2858">
        <v>56</v>
      </c>
      <c r="B128" s="3479"/>
      <c r="C128" s="2858" t="s">
        <v>2772</v>
      </c>
      <c r="D128" s="2832" t="s">
        <v>2773</v>
      </c>
      <c r="E128" s="2858">
        <v>0.1</v>
      </c>
      <c r="F128" s="2858">
        <v>15</v>
      </c>
    </row>
    <row r="129" spans="1:6" ht="24">
      <c r="A129" s="2858">
        <v>57</v>
      </c>
      <c r="B129" s="3479"/>
      <c r="C129" s="2858" t="s">
        <v>2774</v>
      </c>
      <c r="D129" s="2832" t="s">
        <v>2775</v>
      </c>
      <c r="E129" s="2858">
        <v>0.1</v>
      </c>
      <c r="F129" s="2858">
        <v>15</v>
      </c>
    </row>
    <row r="130" spans="1:6" ht="24">
      <c r="A130" s="2858">
        <v>58</v>
      </c>
      <c r="B130" s="3479" t="s">
        <v>2776</v>
      </c>
      <c r="C130" s="2858" t="s">
        <v>2777</v>
      </c>
      <c r="D130" s="2832" t="s">
        <v>2778</v>
      </c>
      <c r="E130" s="2858">
        <v>0.1</v>
      </c>
      <c r="F130" s="2858">
        <v>15</v>
      </c>
    </row>
    <row r="131" spans="1:6" ht="13.5">
      <c r="A131" s="2858">
        <v>59</v>
      </c>
      <c r="B131" s="3479"/>
      <c r="C131" s="2858" t="s">
        <v>2779</v>
      </c>
      <c r="D131" s="2832" t="s">
        <v>2780</v>
      </c>
      <c r="E131" s="2858">
        <v>0.1</v>
      </c>
      <c r="F131" s="2858">
        <v>15</v>
      </c>
    </row>
    <row r="132" spans="1:6" ht="13.5">
      <c r="A132" s="2858">
        <v>60</v>
      </c>
      <c r="B132" s="3474" t="s">
        <v>2781</v>
      </c>
      <c r="C132" s="2858" t="s">
        <v>2782</v>
      </c>
      <c r="D132" s="2832" t="s">
        <v>2783</v>
      </c>
      <c r="E132" s="2858">
        <v>0.1</v>
      </c>
      <c r="F132" s="2858">
        <v>15</v>
      </c>
    </row>
    <row r="133" spans="1:6" ht="13.5">
      <c r="A133" s="2858">
        <v>61</v>
      </c>
      <c r="B133" s="347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9" t="s">
        <v>2789</v>
      </c>
      <c r="C135" s="2858" t="s">
        <v>2790</v>
      </c>
      <c r="D135" s="2832" t="s">
        <v>2791</v>
      </c>
      <c r="E135" s="2858">
        <v>0.1</v>
      </c>
      <c r="F135" s="2858">
        <v>15</v>
      </c>
    </row>
    <row r="136" spans="1:6" ht="13.5">
      <c r="A136" s="2858">
        <v>64</v>
      </c>
      <c r="B136" s="347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72356</v>
      </c>
    </row>
    <row r="6" spans="1:5" ht="15.75">
      <c r="B6" s="3165"/>
      <c r="C6" s="1392" t="s">
        <v>911</v>
      </c>
      <c r="D6" s="797" t="str">
        <f ca="1">NUMBERSTRING(INT(D5*10000),2)&amp;"元整"</f>
        <v>柒亿贰仟叁佰伍拾陆万元整</v>
      </c>
    </row>
    <row r="7" spans="1:5" ht="15.75">
      <c r="B7" s="3170"/>
      <c r="C7" s="1393" t="s">
        <v>912</v>
      </c>
      <c r="D7" s="798">
        <f ca="1">结果表!H102</f>
        <v>10076</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72356</v>
      </c>
    </row>
    <row r="14" spans="1:5" ht="15.75">
      <c r="B14" s="3165"/>
      <c r="C14" s="1392" t="s">
        <v>911</v>
      </c>
      <c r="D14" s="797" t="str">
        <f ca="1">NUMBERSTRING(INT(D13*10000),2)&amp;"元整"</f>
        <v>柒亿贰仟叁佰伍拾陆万元整</v>
      </c>
    </row>
    <row r="15" spans="1:5" ht="15">
      <c r="B15" s="3170"/>
      <c r="C15" s="1393" t="s">
        <v>921</v>
      </c>
      <c r="D15" s="806">
        <f ca="1">结果表!H108</f>
        <v>10076</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75136</v>
      </c>
      <c r="C2" s="2" t="s">
        <v>106</v>
      </c>
      <c r="D2" s="191"/>
      <c r="E2" s="191"/>
      <c r="F2" s="191"/>
      <c r="G2" s="191"/>
    </row>
    <row r="3" spans="1:7" s="192" customFormat="1" ht="18" customHeight="1" thickBot="1">
      <c r="A3" s="195" t="s">
        <v>58</v>
      </c>
      <c r="B3" s="196">
        <f ca="1">ROUND(B2*10000/'数据-汇总表'!E3,0)</f>
        <v>10463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1436</v>
      </c>
      <c r="D10" s="795">
        <f>'数据-汇总表'!E6</f>
        <v>71810.27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1436</v>
      </c>
      <c r="D19" s="204">
        <f>'数据-汇总表'!E3</f>
        <v>71810.27</v>
      </c>
      <c r="E19" s="203">
        <f>'数据-取费表'!B31</f>
        <v>200</v>
      </c>
      <c r="F19" s="223"/>
      <c r="G19" s="1" t="s">
        <v>436</v>
      </c>
    </row>
    <row r="20" spans="1:7" s="206" customFormat="1" ht="13.5" customHeight="1">
      <c r="A20" s="731" t="s">
        <v>419</v>
      </c>
      <c r="B20" s="202" t="s">
        <v>77</v>
      </c>
      <c r="C20" s="224">
        <f>ROUND((C5+C19)*F20,0)</f>
        <v>441</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1355</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87</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3373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29453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39854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35905</v>
      </c>
      <c r="D34" s="209"/>
      <c r="E34" s="212"/>
      <c r="F34" s="249">
        <f>IF('数据-取费表'!B24=0,1,'数据-取费表'!N16)</f>
        <v>1</v>
      </c>
      <c r="G34" s="211" t="s">
        <v>89</v>
      </c>
    </row>
    <row r="35" spans="1:7" ht="13.5" customHeight="1">
      <c r="A35" s="734" t="s">
        <v>351</v>
      </c>
      <c r="B35" s="207" t="s">
        <v>33</v>
      </c>
      <c r="C35" s="212">
        <f>ROUND(C34*F35,0)</f>
        <v>1795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1436</v>
      </c>
      <c r="D37" s="209">
        <f>'数据-汇总表'!E3</f>
        <v>71810.27</v>
      </c>
      <c r="E37" s="241">
        <f>'数据-取费表'!B35</f>
        <v>200</v>
      </c>
      <c r="F37" s="251"/>
      <c r="G37" s="253" t="s">
        <v>92</v>
      </c>
    </row>
    <row r="38" spans="1:7" ht="13.5" customHeight="1">
      <c r="A38" s="734" t="s">
        <v>354</v>
      </c>
      <c r="B38" s="207" t="s">
        <v>36</v>
      </c>
      <c r="C38" s="212">
        <f>ROUND(C34*F38,0)</f>
        <v>718</v>
      </c>
      <c r="D38" s="212"/>
      <c r="E38" s="212"/>
      <c r="F38" s="251">
        <f>'数据-取费表'!B36</f>
        <v>0.02</v>
      </c>
      <c r="G38" s="211" t="s">
        <v>90</v>
      </c>
    </row>
    <row r="39" spans="1:7" s="206" customFormat="1" ht="13.5" customHeight="1">
      <c r="A39" s="731" t="s">
        <v>338</v>
      </c>
      <c r="B39" s="202" t="s">
        <v>77</v>
      </c>
      <c r="C39" s="224">
        <f>ROUND(C33*F20,0)</f>
        <v>797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1196</v>
      </c>
      <c r="D42" s="230"/>
      <c r="E42" s="230"/>
      <c r="F42" s="231"/>
      <c r="G42" s="3345" t="s">
        <v>94</v>
      </c>
    </row>
    <row r="43" spans="1:7" ht="13.5" customHeight="1">
      <c r="A43" s="734" t="s">
        <v>347</v>
      </c>
      <c r="B43" s="207" t="s">
        <v>426</v>
      </c>
      <c r="C43" s="230">
        <f ca="1">ROUND(IF('数据-取费表'!B22&lt;=1,C39*F22*'数据-取费表'!B21/2,C39*(POWER((1+F22),'数据-取费表'!B21/2)-1)),0)</f>
        <v>24</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6098</v>
      </c>
      <c r="D45" s="227">
        <f>C47</f>
        <v>3.0000000000000001E-3</v>
      </c>
      <c r="E45" s="228" t="s">
        <v>102</v>
      </c>
      <c r="F45" s="238"/>
      <c r="G45" s="239" t="s">
        <v>434</v>
      </c>
    </row>
    <row r="46" spans="1:7" s="206" customFormat="1" ht="13.5" customHeight="1">
      <c r="A46" s="734" t="s">
        <v>349</v>
      </c>
      <c r="B46" s="240" t="s">
        <v>427</v>
      </c>
      <c r="C46" s="241">
        <f>ROUND((C33+C39)*F27,0)</f>
        <v>6098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51913</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45683</v>
      </c>
      <c r="D51" s="224"/>
      <c r="E51" s="224"/>
      <c r="F51" s="256"/>
      <c r="G51" s="226" t="s">
        <v>37</v>
      </c>
    </row>
    <row r="52" spans="1:7" s="200" customFormat="1" ht="16.5" thickBot="1">
      <c r="A52" s="257" t="s">
        <v>38</v>
      </c>
      <c r="B52" s="258"/>
      <c r="C52" s="259">
        <f ca="1">C31+C51</f>
        <v>75136</v>
      </c>
      <c r="D52" s="258"/>
      <c r="E52" s="258"/>
      <c r="F52" s="258"/>
      <c r="G52" s="260"/>
    </row>
    <row r="55" spans="1:7" ht="15">
      <c r="B55" s="262" t="s">
        <v>39</v>
      </c>
      <c r="C55" s="263"/>
    </row>
    <row r="56" spans="1:7">
      <c r="B56" s="265" t="s">
        <v>40</v>
      </c>
      <c r="C56" s="266">
        <f ca="1">ROUND(C51/C52,3)</f>
        <v>0.60799999999999998</v>
      </c>
    </row>
    <row r="57" spans="1:7">
      <c r="B57" s="265" t="s">
        <v>41</v>
      </c>
      <c r="C57" s="267">
        <f ca="1">1-C56</f>
        <v>0.39200000000000002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3181</v>
      </c>
      <c r="B1" s="348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3232</v>
      </c>
      <c r="B1" s="3481"/>
      <c r="C1" s="3481"/>
      <c r="D1" s="3481"/>
      <c r="E1" s="3481"/>
      <c r="F1" s="3482"/>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71810.27</v>
      </c>
      <c r="C4" s="801">
        <f>项目基本情况!C18</f>
        <v>23080.7</v>
      </c>
      <c r="D4" s="801">
        <f ca="1">结果表!D118</f>
        <v>30534</v>
      </c>
      <c r="E4" s="801">
        <f ca="1">结果表!E118</f>
        <v>4252</v>
      </c>
      <c r="F4" s="801">
        <f ca="1">结果表!F118</f>
        <v>41822</v>
      </c>
      <c r="G4" s="801">
        <f ca="1">结果表!G118</f>
        <v>5824</v>
      </c>
      <c r="H4" s="801">
        <f ca="1">结果表!H118</f>
        <v>72356</v>
      </c>
      <c r="I4" s="801">
        <f ca="1">结果表!I118</f>
        <v>10076</v>
      </c>
    </row>
    <row r="5" spans="1:9" ht="30" customHeight="1">
      <c r="A5" s="3176" t="s">
        <v>927</v>
      </c>
      <c r="B5" s="3176"/>
      <c r="C5" s="3176"/>
      <c r="D5" s="3176" t="str">
        <f ca="1">结果表!D119</f>
        <v>叁亿零伍佰叁拾肆万元整</v>
      </c>
      <c r="E5" s="3176"/>
      <c r="F5" s="3176" t="str">
        <f ca="1">结果表!F119</f>
        <v>肆亿壹仟捌佰贰拾贰万元整</v>
      </c>
      <c r="G5" s="3176"/>
      <c r="H5" s="3176" t="str">
        <f ca="1">结果表!H119</f>
        <v>柒亿贰仟叁佰伍拾陆万元整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72356</v>
      </c>
      <c r="E8" s="3177"/>
      <c r="F8" s="3177"/>
      <c r="G8" s="3177"/>
      <c r="H8" s="3177"/>
      <c r="I8" s="3177"/>
    </row>
    <row r="9" spans="1:9" ht="15">
      <c r="A9" s="3176" t="s">
        <v>927</v>
      </c>
      <c r="B9" s="3176"/>
      <c r="C9" s="3176"/>
      <c r="D9" s="3176" t="str">
        <f ca="1">结果表!D123</f>
        <v>柒亿贰仟叁佰伍拾陆万元整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2025-06-19T05:07:26Z</dcterms:modified>
</cp:coreProperties>
</file>