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预评贴表结果"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结果表2"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车库)" sheetId="70" state="hidden" r:id="rId43"/>
    <sheet name="案例" sheetId="68" r:id="rId44"/>
    <sheet name="Sheet1" sheetId="71" r:id="rId45"/>
  </sheets>
  <externalReferences>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'数据-基础表'!$A$12:$AT$573</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39" l="1"/>
  <c r="F43" i="69" l="1"/>
  <c r="E43" i="69"/>
  <c r="C15" i="66" l="1"/>
  <c r="B15" i="66"/>
  <c r="E42" i="69"/>
  <c r="E51" i="69" l="1"/>
  <c r="E52" i="69" s="1"/>
  <c r="E50" i="69"/>
  <c r="E23" i="72"/>
  <c r="E53" i="69"/>
  <c r="E23" i="69" l="1"/>
  <c r="M85" i="69"/>
  <c r="F48" i="69" l="1"/>
  <c r="F47" i="69"/>
  <c r="F46" i="69"/>
  <c r="E46" i="69"/>
  <c r="E25" i="72" l="1"/>
  <c r="E25" i="69"/>
  <c r="E40" i="72"/>
  <c r="E40" i="69" l="1"/>
  <c r="E41" i="69" s="1"/>
  <c r="H11" i="69"/>
  <c r="F5" i="69"/>
  <c r="F6" i="69"/>
  <c r="J7" i="69"/>
  <c r="J10" i="69"/>
  <c r="J12" i="69"/>
  <c r="F13" i="69"/>
  <c r="J13" i="69" s="1"/>
  <c r="F14" i="69"/>
  <c r="J14" i="69" s="1"/>
  <c r="F15" i="69"/>
  <c r="F16" i="69"/>
  <c r="F17" i="69"/>
  <c r="F18" i="69"/>
  <c r="F19" i="69"/>
  <c r="F20" i="69"/>
  <c r="F21" i="69"/>
  <c r="F22" i="69"/>
  <c r="F23" i="69"/>
  <c r="F24" i="69"/>
  <c r="F25" i="69"/>
  <c r="F26" i="69"/>
  <c r="F27" i="69"/>
  <c r="F28" i="69"/>
  <c r="F29" i="69"/>
  <c r="F30" i="69"/>
  <c r="F31" i="69"/>
  <c r="F32" i="69"/>
  <c r="F33" i="69"/>
  <c r="F34" i="69"/>
  <c r="F35" i="69"/>
  <c r="F36" i="69"/>
  <c r="F37" i="69"/>
  <c r="F38" i="69"/>
  <c r="F39" i="69"/>
  <c r="F4" i="69"/>
  <c r="Q73" i="70"/>
  <c r="Q60" i="70"/>
  <c r="D60" i="70"/>
  <c r="Q59" i="70"/>
  <c r="K59" i="70"/>
  <c r="P75" i="70" s="1"/>
  <c r="F58" i="70"/>
  <c r="Q52" i="70"/>
  <c r="J50" i="70"/>
  <c r="M47" i="70"/>
  <c r="B52" i="1"/>
  <c r="F34" i="70" s="1"/>
  <c r="F61" i="70" s="1"/>
  <c r="F33" i="70"/>
  <c r="F60" i="70"/>
  <c r="B43" i="1"/>
  <c r="B41" i="1"/>
  <c r="F31" i="70"/>
  <c r="F23" i="70"/>
  <c r="D24" i="70"/>
  <c r="D23" i="70"/>
  <c r="D22" i="70"/>
  <c r="F21" i="70"/>
  <c r="M20" i="70"/>
  <c r="F20" i="70"/>
  <c r="M19" i="70"/>
  <c r="F18" i="70"/>
  <c r="M17" i="70"/>
  <c r="F17" i="70"/>
  <c r="F15" i="70"/>
  <c r="B16" i="3"/>
  <c r="V24" i="31"/>
  <c r="W28" i="31"/>
  <c r="X28" i="31"/>
  <c r="C13" i="39"/>
  <c r="I8" i="39"/>
  <c r="G8" i="39"/>
  <c r="C5" i="21"/>
  <c r="V34" i="31"/>
  <c r="X33" i="31"/>
  <c r="X34" i="31"/>
  <c r="X35" i="31"/>
  <c r="X36" i="31"/>
  <c r="W33" i="31"/>
  <c r="B33" i="31" s="1"/>
  <c r="W34" i="31"/>
  <c r="W35" i="31"/>
  <c r="B35" i="31" s="1"/>
  <c r="W36" i="31"/>
  <c r="W30" i="31"/>
  <c r="B30" i="31" s="1"/>
  <c r="V31" i="31"/>
  <c r="X32" i="31"/>
  <c r="X31" i="31"/>
  <c r="X30" i="31"/>
  <c r="B28" i="31"/>
  <c r="B34" i="31"/>
  <c r="B36" i="31"/>
  <c r="X29" i="31"/>
  <c r="V29" i="31"/>
  <c r="W29" i="31" s="1"/>
  <c r="B29" i="31" s="1"/>
  <c r="X27" i="31"/>
  <c r="X26" i="31"/>
  <c r="X25" i="31"/>
  <c r="B26" i="31"/>
  <c r="W25" i="31"/>
  <c r="B25" i="31"/>
  <c r="V27" i="31"/>
  <c r="W27" i="31"/>
  <c r="B27" i="31" s="1"/>
  <c r="V26" i="31"/>
  <c r="W26" i="31" s="1"/>
  <c r="I15" i="31"/>
  <c r="J15" i="31"/>
  <c r="C16" i="31"/>
  <c r="D15" i="31"/>
  <c r="E15" i="31"/>
  <c r="F15" i="31"/>
  <c r="G15" i="31"/>
  <c r="H15" i="31"/>
  <c r="C15" i="31"/>
  <c r="C14" i="31"/>
  <c r="D13" i="31"/>
  <c r="E13" i="31"/>
  <c r="F13" i="31"/>
  <c r="G13" i="31"/>
  <c r="H13" i="31"/>
  <c r="I13" i="31"/>
  <c r="C13" i="31"/>
  <c r="T9" i="31"/>
  <c r="T5" i="31"/>
  <c r="K23" i="21"/>
  <c r="K21" i="21"/>
  <c r="K19" i="21"/>
  <c r="K17" i="21"/>
  <c r="K15" i="21"/>
  <c r="E91" i="21"/>
  <c r="F91" i="21" s="1"/>
  <c r="G91" i="21" s="1"/>
  <c r="D91" i="21"/>
  <c r="D90" i="21"/>
  <c r="E90" i="21"/>
  <c r="F90" i="21"/>
  <c r="C90" i="21"/>
  <c r="D122" i="21"/>
  <c r="E122" i="21"/>
  <c r="F122" i="21"/>
  <c r="G122" i="21"/>
  <c r="C122" i="21"/>
  <c r="D116" i="21"/>
  <c r="E116" i="21"/>
  <c r="F116" i="21"/>
  <c r="G116" i="21"/>
  <c r="C116" i="21"/>
  <c r="D103" i="21"/>
  <c r="E103" i="21"/>
  <c r="F103" i="21"/>
  <c r="G103" i="21"/>
  <c r="H103" i="21"/>
  <c r="I103" i="21"/>
  <c r="J103" i="21"/>
  <c r="C103" i="21"/>
  <c r="F104" i="21"/>
  <c r="G104" i="21" s="1"/>
  <c r="H104" i="21" s="1"/>
  <c r="I104" i="21" s="1"/>
  <c r="J104" i="21" s="1"/>
  <c r="D104" i="21"/>
  <c r="E104" i="21" s="1"/>
  <c r="D59" i="21"/>
  <c r="E59" i="21" s="1"/>
  <c r="F59" i="21" s="1"/>
  <c r="G59" i="21" s="1"/>
  <c r="H59" i="21" s="1"/>
  <c r="D73" i="39"/>
  <c r="E73" i="39" s="1"/>
  <c r="F73" i="39" s="1"/>
  <c r="G73" i="39" s="1"/>
  <c r="H73" i="39" s="1"/>
  <c r="I73" i="39" s="1"/>
  <c r="J73" i="39" s="1"/>
  <c r="D120" i="39"/>
  <c r="T11" i="31" s="1"/>
  <c r="F13" i="4"/>
  <c r="D3" i="4"/>
  <c r="I5" i="59"/>
  <c r="I4" i="59"/>
  <c r="N4" i="59" s="1"/>
  <c r="L5" i="59"/>
  <c r="L4" i="59" s="1"/>
  <c r="Q4" i="59"/>
  <c r="K5" i="59"/>
  <c r="K4" i="59"/>
  <c r="P4" i="59" s="1"/>
  <c r="J5" i="59"/>
  <c r="J4" i="59" s="1"/>
  <c r="O4" i="59"/>
  <c r="N5" i="59"/>
  <c r="Q5" i="59"/>
  <c r="P5" i="59"/>
  <c r="O5" i="59"/>
  <c r="K59" i="15"/>
  <c r="P62" i="15"/>
  <c r="P75" i="15"/>
  <c r="Q74" i="44"/>
  <c r="Q61" i="44"/>
  <c r="Q60" i="44"/>
  <c r="Q53" i="44"/>
  <c r="J51" i="44"/>
  <c r="J52" i="44" s="1"/>
  <c r="M48" i="44"/>
  <c r="A16" i="55"/>
  <c r="A15" i="55"/>
  <c r="A10" i="55"/>
  <c r="A9" i="55"/>
  <c r="A8" i="55"/>
  <c r="A6" i="54"/>
  <c r="A8" i="54"/>
  <c r="A7" i="54"/>
  <c r="A27" i="51"/>
  <c r="D5" i="46"/>
  <c r="Q6" i="59"/>
  <c r="O6" i="59"/>
  <c r="N7" i="59"/>
  <c r="O7" i="59"/>
  <c r="P7" i="59"/>
  <c r="Q7" i="59"/>
  <c r="N6" i="59"/>
  <c r="P6" i="59"/>
  <c r="K75" i="9"/>
  <c r="K6" i="4"/>
  <c r="O76" i="9" s="1"/>
  <c r="L76" i="9"/>
  <c r="E16" i="66"/>
  <c r="F16" i="66"/>
  <c r="E17" i="66"/>
  <c r="F17" i="66"/>
  <c r="E18" i="66"/>
  <c r="F18" i="66"/>
  <c r="E19" i="66"/>
  <c r="F19" i="66"/>
  <c r="E20" i="66"/>
  <c r="F20" i="66"/>
  <c r="E21" i="66"/>
  <c r="F21" i="66"/>
  <c r="E22" i="66"/>
  <c r="F22" i="66"/>
  <c r="E23" i="66"/>
  <c r="F23" i="66"/>
  <c r="B3" i="66"/>
  <c r="M19" i="46"/>
  <c r="AD3" i="59"/>
  <c r="AE3" i="59"/>
  <c r="AF3" i="59" s="1"/>
  <c r="AG3" i="59"/>
  <c r="AH3" i="59"/>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F19" i="59" s="1"/>
  <c r="AD19" i="59"/>
  <c r="AD20" i="59"/>
  <c r="AE20" i="59"/>
  <c r="AF20" i="59" s="1"/>
  <c r="AG20" i="59"/>
  <c r="AH20" i="59"/>
  <c r="S2" i="31"/>
  <c r="M2" i="31"/>
  <c r="N2" i="31"/>
  <c r="O2" i="31"/>
  <c r="P2" i="31"/>
  <c r="Q2" i="31"/>
  <c r="R2" i="31"/>
  <c r="C3" i="65"/>
  <c r="C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AB12" i="46"/>
  <c r="Z12" i="46"/>
  <c r="AI12" i="46"/>
  <c r="AG12" i="46"/>
  <c r="AE12" i="46"/>
  <c r="AC12" i="46"/>
  <c r="AA12" i="46"/>
  <c r="B73" i="63"/>
  <c r="A21" i="64"/>
  <c r="B75" i="63" s="1"/>
  <c r="A27" i="64"/>
  <c r="A15" i="64"/>
  <c r="A14" i="64"/>
  <c r="A11" i="64"/>
  <c r="A3" i="64"/>
  <c r="A45" i="9"/>
  <c r="A44" i="9"/>
  <c r="C57" i="10"/>
  <c r="A28" i="51"/>
  <c r="B21" i="63" s="1"/>
  <c r="C56" i="10"/>
  <c r="C55" i="10"/>
  <c r="C54" i="10"/>
  <c r="B49" i="63"/>
  <c r="B44" i="63"/>
  <c r="B40" i="63"/>
  <c r="B30" i="63"/>
  <c r="B27" i="63"/>
  <c r="B25" i="63"/>
  <c r="A11" i="51"/>
  <c r="B10" i="63" s="1"/>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B41" i="63"/>
  <c r="G5" i="54"/>
  <c r="B34" i="63"/>
  <c r="E5" i="54"/>
  <c r="B32" i="63"/>
  <c r="R2" i="54"/>
  <c r="B24" i="63"/>
  <c r="B19" i="63"/>
  <c r="B49" i="50"/>
  <c r="B5" i="63" s="1"/>
  <c r="B40" i="50"/>
  <c r="B3" i="63" s="1"/>
  <c r="N4" i="63"/>
  <c r="B67" i="63"/>
  <c r="I19" i="46"/>
  <c r="Q8" i="59"/>
  <c r="F8" i="59" s="1"/>
  <c r="P8" i="59"/>
  <c r="E8" i="59" s="1"/>
  <c r="U8" i="59" s="1"/>
  <c r="O8" i="59"/>
  <c r="C8" i="59" s="1"/>
  <c r="N8" i="59"/>
  <c r="B8" i="59" s="1"/>
  <c r="B7" i="59" s="1"/>
  <c r="D69" i="59"/>
  <c r="F68" i="59"/>
  <c r="E68" i="59"/>
  <c r="E67" i="59" s="1"/>
  <c r="E66" i="59"/>
  <c r="C68" i="59"/>
  <c r="D68" i="59"/>
  <c r="B68" i="59"/>
  <c r="F67" i="59"/>
  <c r="F66" i="59" s="1"/>
  <c r="B67" i="59"/>
  <c r="B66" i="59" s="1"/>
  <c r="D65" i="59"/>
  <c r="F64" i="59"/>
  <c r="E64" i="59"/>
  <c r="E63" i="59" s="1"/>
  <c r="E62" i="59" s="1"/>
  <c r="C64" i="59"/>
  <c r="D64" i="59"/>
  <c r="B64" i="59"/>
  <c r="F63" i="59"/>
  <c r="F62" i="59" s="1"/>
  <c r="B63" i="59"/>
  <c r="B62" i="59" s="1"/>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s="1"/>
  <c r="E48" i="59"/>
  <c r="E47" i="59" s="1"/>
  <c r="P47" i="59" s="1"/>
  <c r="C48" i="59"/>
  <c r="B48" i="59"/>
  <c r="F47" i="59"/>
  <c r="F46" i="59" s="1"/>
  <c r="Q46" i="59" s="1"/>
  <c r="Q45" i="59"/>
  <c r="D45" i="59"/>
  <c r="Q44" i="59"/>
  <c r="P44" i="59"/>
  <c r="O44" i="59"/>
  <c r="N44" i="59"/>
  <c r="Q43" i="59"/>
  <c r="P43" i="59"/>
  <c r="O43" i="59"/>
  <c r="N43" i="59"/>
  <c r="Q42" i="59"/>
  <c r="P42" i="59"/>
  <c r="O42" i="59"/>
  <c r="N42" i="59"/>
  <c r="Q41" i="59"/>
  <c r="F42" i="59" s="1"/>
  <c r="P41" i="59"/>
  <c r="E42" i="59" s="1"/>
  <c r="E43" i="59"/>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c r="E36" i="59" s="1"/>
  <c r="U36" i="59" s="1"/>
  <c r="O33" i="59"/>
  <c r="C34" i="59"/>
  <c r="N33" i="59"/>
  <c r="B34" i="59"/>
  <c r="B35" i="59" s="1"/>
  <c r="B36" i="59"/>
  <c r="S36" i="59" s="1"/>
  <c r="D33" i="59"/>
  <c r="Q32" i="59"/>
  <c r="P32" i="59"/>
  <c r="O32" i="59"/>
  <c r="N32" i="59"/>
  <c r="Q31" i="59"/>
  <c r="P31" i="59"/>
  <c r="O31" i="59"/>
  <c r="N31" i="59"/>
  <c r="Q30" i="59"/>
  <c r="P30" i="59"/>
  <c r="O30" i="59"/>
  <c r="N30" i="59"/>
  <c r="Q29" i="59"/>
  <c r="F30" i="59"/>
  <c r="F31" i="59" s="1"/>
  <c r="F32" i="59"/>
  <c r="V32" i="59" s="1"/>
  <c r="P29" i="59"/>
  <c r="E30" i="59" s="1"/>
  <c r="O29" i="59"/>
  <c r="C30" i="59" s="1"/>
  <c r="N29" i="59"/>
  <c r="B30" i="59" s="1"/>
  <c r="D29" i="59"/>
  <c r="T28" i="59"/>
  <c r="Q28" i="59"/>
  <c r="P28" i="59"/>
  <c r="O28" i="59"/>
  <c r="N28" i="59"/>
  <c r="D28" i="59"/>
  <c r="Q27" i="59"/>
  <c r="P27" i="59"/>
  <c r="O27" i="59"/>
  <c r="N27" i="59"/>
  <c r="Q26" i="59"/>
  <c r="P26" i="59"/>
  <c r="O26" i="59"/>
  <c r="N26" i="59"/>
  <c r="Q25" i="59"/>
  <c r="F26" i="59"/>
  <c r="P25" i="59"/>
  <c r="E26" i="59"/>
  <c r="E27" i="59" s="1"/>
  <c r="E28" i="59" s="1"/>
  <c r="U28" i="59" s="1"/>
  <c r="O25" i="59"/>
  <c r="C26" i="59" s="1"/>
  <c r="N25" i="59"/>
  <c r="B26" i="59" s="1"/>
  <c r="B27" i="59"/>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c r="N21" i="59"/>
  <c r="B22" i="59"/>
  <c r="B23" i="59" s="1"/>
  <c r="B24" i="59" s="1"/>
  <c r="S24" i="59" s="1"/>
  <c r="D21" i="59"/>
  <c r="Q20" i="59"/>
  <c r="P20" i="59"/>
  <c r="O20" i="59"/>
  <c r="N20" i="59"/>
  <c r="Q19" i="59"/>
  <c r="AB19" i="59"/>
  <c r="P19" i="59"/>
  <c r="O19" i="59"/>
  <c r="Y19" i="59" s="1"/>
  <c r="Z19" i="59" s="1"/>
  <c r="N19" i="59"/>
  <c r="X19" i="59"/>
  <c r="Q18" i="59"/>
  <c r="AB18" i="59"/>
  <c r="P18" i="59"/>
  <c r="AA18" i="59"/>
  <c r="O18" i="59"/>
  <c r="N18" i="59"/>
  <c r="X18" i="59"/>
  <c r="Q17" i="59"/>
  <c r="P17" i="59"/>
  <c r="O17" i="59"/>
  <c r="N17" i="59"/>
  <c r="D17" i="59"/>
  <c r="Q16" i="59"/>
  <c r="AB16" i="59" s="1"/>
  <c r="P16" i="59"/>
  <c r="AA16" i="59" s="1"/>
  <c r="O16" i="59"/>
  <c r="N16" i="59"/>
  <c r="X16" i="59"/>
  <c r="Q15" i="59"/>
  <c r="AB15" i="59"/>
  <c r="P15" i="59"/>
  <c r="AA15" i="59"/>
  <c r="O15" i="59"/>
  <c r="Y15" i="59"/>
  <c r="Z15" i="59" s="1"/>
  <c r="N15" i="59"/>
  <c r="X15" i="59" s="1"/>
  <c r="Q14" i="59"/>
  <c r="P14" i="59"/>
  <c r="O14" i="59"/>
  <c r="Y14" i="59" s="1"/>
  <c r="Z14" i="59" s="1"/>
  <c r="N14" i="59"/>
  <c r="X14" i="59"/>
  <c r="Q13" i="59"/>
  <c r="P13" i="59"/>
  <c r="O13" i="59"/>
  <c r="N13" i="59"/>
  <c r="D13" i="59"/>
  <c r="Q12" i="59"/>
  <c r="P12" i="59"/>
  <c r="AA12" i="59" s="1"/>
  <c r="O12" i="59"/>
  <c r="N12" i="59"/>
  <c r="X12" i="59"/>
  <c r="Q11" i="59"/>
  <c r="AB11" i="59"/>
  <c r="P11" i="59"/>
  <c r="AA11" i="59"/>
  <c r="O11" i="59"/>
  <c r="Y11" i="59"/>
  <c r="Z11" i="59" s="1"/>
  <c r="N11" i="59"/>
  <c r="Q10" i="59"/>
  <c r="AB10" i="59" s="1"/>
  <c r="P10" i="59"/>
  <c r="O10" i="59"/>
  <c r="Y10" i="59" s="1"/>
  <c r="Z10" i="59" s="1"/>
  <c r="N10" i="59"/>
  <c r="X10" i="59"/>
  <c r="Q9" i="59"/>
  <c r="P9" i="59"/>
  <c r="O9" i="59"/>
  <c r="Y9" i="59" s="1"/>
  <c r="N9" i="59"/>
  <c r="D9" i="59"/>
  <c r="C14" i="59"/>
  <c r="Y13" i="59"/>
  <c r="Z13" i="59" s="1"/>
  <c r="F14" i="59"/>
  <c r="B18" i="59"/>
  <c r="B19" i="59" s="1"/>
  <c r="B20" i="59" s="1"/>
  <c r="S20" i="59" s="1"/>
  <c r="X17" i="59"/>
  <c r="S8" i="59"/>
  <c r="B6" i="59"/>
  <c r="B5" i="59" s="1"/>
  <c r="B4" i="59" s="1"/>
  <c r="E7" i="59"/>
  <c r="E6" i="59" s="1"/>
  <c r="E5" i="59" s="1"/>
  <c r="E4" i="59" s="1"/>
  <c r="B10" i="59"/>
  <c r="Z9" i="59"/>
  <c r="F10" i="59"/>
  <c r="AB9" i="59"/>
  <c r="E14" i="59"/>
  <c r="E15" i="59"/>
  <c r="E16" i="59" s="1"/>
  <c r="U16" i="59" s="1"/>
  <c r="C18" i="59"/>
  <c r="D18" i="59" s="1"/>
  <c r="F18" i="59"/>
  <c r="AB17" i="59"/>
  <c r="D8" i="59"/>
  <c r="T8" i="59"/>
  <c r="C7" i="59"/>
  <c r="V8" i="59"/>
  <c r="F7" i="59"/>
  <c r="F6" i="59"/>
  <c r="F5" i="59" s="1"/>
  <c r="F4" i="59" s="1"/>
  <c r="X3" i="59"/>
  <c r="X5" i="59"/>
  <c r="X6" i="59"/>
  <c r="X7" i="59"/>
  <c r="X8" i="59"/>
  <c r="AA3" i="59"/>
  <c r="AA6" i="59"/>
  <c r="AA8" i="59"/>
  <c r="AB3" i="59"/>
  <c r="AB6" i="59"/>
  <c r="B11" i="59"/>
  <c r="B12" i="59" s="1"/>
  <c r="S12" i="59" s="1"/>
  <c r="E10" i="59"/>
  <c r="E11" i="59"/>
  <c r="E12" i="59" s="1"/>
  <c r="U12" i="59" s="1"/>
  <c r="B31" i="59"/>
  <c r="B32" i="59"/>
  <c r="S32" i="59" s="1"/>
  <c r="E31" i="59"/>
  <c r="E32" i="59" s="1"/>
  <c r="U32" i="59" s="1"/>
  <c r="S48" i="59"/>
  <c r="AA19" i="59"/>
  <c r="F11" i="59"/>
  <c r="F12" i="59" s="1"/>
  <c r="V12" i="59" s="1"/>
  <c r="F15" i="59"/>
  <c r="F16" i="59"/>
  <c r="V16" i="59" s="1"/>
  <c r="F19" i="59"/>
  <c r="F20" i="59" s="1"/>
  <c r="V20" i="59" s="1"/>
  <c r="F23" i="59"/>
  <c r="F24" i="59"/>
  <c r="V24" i="59" s="1"/>
  <c r="F27" i="59"/>
  <c r="F28" i="59" s="1"/>
  <c r="V28" i="59" s="1"/>
  <c r="F35" i="59"/>
  <c r="F36" i="59"/>
  <c r="V36" i="59" s="1"/>
  <c r="F39" i="59"/>
  <c r="F40" i="59" s="1"/>
  <c r="V40" i="59" s="1"/>
  <c r="F43" i="59"/>
  <c r="F44" i="59"/>
  <c r="V44" i="59" s="1"/>
  <c r="C19" i="59"/>
  <c r="D19" i="59" s="1"/>
  <c r="C23" i="59"/>
  <c r="D23" i="59" s="1"/>
  <c r="D22" i="59"/>
  <c r="C27" i="59"/>
  <c r="D27" i="59" s="1"/>
  <c r="D26" i="59"/>
  <c r="C31" i="59"/>
  <c r="D30" i="59"/>
  <c r="C35" i="59"/>
  <c r="D34" i="59"/>
  <c r="C39" i="59"/>
  <c r="D38" i="59"/>
  <c r="C43" i="59"/>
  <c r="D42" i="59"/>
  <c r="C15" i="59"/>
  <c r="D14" i="59"/>
  <c r="E46" i="59"/>
  <c r="Q47" i="59"/>
  <c r="T48" i="59"/>
  <c r="O48" i="59"/>
  <c r="D48" i="59"/>
  <c r="C47" i="59"/>
  <c r="C46" i="59" s="1"/>
  <c r="P48" i="59"/>
  <c r="U48" i="59"/>
  <c r="Q48" i="59"/>
  <c r="C51" i="59"/>
  <c r="C50" i="59" s="1"/>
  <c r="D50" i="59" s="1"/>
  <c r="E51" i="59"/>
  <c r="E50" i="59"/>
  <c r="D52" i="59"/>
  <c r="C55" i="59"/>
  <c r="D55" i="59" s="1"/>
  <c r="E55" i="59"/>
  <c r="E54" i="59"/>
  <c r="D56" i="59"/>
  <c r="C59" i="59"/>
  <c r="D59" i="59" s="1"/>
  <c r="E59" i="59"/>
  <c r="E58" i="59"/>
  <c r="D60" i="59"/>
  <c r="C63" i="59"/>
  <c r="C62" i="59" s="1"/>
  <c r="D62" i="59" s="1"/>
  <c r="C67" i="59"/>
  <c r="U16" i="4"/>
  <c r="S16" i="4"/>
  <c r="Q16" i="4"/>
  <c r="O16" i="4"/>
  <c r="M16" i="4"/>
  <c r="L16" i="4" s="1"/>
  <c r="K16" i="4"/>
  <c r="D7" i="59"/>
  <c r="C6" i="59"/>
  <c r="P45" i="59"/>
  <c r="P46" i="59"/>
  <c r="D67" i="59"/>
  <c r="C66" i="59"/>
  <c r="D66" i="59"/>
  <c r="C58" i="59"/>
  <c r="D58" i="59" s="1"/>
  <c r="D51" i="59"/>
  <c r="O47" i="59"/>
  <c r="D63" i="59"/>
  <c r="C54" i="59"/>
  <c r="D54" i="59" s="1"/>
  <c r="C16" i="59"/>
  <c r="D16" i="59" s="1"/>
  <c r="D15" i="59"/>
  <c r="C44" i="59"/>
  <c r="D44" i="59" s="1"/>
  <c r="D43" i="59"/>
  <c r="D39" i="59"/>
  <c r="C40" i="59"/>
  <c r="C36" i="59"/>
  <c r="D36" i="59" s="1"/>
  <c r="D35" i="59"/>
  <c r="C32" i="59"/>
  <c r="D32" i="59" s="1"/>
  <c r="D31" i="59"/>
  <c r="C24" i="59"/>
  <c r="D24" i="59" s="1"/>
  <c r="C20" i="59"/>
  <c r="D20" i="59" s="1"/>
  <c r="N16" i="4"/>
  <c r="D6" i="59"/>
  <c r="C5" i="59"/>
  <c r="T40" i="59"/>
  <c r="D40" i="59"/>
  <c r="T20" i="59"/>
  <c r="T24" i="59"/>
  <c r="T32" i="59"/>
  <c r="T36" i="59"/>
  <c r="T44" i="59"/>
  <c r="T16" i="59"/>
  <c r="D5" i="59"/>
  <c r="C4" i="59"/>
  <c r="D4" i="59" s="1"/>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c r="F83" i="33" s="1"/>
  <c r="G83" i="33" s="1"/>
  <c r="Q21" i="21"/>
  <c r="Z21" i="2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3" i="3"/>
  <c r="BS113" i="3"/>
  <c r="BR113" i="3"/>
  <c r="BQ113" i="3"/>
  <c r="BP113" i="3"/>
  <c r="BO113" i="3"/>
  <c r="BN113" i="3"/>
  <c r="BM113" i="3"/>
  <c r="BL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2" i="31"/>
  <c r="S42" i="31" s="1"/>
  <c r="R43" i="31"/>
  <c r="S43" i="31" s="1"/>
  <c r="R44" i="31"/>
  <c r="S44" i="31" s="1"/>
  <c r="R45" i="31"/>
  <c r="R46" i="31"/>
  <c r="S46" i="31" s="1"/>
  <c r="R47" i="31"/>
  <c r="S47" i="31" s="1"/>
  <c r="R48" i="31"/>
  <c r="S48" i="31" s="1"/>
  <c r="R49" i="31"/>
  <c r="S49" i="31" s="1"/>
  <c r="R50" i="31"/>
  <c r="S50" i="31" s="1"/>
  <c r="R51" i="31"/>
  <c r="S51" i="31" s="1"/>
  <c r="R52" i="31"/>
  <c r="S52" i="31" s="1"/>
  <c r="R53" i="31"/>
  <c r="R54" i="31"/>
  <c r="S54" i="31" s="1"/>
  <c r="R55" i="31"/>
  <c r="S55" i="31"/>
  <c r="R56" i="31"/>
  <c r="S56" i="3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c r="R139" i="31"/>
  <c r="S139" i="31"/>
  <c r="R140" i="31"/>
  <c r="S140" i="31"/>
  <c r="R141" i="31"/>
  <c r="S141" i="31"/>
  <c r="R142" i="31"/>
  <c r="S142" i="3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7" i="31"/>
  <c r="S159" i="31"/>
  <c r="S151" i="31"/>
  <c r="S143" i="31"/>
  <c r="S135" i="31"/>
  <c r="S127" i="31"/>
  <c r="S496" i="31"/>
  <c r="S494" i="31"/>
  <c r="S490" i="31"/>
  <c r="S488" i="31"/>
  <c r="S486" i="31"/>
  <c r="S484" i="31"/>
  <c r="S482" i="31"/>
  <c r="S480" i="31"/>
  <c r="S478" i="31"/>
  <c r="S476" i="31"/>
  <c r="S474" i="31"/>
  <c r="S435" i="31"/>
  <c r="S117" i="31"/>
  <c r="S463" i="31"/>
  <c r="S53" i="31"/>
  <c r="S45" i="31"/>
  <c r="S73" i="31"/>
  <c r="S65" i="31"/>
  <c r="S57" i="31"/>
  <c r="S93" i="31"/>
  <c r="S85" i="31"/>
  <c r="S99" i="31"/>
  <c r="S107" i="31"/>
  <c r="S507"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H16" i="3"/>
  <c r="AC16" i="3"/>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L20" i="3" s="1"/>
  <c r="BN20" i="3"/>
  <c r="BO20" i="3"/>
  <c r="BP20" i="3"/>
  <c r="BR20" i="3"/>
  <c r="BS20" i="3"/>
  <c r="BT20" i="3"/>
  <c r="H482" i="3"/>
  <c r="G482" i="3"/>
  <c r="AC482" i="3"/>
  <c r="BB482" i="3"/>
  <c r="BC482" i="3"/>
  <c r="BD482" i="3"/>
  <c r="BE482" i="3"/>
  <c r="BF482" i="3"/>
  <c r="BG482" i="3"/>
  <c r="BH482" i="3"/>
  <c r="BI482" i="3"/>
  <c r="BJ482" i="3"/>
  <c r="BK482" i="3"/>
  <c r="BM482" i="3"/>
  <c r="BN482" i="3"/>
  <c r="BO482" i="3"/>
  <c r="BP482" i="3"/>
  <c r="BQ482" i="3"/>
  <c r="BR482" i="3"/>
  <c r="BS482" i="3"/>
  <c r="BT482" i="3"/>
  <c r="H483" i="3"/>
  <c r="G483" i="3" s="1"/>
  <c r="AC483" i="3"/>
  <c r="BB483" i="3"/>
  <c r="BC483" i="3"/>
  <c r="BD483" i="3"/>
  <c r="BE483" i="3"/>
  <c r="BF483" i="3"/>
  <c r="BG483" i="3"/>
  <c r="BH483" i="3"/>
  <c r="BI483" i="3"/>
  <c r="BJ483" i="3"/>
  <c r="BK483" i="3"/>
  <c r="BM483" i="3"/>
  <c r="BN483" i="3"/>
  <c r="BO483" i="3"/>
  <c r="BP483" i="3"/>
  <c r="BR483" i="3"/>
  <c r="BS483" i="3"/>
  <c r="BT483" i="3"/>
  <c r="H484" i="3"/>
  <c r="AC484" i="3"/>
  <c r="BB484" i="3"/>
  <c r="BC484" i="3"/>
  <c r="BD484" i="3"/>
  <c r="BE484" i="3"/>
  <c r="BF484" i="3"/>
  <c r="BG484" i="3"/>
  <c r="BH484" i="3"/>
  <c r="BI484" i="3"/>
  <c r="BJ484" i="3"/>
  <c r="BK484" i="3"/>
  <c r="BM484" i="3"/>
  <c r="BL484" i="3" s="1"/>
  <c r="BN484" i="3"/>
  <c r="BO484" i="3"/>
  <c r="BP484" i="3"/>
  <c r="BQ484" i="3"/>
  <c r="BR484" i="3"/>
  <c r="BS484" i="3"/>
  <c r="BT484" i="3"/>
  <c r="H485" i="3"/>
  <c r="G485" i="3" s="1"/>
  <c r="AC485" i="3"/>
  <c r="BB485" i="3"/>
  <c r="BC485" i="3"/>
  <c r="BD485" i="3"/>
  <c r="BE485" i="3"/>
  <c r="BF485" i="3"/>
  <c r="BG485" i="3"/>
  <c r="BH485" i="3"/>
  <c r="BI485" i="3"/>
  <c r="BJ485" i="3"/>
  <c r="BK485" i="3"/>
  <c r="BM485" i="3"/>
  <c r="BN485" i="3"/>
  <c r="BO485" i="3"/>
  <c r="BP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H487" i="3"/>
  <c r="G487" i="3"/>
  <c r="AC487" i="3"/>
  <c r="BB487" i="3"/>
  <c r="BC487" i="3"/>
  <c r="BD487" i="3"/>
  <c r="BE487" i="3"/>
  <c r="BF487" i="3"/>
  <c r="BG487" i="3"/>
  <c r="BH487" i="3"/>
  <c r="BI487" i="3"/>
  <c r="BJ487" i="3"/>
  <c r="BK487" i="3"/>
  <c r="BM487" i="3"/>
  <c r="BN487" i="3"/>
  <c r="BO487" i="3"/>
  <c r="BP487" i="3"/>
  <c r="BR487" i="3"/>
  <c r="BS487" i="3"/>
  <c r="BT487" i="3"/>
  <c r="H488" i="3"/>
  <c r="AC488" i="3"/>
  <c r="G488" i="3" s="1"/>
  <c r="BB488" i="3"/>
  <c r="BC488" i="3"/>
  <c r="BD488" i="3"/>
  <c r="BE488" i="3"/>
  <c r="BF488" i="3"/>
  <c r="BG488" i="3"/>
  <c r="BH488" i="3"/>
  <c r="BI488" i="3"/>
  <c r="BJ488" i="3"/>
  <c r="BK488" i="3"/>
  <c r="BM488" i="3"/>
  <c r="BN488" i="3"/>
  <c r="BO488" i="3"/>
  <c r="BP488" i="3"/>
  <c r="BQ488" i="3"/>
  <c r="BR488" i="3"/>
  <c r="BS488" i="3"/>
  <c r="BT488" i="3"/>
  <c r="H489" i="3"/>
  <c r="AC489" i="3"/>
  <c r="BB489" i="3"/>
  <c r="BA489" i="3" s="1"/>
  <c r="AZ489" i="3" s="1"/>
  <c r="BC489" i="3"/>
  <c r="BD489" i="3"/>
  <c r="BE489" i="3"/>
  <c r="BF489" i="3"/>
  <c r="BG489" i="3"/>
  <c r="BH489" i="3"/>
  <c r="BI489" i="3"/>
  <c r="BJ489" i="3"/>
  <c r="BK489" i="3"/>
  <c r="BM489" i="3"/>
  <c r="BN489" i="3"/>
  <c r="BO489" i="3"/>
  <c r="BP489" i="3"/>
  <c r="BR489" i="3"/>
  <c r="BS489" i="3"/>
  <c r="BT489" i="3"/>
  <c r="H490" i="3"/>
  <c r="G490" i="3"/>
  <c r="AC490" i="3"/>
  <c r="BB490" i="3"/>
  <c r="BC490" i="3"/>
  <c r="BD490" i="3"/>
  <c r="BE490" i="3"/>
  <c r="BF490" i="3"/>
  <c r="BG490" i="3"/>
  <c r="BH490" i="3"/>
  <c r="BI490" i="3"/>
  <c r="BJ490" i="3"/>
  <c r="BK490" i="3"/>
  <c r="BM490" i="3"/>
  <c r="BN490" i="3"/>
  <c r="BO490" i="3"/>
  <c r="BP490" i="3"/>
  <c r="BQ490" i="3"/>
  <c r="BR490" i="3"/>
  <c r="BS490" i="3"/>
  <c r="BT490" i="3"/>
  <c r="H491" i="3"/>
  <c r="G491" i="3" s="1"/>
  <c r="AC491" i="3"/>
  <c r="BB491" i="3"/>
  <c r="BC491" i="3"/>
  <c r="BD491" i="3"/>
  <c r="BE491" i="3"/>
  <c r="BF491" i="3"/>
  <c r="BG491" i="3"/>
  <c r="BH491" i="3"/>
  <c r="BI491" i="3"/>
  <c r="BJ491" i="3"/>
  <c r="BK491" i="3"/>
  <c r="BM491" i="3"/>
  <c r="BN491" i="3"/>
  <c r="BO491" i="3"/>
  <c r="BP491" i="3"/>
  <c r="BR491" i="3"/>
  <c r="BS491" i="3"/>
  <c r="BT491" i="3"/>
  <c r="H492" i="3"/>
  <c r="AC492" i="3"/>
  <c r="BB492" i="3"/>
  <c r="BC492" i="3"/>
  <c r="BD492" i="3"/>
  <c r="BE492" i="3"/>
  <c r="BF492" i="3"/>
  <c r="BG492" i="3"/>
  <c r="BH492" i="3"/>
  <c r="BI492" i="3"/>
  <c r="BJ492" i="3"/>
  <c r="BK492" i="3"/>
  <c r="BM492" i="3"/>
  <c r="BN492" i="3"/>
  <c r="BO492" i="3"/>
  <c r="BP492" i="3"/>
  <c r="BQ492" i="3"/>
  <c r="BR492" i="3"/>
  <c r="BS492" i="3"/>
  <c r="BT492" i="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T5" i="3" s="1"/>
  <c r="H509" i="3"/>
  <c r="AC509" i="3"/>
  <c r="G509" i="3" s="1"/>
  <c r="BB509" i="3"/>
  <c r="BC509" i="3"/>
  <c r="BD509" i="3"/>
  <c r="BE509" i="3"/>
  <c r="BF509" i="3"/>
  <c r="BG509" i="3"/>
  <c r="BH509" i="3"/>
  <c r="BI509" i="3"/>
  <c r="BJ509" i="3"/>
  <c r="BK509" i="3"/>
  <c r="BM509" i="3"/>
  <c r="BN509" i="3"/>
  <c r="BL509" i="3" s="1"/>
  <c r="BO509" i="3"/>
  <c r="BP509" i="3"/>
  <c r="BR509" i="3"/>
  <c r="BS509" i="3"/>
  <c r="BT509" i="3"/>
  <c r="H510" i="3"/>
  <c r="AC510" i="3"/>
  <c r="G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s="1"/>
  <c r="BN520" i="3"/>
  <c r="BO520" i="3"/>
  <c r="BP520" i="3"/>
  <c r="BQ520" i="3"/>
  <c r="BR520" i="3"/>
  <c r="BS520" i="3"/>
  <c r="BT520" i="3"/>
  <c r="H521" i="3"/>
  <c r="G521" i="3" s="1"/>
  <c r="AC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C536" i="3"/>
  <c r="BD536" i="3"/>
  <c r="BE536" i="3"/>
  <c r="BF536" i="3"/>
  <c r="BG536" i="3"/>
  <c r="BH536" i="3"/>
  <c r="BI536" i="3"/>
  <c r="BJ536" i="3"/>
  <c r="BK536" i="3"/>
  <c r="BM536" i="3"/>
  <c r="BN536" i="3"/>
  <c r="BL536" i="3" s="1"/>
  <c r="BO536" i="3"/>
  <c r="BP536" i="3"/>
  <c r="BQ536" i="3"/>
  <c r="BR536" i="3"/>
  <c r="BS536" i="3"/>
  <c r="BT536" i="3"/>
  <c r="H537" i="3"/>
  <c r="G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AC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G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9"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6" i="31" s="1"/>
  <c r="D122" i="39"/>
  <c r="D14" i="31" s="1"/>
  <c r="B116" i="39"/>
  <c r="D111" i="39"/>
  <c r="E111" i="39"/>
  <c r="F111" i="39" s="1"/>
  <c r="G111" i="39" s="1"/>
  <c r="H111" i="39" s="1"/>
  <c r="I111" i="39" s="1"/>
  <c r="J111" i="39" s="1"/>
  <c r="K111" i="39" s="1"/>
  <c r="L111" i="39" s="1"/>
  <c r="M111" i="39" s="1"/>
  <c r="D109" i="39"/>
  <c r="E109" i="39"/>
  <c r="F109" i="39" s="1"/>
  <c r="G109" i="39" s="1"/>
  <c r="D107" i="39"/>
  <c r="E107" i="39"/>
  <c r="F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B88" i="39"/>
  <c r="B86" i="39"/>
  <c r="B84" i="39"/>
  <c r="M81" i="39"/>
  <c r="L81" i="39"/>
  <c r="K81" i="39"/>
  <c r="J81" i="39"/>
  <c r="J5" i="31" s="1"/>
  <c r="I81" i="39"/>
  <c r="I5" i="31" s="1"/>
  <c r="H81" i="39"/>
  <c r="H5" i="31" s="1"/>
  <c r="G81" i="39"/>
  <c r="G5" i="31" s="1"/>
  <c r="F81" i="39"/>
  <c r="F5" i="31" s="1"/>
  <c r="E81" i="39"/>
  <c r="E5" i="31" s="1"/>
  <c r="D81" i="39"/>
  <c r="D5" i="31" s="1"/>
  <c r="C81" i="39"/>
  <c r="C5" i="31" s="1"/>
  <c r="E30" i="31" s="1"/>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B82" i="37"/>
  <c r="J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H13" i="36" s="1"/>
  <c r="AB13" i="36" s="1"/>
  <c r="B57" i="36"/>
  <c r="J12" i="36"/>
  <c r="AC12" i="36" s="1"/>
  <c r="B55" i="36"/>
  <c r="F54" i="36"/>
  <c r="G54" i="36" s="1"/>
  <c r="H54" i="36" s="1"/>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AB23" i="35" s="1"/>
  <c r="B57" i="35"/>
  <c r="B61" i="35"/>
  <c r="B59" i="35"/>
  <c r="H12" i="35"/>
  <c r="B131" i="34"/>
  <c r="B129" i="34"/>
  <c r="H46" i="34" s="1"/>
  <c r="B127" i="34"/>
  <c r="B99" i="34"/>
  <c r="H32" i="34" s="1"/>
  <c r="B97" i="34"/>
  <c r="B95" i="34"/>
  <c r="H30" i="34" s="1"/>
  <c r="B93" i="34"/>
  <c r="B75" i="34"/>
  <c r="J14" i="34" s="1"/>
  <c r="B73" i="34"/>
  <c r="B71" i="34"/>
  <c r="J12" i="34" s="1"/>
  <c r="W12" i="34" s="1"/>
  <c r="B130" i="33"/>
  <c r="B128" i="33"/>
  <c r="H45" i="33" s="1"/>
  <c r="B126" i="33"/>
  <c r="B98" i="33"/>
  <c r="F31" i="33"/>
  <c r="AA31" i="33" s="1"/>
  <c r="B96" i="33"/>
  <c r="H30" i="33" s="1"/>
  <c r="AB30" i="33" s="1"/>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W8" i="33"/>
  <c r="H8" i="33"/>
  <c r="F8" i="33"/>
  <c r="S8" i="33" s="1"/>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c r="F117" i="21" s="1"/>
  <c r="G117" i="21" s="1"/>
  <c r="H117" i="21" s="1"/>
  <c r="I117" i="21" s="1"/>
  <c r="J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D85" i="21"/>
  <c r="E85" i="21"/>
  <c r="D81" i="21"/>
  <c r="E81" i="21"/>
  <c r="F81" i="21" s="1"/>
  <c r="D77" i="21"/>
  <c r="E77" i="21"/>
  <c r="B130" i="21"/>
  <c r="B128" i="21"/>
  <c r="J45" i="21" s="1"/>
  <c r="AC45" i="21" s="1"/>
  <c r="B126" i="21"/>
  <c r="B98" i="21"/>
  <c r="J31" i="21" s="1"/>
  <c r="AC31" i="21" s="1"/>
  <c r="B96" i="21"/>
  <c r="B94" i="21"/>
  <c r="J29" i="21" s="1"/>
  <c r="B92" i="21"/>
  <c r="B90" i="21"/>
  <c r="H27" i="21" s="1"/>
  <c r="AB27" i="21" s="1"/>
  <c r="B74" i="21"/>
  <c r="B72" i="21"/>
  <c r="H13" i="21" s="1"/>
  <c r="B70" i="21"/>
  <c r="F12" i="21"/>
  <c r="S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F20" i="6" s="1"/>
  <c r="E20" i="6" s="1"/>
  <c r="J5" i="3"/>
  <c r="BE10" i="3"/>
  <c r="BD13" i="3"/>
  <c r="BE13" i="3"/>
  <c r="BF13" i="3"/>
  <c r="BF5" i="3" s="1"/>
  <c r="BG13" i="3"/>
  <c r="BG5" i="3" s="1"/>
  <c r="BH13" i="3"/>
  <c r="BI13" i="3"/>
  <c r="BJ13" i="3"/>
  <c r="BK13" i="3"/>
  <c r="BM13" i="3"/>
  <c r="BL13" i="3" s="1"/>
  <c r="BN13" i="3"/>
  <c r="BO13" i="3"/>
  <c r="BP13" i="3"/>
  <c r="BS13" i="3"/>
  <c r="BT13" i="3"/>
  <c r="BB571" i="3"/>
  <c r="BB5" i="3" s="1"/>
  <c r="BC571" i="3"/>
  <c r="BD571" i="3"/>
  <c r="BE571" i="3"/>
  <c r="BF571" i="3"/>
  <c r="BA571" i="3" s="1"/>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AC571" i="3"/>
  <c r="AC572" i="3"/>
  <c r="AC573"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1" i="3"/>
  <c r="G571" i="3" s="1"/>
  <c r="H572" i="3"/>
  <c r="G572" i="3" s="1"/>
  <c r="H573" i="3"/>
  <c r="G573" i="3" s="1"/>
  <c r="F5" i="3"/>
  <c r="F34" i="21"/>
  <c r="AA34" i="21"/>
  <c r="H34" i="21"/>
  <c r="U34" i="21"/>
  <c r="H38" i="21"/>
  <c r="AB38" i="21"/>
  <c r="F38" i="21"/>
  <c r="S38" i="21"/>
  <c r="F39" i="21"/>
  <c r="AA39" i="21"/>
  <c r="H35" i="21"/>
  <c r="AB35" i="21"/>
  <c r="J8" i="21"/>
  <c r="AC8" i="21"/>
  <c r="H8" i="21"/>
  <c r="U8" i="21"/>
  <c r="H10" i="21"/>
  <c r="U10" i="21"/>
  <c r="H39" i="21"/>
  <c r="AB39" i="21"/>
  <c r="J34" i="21"/>
  <c r="W34" i="21"/>
  <c r="F35" i="21"/>
  <c r="AA35" i="21"/>
  <c r="J33" i="21"/>
  <c r="W33" i="21"/>
  <c r="H33" i="21"/>
  <c r="U33" i="21"/>
  <c r="F33" i="21"/>
  <c r="J10" i="21"/>
  <c r="AC10" i="21" s="1"/>
  <c r="H26" i="21"/>
  <c r="U26" i="21" s="1"/>
  <c r="J12" i="21"/>
  <c r="H12" i="21"/>
  <c r="U12" i="21" s="1"/>
  <c r="J26" i="21"/>
  <c r="W26" i="21" s="1"/>
  <c r="F26" i="21"/>
  <c r="AA26" i="21" s="1"/>
  <c r="S41" i="21"/>
  <c r="W41" i="21"/>
  <c r="S10" i="39"/>
  <c r="U30" i="37"/>
  <c r="E103" i="37"/>
  <c r="F103" i="37"/>
  <c r="G103" i="37" s="1"/>
  <c r="F39" i="37"/>
  <c r="S39" i="37"/>
  <c r="F29" i="36"/>
  <c r="AA29" i="36" s="1"/>
  <c r="F16" i="36"/>
  <c r="AA16" i="36" s="1"/>
  <c r="U22" i="36"/>
  <c r="W23" i="36"/>
  <c r="W22" i="36"/>
  <c r="U26" i="36"/>
  <c r="AC31" i="36"/>
  <c r="W33" i="36"/>
  <c r="U31" i="35"/>
  <c r="S34" i="35"/>
  <c r="W24" i="35"/>
  <c r="W31" i="35"/>
  <c r="U34" i="35"/>
  <c r="F36" i="34"/>
  <c r="W9" i="34"/>
  <c r="S34" i="34"/>
  <c r="W39" i="34"/>
  <c r="H39" i="33"/>
  <c r="AB39" i="33"/>
  <c r="U33" i="33"/>
  <c r="W38" i="33"/>
  <c r="S40" i="33"/>
  <c r="W33" i="33"/>
  <c r="W8" i="21"/>
  <c r="H39" i="37"/>
  <c r="AB39" i="37"/>
  <c r="S10" i="40"/>
  <c r="W10" i="40"/>
  <c r="S11" i="40"/>
  <c r="U11" i="40"/>
  <c r="S36" i="40"/>
  <c r="U36" i="40"/>
  <c r="S36" i="39"/>
  <c r="U36" i="39"/>
  <c r="H32" i="33"/>
  <c r="AB32" i="33"/>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AC8" i="35"/>
  <c r="F35" i="37"/>
  <c r="E101" i="37"/>
  <c r="F101" i="37" s="1"/>
  <c r="G101" i="37" s="1"/>
  <c r="H101" i="37" s="1"/>
  <c r="I101" i="37" s="1"/>
  <c r="J101" i="37" s="1"/>
  <c r="K101" i="37" s="1"/>
  <c r="L101" i="37" s="1"/>
  <c r="M101" i="37" s="1"/>
  <c r="J34" i="37"/>
  <c r="W34" i="37"/>
  <c r="AA39" i="37"/>
  <c r="H43" i="34"/>
  <c r="U43" i="34" s="1"/>
  <c r="U42" i="34"/>
  <c r="E114" i="34"/>
  <c r="H36" i="34"/>
  <c r="U36" i="34"/>
  <c r="F37" i="34"/>
  <c r="AA37" i="34"/>
  <c r="F33" i="34"/>
  <c r="S33" i="34"/>
  <c r="F19" i="34"/>
  <c r="AA19" i="34"/>
  <c r="J10" i="34"/>
  <c r="AC10" i="34"/>
  <c r="W8" i="34"/>
  <c r="J28" i="34"/>
  <c r="W28" i="34"/>
  <c r="S38" i="33"/>
  <c r="E113" i="33"/>
  <c r="F113" i="33" s="1"/>
  <c r="F36" i="33"/>
  <c r="S36" i="33"/>
  <c r="F19" i="33"/>
  <c r="S19" i="33"/>
  <c r="J19" i="33"/>
  <c r="S10" i="21"/>
  <c r="W40" i="33"/>
  <c r="AB30" i="36"/>
  <c r="S22" i="35"/>
  <c r="H29" i="35"/>
  <c r="U34" i="37"/>
  <c r="AA34" i="37"/>
  <c r="AC43" i="34"/>
  <c r="AB42"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BL573"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U13" i="21"/>
  <c r="AC29" i="21"/>
  <c r="W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W32" i="36" s="1"/>
  <c r="J11" i="36"/>
  <c r="W11" i="36"/>
  <c r="F89" i="37"/>
  <c r="G89" i="37" s="1"/>
  <c r="H89" i="37" s="1"/>
  <c r="I89" i="37" s="1"/>
  <c r="J89" i="37" s="1"/>
  <c r="K89" i="37" s="1"/>
  <c r="L89" i="37" s="1"/>
  <c r="M89" i="37" s="1"/>
  <c r="J29" i="37"/>
  <c r="W29" i="37" s="1"/>
  <c r="F29" i="37"/>
  <c r="AA29" i="37" s="1"/>
  <c r="F105" i="37"/>
  <c r="G105" i="37" s="1"/>
  <c r="AB36" i="37"/>
  <c r="J37" i="37"/>
  <c r="H37" i="37"/>
  <c r="U37" i="37" s="1"/>
  <c r="H40" i="37"/>
  <c r="J40" i="37"/>
  <c r="W40" i="37" s="1"/>
  <c r="F40" i="37"/>
  <c r="AA40" i="37"/>
  <c r="U14"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13" i="21"/>
  <c r="U46" i="21"/>
  <c r="W30" i="21"/>
  <c r="S28" i="21"/>
  <c r="AB14" i="21"/>
  <c r="AC14" i="21"/>
  <c r="W31" i="34"/>
  <c r="AB31" i="33"/>
  <c r="AA27" i="33"/>
  <c r="U28" i="21"/>
  <c r="G522" i="3"/>
  <c r="G514" i="3"/>
  <c r="G500" i="3"/>
  <c r="G486" i="3"/>
  <c r="G566" i="3"/>
  <c r="G558" i="3"/>
  <c r="G546" i="3"/>
  <c r="BL570" i="3"/>
  <c r="BL558" i="3"/>
  <c r="BL546" i="3"/>
  <c r="BL528" i="3"/>
  <c r="BL512" i="3"/>
  <c r="BL492" i="3"/>
  <c r="G16" i="3"/>
  <c r="BL560" i="3"/>
  <c r="BL556" i="3"/>
  <c r="BL542" i="3"/>
  <c r="BL526" i="3"/>
  <c r="G515" i="3"/>
  <c r="BL504" i="3"/>
  <c r="BL486" i="3"/>
  <c r="BA570" i="3"/>
  <c r="AZ570" i="3" s="1"/>
  <c r="BA566" i="3"/>
  <c r="AZ562" i="3"/>
  <c r="BA558" i="3"/>
  <c r="AZ558" i="3" s="1"/>
  <c r="BA556" i="3"/>
  <c r="AZ556" i="3" s="1"/>
  <c r="BA552" i="3"/>
  <c r="AZ552" i="3" s="1"/>
  <c r="BA546" i="3"/>
  <c r="AZ546" i="3" s="1"/>
  <c r="BA544" i="3"/>
  <c r="AZ542" i="3"/>
  <c r="BA522" i="3"/>
  <c r="BA506" i="3"/>
  <c r="BA494" i="3"/>
  <c r="BA488" i="3"/>
  <c r="BA573" i="3"/>
  <c r="BA567" i="3"/>
  <c r="BA561" i="3"/>
  <c r="BA557" i="3"/>
  <c r="BA555" i="3"/>
  <c r="BA545" i="3"/>
  <c r="AZ541" i="3"/>
  <c r="BA533" i="3"/>
  <c r="BA525" i="3"/>
  <c r="BA517" i="3"/>
  <c r="BA509" i="3"/>
  <c r="BA493" i="3"/>
  <c r="BA485" i="3"/>
  <c r="G567" i="3"/>
  <c r="G561" i="3"/>
  <c r="G557" i="3"/>
  <c r="G551" i="3"/>
  <c r="BL544" i="3"/>
  <c r="BA543" i="3"/>
  <c r="AC543" i="3"/>
  <c r="G543" i="3" s="1"/>
  <c r="BQ543" i="3"/>
  <c r="BQ569" i="3"/>
  <c r="BL569" i="3" s="1"/>
  <c r="BQ567" i="3"/>
  <c r="BQ565" i="3"/>
  <c r="BQ563" i="3"/>
  <c r="BQ561" i="3"/>
  <c r="BL561" i="3"/>
  <c r="BQ559" i="3"/>
  <c r="BL559" i="3"/>
  <c r="AZ559" i="3" s="1"/>
  <c r="BQ557" i="3"/>
  <c r="BL557" i="3"/>
  <c r="BQ555" i="3"/>
  <c r="BQ553" i="3"/>
  <c r="BQ551" i="3"/>
  <c r="BQ549" i="3"/>
  <c r="BQ547" i="3"/>
  <c r="BL547" i="3"/>
  <c r="BQ545" i="3"/>
  <c r="G539" i="3"/>
  <c r="G531" i="3"/>
  <c r="G523" i="3"/>
  <c r="BQ541" i="3"/>
  <c r="BL541" i="3"/>
  <c r="BQ539" i="3"/>
  <c r="BL539" i="3"/>
  <c r="BQ537" i="3"/>
  <c r="BQ535" i="3"/>
  <c r="BQ533" i="3"/>
  <c r="BL533" i="3"/>
  <c r="BQ531" i="3"/>
  <c r="BL531" i="3" s="1"/>
  <c r="BQ529" i="3"/>
  <c r="BQ527" i="3"/>
  <c r="BQ525" i="3"/>
  <c r="BL525" i="3"/>
  <c r="BQ523" i="3"/>
  <c r="BQ521" i="3"/>
  <c r="BL521" i="3"/>
  <c r="BQ519" i="3"/>
  <c r="BL519" i="3" s="1"/>
  <c r="BQ517" i="3"/>
  <c r="BL517" i="3"/>
  <c r="BQ515" i="3"/>
  <c r="BQ513" i="3"/>
  <c r="BQ511" i="3"/>
  <c r="BQ509" i="3"/>
  <c r="AC507" i="3"/>
  <c r="G507" i="3" s="1"/>
  <c r="BQ507" i="3"/>
  <c r="BL507" i="3" s="1"/>
  <c r="G499" i="3"/>
  <c r="BQ505" i="3"/>
  <c r="BQ503" i="3"/>
  <c r="BQ501" i="3"/>
  <c r="BQ499" i="3"/>
  <c r="BL499" i="3" s="1"/>
  <c r="BQ497" i="3"/>
  <c r="AC495" i="3"/>
  <c r="AC5" i="3" s="1"/>
  <c r="BQ495" i="3"/>
  <c r="BL494" i="3"/>
  <c r="G489" i="3"/>
  <c r="G20" i="3"/>
  <c r="BQ493" i="3"/>
  <c r="BL493" i="3"/>
  <c r="BQ491" i="3"/>
  <c r="BL491" i="3" s="1"/>
  <c r="BQ489" i="3"/>
  <c r="BL489" i="3"/>
  <c r="BQ487" i="3"/>
  <c r="BQ485" i="3"/>
  <c r="BQ483" i="3"/>
  <c r="BQ20" i="3"/>
  <c r="AZ20" i="3"/>
  <c r="BQ18" i="3"/>
  <c r="AZ502" i="3"/>
  <c r="S505" i="31"/>
  <c r="S501" i="31"/>
  <c r="I26" i="31"/>
  <c r="I25" i="31"/>
  <c r="Q26" i="31"/>
  <c r="K26" i="31"/>
  <c r="I27" i="31"/>
  <c r="Q27" i="31"/>
  <c r="K27" i="31"/>
  <c r="I28" i="31"/>
  <c r="Q28" i="31"/>
  <c r="K28" i="31"/>
  <c r="AC28" i="34"/>
  <c r="AA12" i="21"/>
  <c r="H25" i="21"/>
  <c r="U25" i="21" s="1"/>
  <c r="F25" i="21"/>
  <c r="S25" i="21" s="1"/>
  <c r="J25" i="21"/>
  <c r="AC25" i="21" s="1"/>
  <c r="E125" i="33"/>
  <c r="F125" i="33" s="1"/>
  <c r="G125" i="33"/>
  <c r="H43" i="33"/>
  <c r="U43" i="33"/>
  <c r="H17" i="37"/>
  <c r="U17" i="37"/>
  <c r="F23" i="37"/>
  <c r="S23"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D3" i="21"/>
  <c r="W23" i="35"/>
  <c r="U39" i="37"/>
  <c r="AC8" i="37"/>
  <c r="AC36" i="34"/>
  <c r="AC37" i="33"/>
  <c r="AA13" i="33"/>
  <c r="AC45" i="33"/>
  <c r="AC33" i="21"/>
  <c r="S39" i="33"/>
  <c r="F43" i="33"/>
  <c r="AA43" i="33"/>
  <c r="S10" i="35"/>
  <c r="H19" i="34"/>
  <c r="AB19" i="34"/>
  <c r="J10" i="37"/>
  <c r="W10" i="37"/>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E90" i="40"/>
  <c r="F21" i="40"/>
  <c r="S21" i="40"/>
  <c r="W36" i="40"/>
  <c r="F90" i="40"/>
  <c r="G90" i="40" s="1"/>
  <c r="J21" i="40"/>
  <c r="AC21" i="40"/>
  <c r="G484" i="3"/>
  <c r="G508" i="3"/>
  <c r="G502" i="3"/>
  <c r="BA15" i="3"/>
  <c r="BL17" i="3"/>
  <c r="BL15" i="3"/>
  <c r="BA14" i="3"/>
  <c r="AZ14" i="3"/>
  <c r="J57" i="39"/>
  <c r="H13" i="40"/>
  <c r="U13" i="40"/>
  <c r="H12" i="48"/>
  <c r="I4" i="4"/>
  <c r="K141" i="21"/>
  <c r="K143" i="21"/>
  <c r="K144" i="21"/>
  <c r="I59" i="40"/>
  <c r="C59" i="40" s="1"/>
  <c r="I60" i="40"/>
  <c r="C60" i="40" s="1"/>
  <c r="G298" i="3"/>
  <c r="BL299" i="3"/>
  <c r="G300" i="3"/>
  <c r="BL301" i="3"/>
  <c r="BA303" i="3"/>
  <c r="AZ303" i="3" s="1"/>
  <c r="BA304" i="3"/>
  <c r="AZ304" i="3" s="1"/>
  <c r="BL304" i="3"/>
  <c r="G305" i="3"/>
  <c r="BA306" i="3"/>
  <c r="G322" i="3"/>
  <c r="BL323" i="3"/>
  <c r="G324" i="3"/>
  <c r="BL325" i="3"/>
  <c r="BA327" i="3"/>
  <c r="AZ327" i="3" s="1"/>
  <c r="BA328" i="3"/>
  <c r="BL328" i="3"/>
  <c r="AZ328" i="3"/>
  <c r="G329" i="3"/>
  <c r="BA330" i="3"/>
  <c r="AZ330" i="3" s="1"/>
  <c r="G338" i="3"/>
  <c r="BL339" i="3"/>
  <c r="G340" i="3"/>
  <c r="BL341" i="3"/>
  <c r="BA343" i="3"/>
  <c r="AZ343" i="3"/>
  <c r="BA344" i="3"/>
  <c r="BL344" i="3"/>
  <c r="AZ344" i="3" s="1"/>
  <c r="G345" i="3"/>
  <c r="BA346" i="3"/>
  <c r="G354" i="3"/>
  <c r="BL355" i="3"/>
  <c r="AZ355" i="3"/>
  <c r="G356" i="3"/>
  <c r="BL357" i="3"/>
  <c r="G358" i="3"/>
  <c r="BL359" i="3"/>
  <c r="G360" i="3"/>
  <c r="BA361" i="3"/>
  <c r="AZ361" i="3" s="1"/>
  <c r="BA362" i="3"/>
  <c r="AZ362" i="3" s="1"/>
  <c r="BL362" i="3"/>
  <c r="G363" i="3"/>
  <c r="BA364" i="3"/>
  <c r="G372" i="3"/>
  <c r="BL373" i="3"/>
  <c r="G374" i="3"/>
  <c r="BL375" i="3"/>
  <c r="BA377" i="3"/>
  <c r="AZ377" i="3" s="1"/>
  <c r="BA378" i="3"/>
  <c r="BL378" i="3"/>
  <c r="G379" i="3"/>
  <c r="BA380" i="3"/>
  <c r="AZ380" i="3" s="1"/>
  <c r="BA115" i="3"/>
  <c r="AZ115" i="3"/>
  <c r="BL116" i="3"/>
  <c r="AZ116" i="3"/>
  <c r="G117" i="3"/>
  <c r="BA119" i="3"/>
  <c r="AZ119" i="3" s="1"/>
  <c r="BL120" i="3"/>
  <c r="AZ120" i="3" s="1"/>
  <c r="G121" i="3"/>
  <c r="BA123" i="3"/>
  <c r="AZ123" i="3"/>
  <c r="BL124" i="3"/>
  <c r="AZ124" i="3"/>
  <c r="G125" i="3"/>
  <c r="BA127" i="3"/>
  <c r="AZ127" i="3" s="1"/>
  <c r="BL128" i="3"/>
  <c r="G129" i="3"/>
  <c r="BA131" i="3"/>
  <c r="AZ131" i="3" s="1"/>
  <c r="BL132" i="3"/>
  <c r="AZ132" i="3" s="1"/>
  <c r="G133" i="3"/>
  <c r="BA135" i="3"/>
  <c r="AZ135" i="3"/>
  <c r="BL136" i="3"/>
  <c r="AZ136" i="3"/>
  <c r="G137" i="3"/>
  <c r="BA139" i="3"/>
  <c r="AZ139" i="3" s="1"/>
  <c r="BL140" i="3"/>
  <c r="AZ140" i="3" s="1"/>
  <c r="G141" i="3"/>
  <c r="BA143" i="3"/>
  <c r="AZ143" i="3"/>
  <c r="BL144" i="3"/>
  <c r="AZ144" i="3"/>
  <c r="G145" i="3"/>
  <c r="BA147" i="3"/>
  <c r="AZ147" i="3" s="1"/>
  <c r="BL148" i="3"/>
  <c r="AZ148" i="3" s="1"/>
  <c r="G149" i="3"/>
  <c r="BA151" i="3"/>
  <c r="AZ151" i="3"/>
  <c r="BL152" i="3"/>
  <c r="AZ152" i="3"/>
  <c r="BA154" i="3"/>
  <c r="AZ154" i="3"/>
  <c r="BL155" i="3"/>
  <c r="G156" i="3"/>
  <c r="BA158" i="3"/>
  <c r="AZ158" i="3"/>
  <c r="BL159" i="3"/>
  <c r="G160" i="3"/>
  <c r="BA162" i="3"/>
  <c r="AZ162" i="3"/>
  <c r="BL163" i="3"/>
  <c r="G164" i="3"/>
  <c r="BA166" i="3"/>
  <c r="AZ166" i="3"/>
  <c r="BL167" i="3"/>
  <c r="G168" i="3"/>
  <c r="BA170" i="3"/>
  <c r="AZ170" i="3"/>
  <c r="BL171" i="3"/>
  <c r="G172" i="3"/>
  <c r="BA174" i="3"/>
  <c r="AZ174" i="3"/>
  <c r="BL175" i="3"/>
  <c r="G176" i="3"/>
  <c r="BA179" i="3"/>
  <c r="AZ179" i="3"/>
  <c r="BL180" i="3"/>
  <c r="G181" i="3"/>
  <c r="AZ32" i="3"/>
  <c r="AZ60" i="3"/>
  <c r="G538" i="3"/>
  <c r="BL182" i="3"/>
  <c r="AZ182" i="3" s="1"/>
  <c r="G183" i="3"/>
  <c r="BA185" i="3"/>
  <c r="AZ185" i="3"/>
  <c r="BL186" i="3"/>
  <c r="G187" i="3"/>
  <c r="BA189" i="3"/>
  <c r="AZ189" i="3"/>
  <c r="BL190" i="3"/>
  <c r="AZ190" i="3"/>
  <c r="G191" i="3"/>
  <c r="BA193" i="3"/>
  <c r="AZ193" i="3" s="1"/>
  <c r="BL194" i="3"/>
  <c r="AZ194" i="3" s="1"/>
  <c r="G195" i="3"/>
  <c r="BA197" i="3"/>
  <c r="AZ197" i="3"/>
  <c r="BL198" i="3"/>
  <c r="AZ198" i="3"/>
  <c r="G199" i="3"/>
  <c r="BA201" i="3"/>
  <c r="AZ201" i="3" s="1"/>
  <c r="BL202" i="3"/>
  <c r="AZ202" i="3" s="1"/>
  <c r="AZ67" i="3"/>
  <c r="AZ71" i="3"/>
  <c r="AZ75" i="3"/>
  <c r="AZ79" i="3"/>
  <c r="AZ83" i="3"/>
  <c r="AZ186" i="3"/>
  <c r="AZ85" i="3"/>
  <c r="AZ87" i="3"/>
  <c r="AZ91" i="3"/>
  <c r="AZ95" i="3"/>
  <c r="AZ99" i="3"/>
  <c r="AZ103" i="3"/>
  <c r="AZ107" i="3"/>
  <c r="AZ111" i="3"/>
  <c r="G492" i="3"/>
  <c r="BA299" i="3"/>
  <c r="AZ299" i="3"/>
  <c r="BA300" i="3"/>
  <c r="AZ300" i="3"/>
  <c r="BL300" i="3"/>
  <c r="G301" i="3"/>
  <c r="G304" i="3"/>
  <c r="BL305" i="3"/>
  <c r="AZ305" i="3" s="1"/>
  <c r="BA307" i="3"/>
  <c r="AZ307" i="3"/>
  <c r="BA308" i="3"/>
  <c r="BL308" i="3"/>
  <c r="AZ308" i="3" s="1"/>
  <c r="G309" i="3"/>
  <c r="G320" i="3"/>
  <c r="BL321" i="3"/>
  <c r="BA323" i="3"/>
  <c r="BA324" i="3"/>
  <c r="BL324" i="3"/>
  <c r="G325" i="3"/>
  <c r="G328" i="3"/>
  <c r="BL329" i="3"/>
  <c r="BA331" i="3"/>
  <c r="AZ331" i="3" s="1"/>
  <c r="BA332" i="3"/>
  <c r="BL332" i="3"/>
  <c r="G333" i="3"/>
  <c r="G336" i="3"/>
  <c r="BL337" i="3"/>
  <c r="BA339" i="3"/>
  <c r="AZ339" i="3" s="1"/>
  <c r="BA340" i="3"/>
  <c r="BL340" i="3"/>
  <c r="AZ340" i="3"/>
  <c r="G341" i="3"/>
  <c r="G344" i="3"/>
  <c r="BL345" i="3"/>
  <c r="BA347" i="3"/>
  <c r="AZ347" i="3" s="1"/>
  <c r="BA348" i="3"/>
  <c r="AZ348" i="3" s="1"/>
  <c r="BL348" i="3"/>
  <c r="G349" i="3"/>
  <c r="G352" i="3"/>
  <c r="BL353" i="3"/>
  <c r="BA355" i="3"/>
  <c r="BA356" i="3"/>
  <c r="AZ356" i="3" s="1"/>
  <c r="BL356" i="3"/>
  <c r="G357" i="3"/>
  <c r="AZ128" i="3"/>
  <c r="BA359" i="3"/>
  <c r="AZ359" i="3"/>
  <c r="BA360" i="3"/>
  <c r="BL360" i="3"/>
  <c r="AZ360" i="3" s="1"/>
  <c r="G361" i="3"/>
  <c r="G362" i="3"/>
  <c r="BL363" i="3"/>
  <c r="BA365" i="3"/>
  <c r="AZ365" i="3"/>
  <c r="BA366" i="3"/>
  <c r="AZ366" i="3"/>
  <c r="BL366" i="3"/>
  <c r="G367" i="3"/>
  <c r="G370" i="3"/>
  <c r="BL371" i="3"/>
  <c r="AZ371" i="3" s="1"/>
  <c r="BA373" i="3"/>
  <c r="AZ373" i="3"/>
  <c r="BA374" i="3"/>
  <c r="BL374" i="3"/>
  <c r="AZ374" i="3" s="1"/>
  <c r="G375" i="3"/>
  <c r="G378" i="3"/>
  <c r="BL379" i="3"/>
  <c r="BA381" i="3"/>
  <c r="AZ381" i="3"/>
  <c r="BA382" i="3"/>
  <c r="AZ382" i="3"/>
  <c r="BL382" i="3"/>
  <c r="G383" i="3"/>
  <c r="G386" i="3"/>
  <c r="AZ155" i="3"/>
  <c r="AZ159" i="3"/>
  <c r="AZ163" i="3"/>
  <c r="AZ167" i="3"/>
  <c r="AZ171" i="3"/>
  <c r="AZ175" i="3"/>
  <c r="AZ180" i="3"/>
  <c r="AZ184" i="3"/>
  <c r="AZ188" i="3"/>
  <c r="AZ192" i="3"/>
  <c r="AZ196" i="3"/>
  <c r="AZ200" i="3"/>
  <c r="AZ204" i="3"/>
  <c r="G524" i="3"/>
  <c r="BL298" i="3"/>
  <c r="AZ298" i="3" s="1"/>
  <c r="G299" i="3"/>
  <c r="BA301" i="3"/>
  <c r="BL302" i="3"/>
  <c r="AZ302" i="3" s="1"/>
  <c r="G303" i="3"/>
  <c r="BA305" i="3"/>
  <c r="BL306" i="3"/>
  <c r="AZ306" i="3"/>
  <c r="G307" i="3"/>
  <c r="BA309" i="3"/>
  <c r="AZ309" i="3" s="1"/>
  <c r="BL310" i="3"/>
  <c r="G311" i="3"/>
  <c r="BA311" i="3"/>
  <c r="AZ311" i="3" s="1"/>
  <c r="BL312" i="3"/>
  <c r="AZ312" i="3" s="1"/>
  <c r="G313" i="3"/>
  <c r="BA313" i="3"/>
  <c r="AZ313" i="3"/>
  <c r="BL314" i="3"/>
  <c r="G315" i="3"/>
  <c r="BA315" i="3"/>
  <c r="AZ315" i="3"/>
  <c r="BL316" i="3"/>
  <c r="AZ316" i="3"/>
  <c r="G317" i="3"/>
  <c r="BA317" i="3"/>
  <c r="AZ317" i="3" s="1"/>
  <c r="BL318" i="3"/>
  <c r="AZ318" i="3" s="1"/>
  <c r="G319" i="3"/>
  <c r="BA321" i="3"/>
  <c r="AZ321" i="3"/>
  <c r="BL322" i="3"/>
  <c r="G323" i="3"/>
  <c r="BA325" i="3"/>
  <c r="AZ325" i="3"/>
  <c r="BL326" i="3"/>
  <c r="AZ326" i="3"/>
  <c r="G327" i="3"/>
  <c r="BA329" i="3"/>
  <c r="AZ329" i="3" s="1"/>
  <c r="BL330" i="3"/>
  <c r="G331" i="3"/>
  <c r="BA333" i="3"/>
  <c r="AZ333" i="3"/>
  <c r="BL334" i="3"/>
  <c r="G335" i="3"/>
  <c r="BA337" i="3"/>
  <c r="AZ337" i="3"/>
  <c r="BL338" i="3"/>
  <c r="AZ338" i="3"/>
  <c r="G339" i="3"/>
  <c r="BA341" i="3"/>
  <c r="AZ341" i="3" s="1"/>
  <c r="BL342" i="3"/>
  <c r="AZ342" i="3" s="1"/>
  <c r="G343" i="3"/>
  <c r="BA345" i="3"/>
  <c r="AZ345" i="3" s="1"/>
  <c r="BL346" i="3"/>
  <c r="AZ346" i="3" s="1"/>
  <c r="G347" i="3"/>
  <c r="BA349" i="3"/>
  <c r="AZ349" i="3"/>
  <c r="BL350" i="3"/>
  <c r="AZ350" i="3"/>
  <c r="G351" i="3"/>
  <c r="BA353" i="3"/>
  <c r="BL354" i="3"/>
  <c r="AZ354" i="3" s="1"/>
  <c r="G355" i="3"/>
  <c r="BA357" i="3"/>
  <c r="AZ357" i="3" s="1"/>
  <c r="BL358" i="3"/>
  <c r="AZ358" i="3" s="1"/>
  <c r="G359" i="3"/>
  <c r="BA363" i="3"/>
  <c r="AZ363" i="3"/>
  <c r="BL364" i="3"/>
  <c r="G365" i="3"/>
  <c r="BA367" i="3"/>
  <c r="AZ367" i="3"/>
  <c r="BL368" i="3"/>
  <c r="AZ368" i="3"/>
  <c r="AZ206" i="3"/>
  <c r="AZ210" i="3"/>
  <c r="AZ214" i="3"/>
  <c r="AZ218" i="3"/>
  <c r="AZ222" i="3"/>
  <c r="AZ226" i="3"/>
  <c r="AZ230" i="3"/>
  <c r="AZ234" i="3"/>
  <c r="AZ238" i="3"/>
  <c r="AZ242" i="3"/>
  <c r="AZ246" i="3"/>
  <c r="AZ310" i="3"/>
  <c r="AZ322" i="3"/>
  <c r="AZ334" i="3"/>
  <c r="AZ364" i="3"/>
  <c r="G369" i="3"/>
  <c r="BA371" i="3"/>
  <c r="BL372" i="3"/>
  <c r="AZ372" i="3"/>
  <c r="G373" i="3"/>
  <c r="BA375" i="3"/>
  <c r="AZ375" i="3" s="1"/>
  <c r="BL376" i="3"/>
  <c r="G377" i="3"/>
  <c r="BA379" i="3"/>
  <c r="AZ379" i="3" s="1"/>
  <c r="BL380" i="3"/>
  <c r="G381" i="3"/>
  <c r="BA383" i="3"/>
  <c r="AZ383" i="3"/>
  <c r="BL384" i="3"/>
  <c r="G385" i="3"/>
  <c r="AZ250" i="3"/>
  <c r="AZ254" i="3"/>
  <c r="AZ258" i="3"/>
  <c r="AZ262" i="3"/>
  <c r="AZ266" i="3"/>
  <c r="AZ376" i="3"/>
  <c r="AZ384" i="3"/>
  <c r="AZ271" i="3"/>
  <c r="AZ275" i="3"/>
  <c r="AZ279" i="3"/>
  <c r="AZ283" i="3"/>
  <c r="AZ287" i="3"/>
  <c r="AZ291" i="3"/>
  <c r="AZ296" i="3"/>
  <c r="AZ314" i="3"/>
  <c r="AZ320" i="3"/>
  <c r="AZ336" i="3"/>
  <c r="AZ352" i="3"/>
  <c r="AZ370" i="3"/>
  <c r="AZ386" i="3"/>
  <c r="AZ399" i="3"/>
  <c r="AZ411" i="3"/>
  <c r="AZ415" i="3"/>
  <c r="AZ419" i="3"/>
  <c r="AZ423" i="3"/>
  <c r="AZ427" i="3"/>
  <c r="AZ431" i="3"/>
  <c r="AZ435" i="3"/>
  <c r="AZ439" i="3"/>
  <c r="AZ443" i="3"/>
  <c r="AZ447" i="3"/>
  <c r="AZ451" i="3"/>
  <c r="AZ456" i="3"/>
  <c r="AZ460" i="3"/>
  <c r="AZ464" i="3"/>
  <c r="AZ468" i="3"/>
  <c r="AZ472" i="3"/>
  <c r="AZ476" i="3"/>
  <c r="AZ480"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AC26" i="36"/>
  <c r="AZ301" i="3"/>
  <c r="AZ323" i="3"/>
  <c r="H11" i="37"/>
  <c r="AB11" i="37"/>
  <c r="AA36" i="37"/>
  <c r="S42" i="33"/>
  <c r="U32" i="33"/>
  <c r="AB17" i="37"/>
  <c r="AZ509" i="3"/>
  <c r="AC29" i="33"/>
  <c r="AA45" i="33"/>
  <c r="AC11" i="36"/>
  <c r="AC10" i="36"/>
  <c r="AC14" i="37"/>
  <c r="S25" i="35"/>
  <c r="AC29" i="37"/>
  <c r="AB28" i="33"/>
  <c r="J33" i="34"/>
  <c r="AC33" i="34"/>
  <c r="AB36" i="34"/>
  <c r="J40" i="34"/>
  <c r="W40" i="34" s="1"/>
  <c r="F16" i="35"/>
  <c r="AA16" i="35" s="1"/>
  <c r="J35" i="34"/>
  <c r="W35" i="34" s="1"/>
  <c r="S30" i="36"/>
  <c r="H16" i="36"/>
  <c r="AB16" i="36"/>
  <c r="H103" i="37"/>
  <c r="I103" i="37" s="1"/>
  <c r="J103" i="37"/>
  <c r="K103" i="37" s="1"/>
  <c r="L103" i="37" s="1"/>
  <c r="M103" i="37" s="1"/>
  <c r="H35" i="37"/>
  <c r="AB35" i="37" s="1"/>
  <c r="S26" i="21"/>
  <c r="H32" i="21"/>
  <c r="U32" i="21" s="1"/>
  <c r="AB26" i="21"/>
  <c r="AA33" i="21"/>
  <c r="S33" i="21"/>
  <c r="J32" i="21"/>
  <c r="AC32" i="21" s="1"/>
  <c r="AA8" i="33"/>
  <c r="AC8" i="33"/>
  <c r="F10" i="33"/>
  <c r="AA10" i="33" s="1"/>
  <c r="F11" i="33"/>
  <c r="J15" i="33"/>
  <c r="W15" i="33" s="1"/>
  <c r="H19" i="33"/>
  <c r="AB19" i="33" s="1"/>
  <c r="F32" i="33"/>
  <c r="J32" i="33"/>
  <c r="AC32" i="33" s="1"/>
  <c r="F35" i="33"/>
  <c r="AA35" i="33" s="1"/>
  <c r="AB39" i="34"/>
  <c r="F11" i="34"/>
  <c r="S11" i="34"/>
  <c r="E80" i="34"/>
  <c r="F80" i="34"/>
  <c r="G80" i="34" s="1"/>
  <c r="H17" i="34"/>
  <c r="AB17" i="34" s="1"/>
  <c r="S12" i="35"/>
  <c r="AB28" i="35"/>
  <c r="U28" i="35"/>
  <c r="J13" i="33"/>
  <c r="W13" i="33"/>
  <c r="H13" i="33"/>
  <c r="U13" i="33"/>
  <c r="H29" i="33"/>
  <c r="AB29" i="33"/>
  <c r="F29" i="33"/>
  <c r="AA29" i="33"/>
  <c r="AC12" i="34"/>
  <c r="W14" i="34"/>
  <c r="AB30" i="34"/>
  <c r="AB32" i="34"/>
  <c r="AB46" i="34"/>
  <c r="H11" i="35"/>
  <c r="J11" i="35"/>
  <c r="AC11" i="35" s="1"/>
  <c r="H32" i="37"/>
  <c r="AB32" i="37" s="1"/>
  <c r="F19" i="39"/>
  <c r="S19" i="39" s="1"/>
  <c r="H19" i="39"/>
  <c r="U19" i="39" s="1"/>
  <c r="J19" i="39"/>
  <c r="W19" i="39"/>
  <c r="F99" i="37"/>
  <c r="AC27" i="37"/>
  <c r="S45" i="34"/>
  <c r="AC40" i="37"/>
  <c r="W27" i="33"/>
  <c r="S28" i="33"/>
  <c r="S14" i="21"/>
  <c r="AA44" i="34"/>
  <c r="AB29" i="35"/>
  <c r="U29" i="35"/>
  <c r="AC19" i="33"/>
  <c r="W19" i="33"/>
  <c r="AB43" i="34"/>
  <c r="AC34" i="37"/>
  <c r="S35" i="37"/>
  <c r="AA35" i="37"/>
  <c r="AB10" i="35"/>
  <c r="BL572" i="3"/>
  <c r="AZ572" i="3"/>
  <c r="BE5"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c r="AB34" i="36"/>
  <c r="H27" i="36"/>
  <c r="AB27" i="36"/>
  <c r="AC25" i="37"/>
  <c r="AA30" i="37"/>
  <c r="S30" i="37"/>
  <c r="AC30" i="37"/>
  <c r="W31" i="37"/>
  <c r="F21" i="39"/>
  <c r="S21" i="39" s="1"/>
  <c r="H21" i="39"/>
  <c r="U21" i="39" s="1"/>
  <c r="J21" i="39"/>
  <c r="W21" i="39"/>
  <c r="E128" i="39"/>
  <c r="F128" i="39"/>
  <c r="G128" i="39" s="1"/>
  <c r="H128" i="39"/>
  <c r="I128" i="39" s="1"/>
  <c r="J128" i="39" s="1"/>
  <c r="K128" i="39" s="1"/>
  <c r="L128" i="39" s="1"/>
  <c r="M128" i="39" s="1"/>
  <c r="F46" i="39"/>
  <c r="S46" i="39" s="1"/>
  <c r="H46" i="39"/>
  <c r="J46" i="39"/>
  <c r="W46" i="39" s="1"/>
  <c r="F29" i="39"/>
  <c r="AA29" i="39" s="1"/>
  <c r="E103" i="39"/>
  <c r="F103" i="39" s="1"/>
  <c r="H29" i="39" s="1"/>
  <c r="G103" i="39"/>
  <c r="U29" i="39"/>
  <c r="F39" i="39"/>
  <c r="S39" i="39"/>
  <c r="H39" i="39"/>
  <c r="AB39" i="39"/>
  <c r="J39" i="39"/>
  <c r="W39" i="39"/>
  <c r="J29" i="35"/>
  <c r="AC29" i="35"/>
  <c r="F29" i="35"/>
  <c r="S29" i="35"/>
  <c r="W30" i="36"/>
  <c r="AC30" i="36"/>
  <c r="F37" i="39"/>
  <c r="S37" i="39"/>
  <c r="H37" i="39"/>
  <c r="U37" i="39"/>
  <c r="J37" i="39"/>
  <c r="W37" i="39"/>
  <c r="BA569" i="3"/>
  <c r="AZ569" i="3" s="1"/>
  <c r="BL568" i="3"/>
  <c r="BA568" i="3"/>
  <c r="AZ568" i="3"/>
  <c r="BL567" i="3"/>
  <c r="AZ567" i="3"/>
  <c r="BL566" i="3"/>
  <c r="AZ566" i="3"/>
  <c r="BA565" i="3"/>
  <c r="BA564" i="3"/>
  <c r="AZ564" i="3"/>
  <c r="BL555" i="3"/>
  <c r="AZ555" i="3"/>
  <c r="BA554" i="3"/>
  <c r="AZ554" i="3"/>
  <c r="BA553" i="3"/>
  <c r="BL550" i="3"/>
  <c r="AZ550" i="3"/>
  <c r="BA550" i="3"/>
  <c r="BL549" i="3"/>
  <c r="AZ549" i="3" s="1"/>
  <c r="BA549" i="3"/>
  <c r="BL548" i="3"/>
  <c r="BA548" i="3"/>
  <c r="BL540" i="3"/>
  <c r="BA540" i="3"/>
  <c r="AZ540" i="3" s="1"/>
  <c r="BA539" i="3"/>
  <c r="AZ539" i="3" s="1"/>
  <c r="BL538" i="3"/>
  <c r="BA538" i="3"/>
  <c r="BL537" i="3"/>
  <c r="BA536" i="3"/>
  <c r="AZ536" i="3" s="1"/>
  <c r="BA535" i="3"/>
  <c r="AZ535" i="3" s="1"/>
  <c r="BA534" i="3"/>
  <c r="AZ534" i="3"/>
  <c r="BL532" i="3"/>
  <c r="AZ532" i="3"/>
  <c r="BA531" i="3"/>
  <c r="AZ531" i="3" s="1"/>
  <c r="BL530" i="3"/>
  <c r="AZ530" i="3" s="1"/>
  <c r="BA530" i="3"/>
  <c r="BL529" i="3"/>
  <c r="BA528" i="3"/>
  <c r="AZ528" i="3" s="1"/>
  <c r="BA527" i="3"/>
  <c r="AZ527" i="3" s="1"/>
  <c r="BA526" i="3"/>
  <c r="AZ526" i="3"/>
  <c r="BL524" i="3"/>
  <c r="BA524" i="3"/>
  <c r="AZ524" i="3" s="1"/>
  <c r="BL523" i="3"/>
  <c r="BA523" i="3"/>
  <c r="AZ523" i="3"/>
  <c r="BL522" i="3"/>
  <c r="AZ522" i="3"/>
  <c r="BA520" i="3"/>
  <c r="AZ520" i="3"/>
  <c r="BA519" i="3"/>
  <c r="AZ519" i="3" s="1"/>
  <c r="BL518" i="3"/>
  <c r="BA518" i="3"/>
  <c r="AZ518" i="3"/>
  <c r="BL516" i="3"/>
  <c r="BA516" i="3"/>
  <c r="AZ516" i="3" s="1"/>
  <c r="BA515" i="3"/>
  <c r="BL514" i="3"/>
  <c r="BA514" i="3"/>
  <c r="AZ514" i="3" s="1"/>
  <c r="BL513" i="3"/>
  <c r="BA512" i="3"/>
  <c r="AZ512" i="3" s="1"/>
  <c r="BA511" i="3"/>
  <c r="BL510" i="3"/>
  <c r="BL508" i="3"/>
  <c r="BA508" i="3"/>
  <c r="AZ508" i="3"/>
  <c r="BA507" i="3"/>
  <c r="AZ507" i="3" s="1"/>
  <c r="BL506" i="3"/>
  <c r="BL505" i="3"/>
  <c r="BA505" i="3"/>
  <c r="BA504" i="3"/>
  <c r="AZ504" i="3" s="1"/>
  <c r="BA501" i="3"/>
  <c r="BL500" i="3"/>
  <c r="BA500" i="3"/>
  <c r="AZ500" i="3"/>
  <c r="AZ499" i="3"/>
  <c r="BL498" i="3"/>
  <c r="BA498" i="3"/>
  <c r="AZ498" i="3" s="1"/>
  <c r="BL497" i="3"/>
  <c r="BA497" i="3"/>
  <c r="AZ497" i="3"/>
  <c r="BA496" i="3"/>
  <c r="AZ496" i="3"/>
  <c r="BL495" i="3"/>
  <c r="BA495" i="3"/>
  <c r="AZ495" i="3" s="1"/>
  <c r="G495" i="3"/>
  <c r="BA492" i="3"/>
  <c r="AZ492" i="3"/>
  <c r="BA491" i="3"/>
  <c r="AZ491" i="3" s="1"/>
  <c r="BL490" i="3"/>
  <c r="BA490" i="3"/>
  <c r="AZ490" i="3"/>
  <c r="BL488" i="3"/>
  <c r="AZ488" i="3"/>
  <c r="BL487" i="3"/>
  <c r="BA487" i="3"/>
  <c r="AZ487" i="3" s="1"/>
  <c r="BA486" i="3"/>
  <c r="AZ486" i="3"/>
  <c r="BA484" i="3"/>
  <c r="AZ484" i="3"/>
  <c r="BA483" i="3"/>
  <c r="BL482" i="3"/>
  <c r="BJ5" i="3"/>
  <c r="BA482" i="3"/>
  <c r="AZ482" i="3"/>
  <c r="BL19" i="3"/>
  <c r="BA18" i="3"/>
  <c r="F36" i="44"/>
  <c r="F114" i="34"/>
  <c r="G114" i="34" s="1"/>
  <c r="H114" i="34" s="1"/>
  <c r="I114" i="34" s="1"/>
  <c r="J114" i="34" s="1"/>
  <c r="K114" i="34" s="1"/>
  <c r="L114" i="34" s="1"/>
  <c r="M114" i="34" s="1"/>
  <c r="H38" i="34"/>
  <c r="U38" i="34" s="1"/>
  <c r="H30" i="40"/>
  <c r="AB30" i="40" s="1"/>
  <c r="G100" i="40"/>
  <c r="J30" i="40"/>
  <c r="AC30" i="40"/>
  <c r="F38" i="40"/>
  <c r="AA38" i="40"/>
  <c r="AC12" i="21"/>
  <c r="W12" i="21"/>
  <c r="AB33" i="21"/>
  <c r="AB8" i="21"/>
  <c r="AC36" i="21"/>
  <c r="AB8" i="33"/>
  <c r="U8" i="33"/>
  <c r="H34" i="33"/>
  <c r="U34" i="33" s="1"/>
  <c r="F34" i="33"/>
  <c r="S34" i="33" s="1"/>
  <c r="E121" i="33"/>
  <c r="F121" i="33" s="1"/>
  <c r="F41" i="33"/>
  <c r="S41" i="33"/>
  <c r="W34" i="34"/>
  <c r="AA39" i="34"/>
  <c r="S39" i="34"/>
  <c r="S43" i="34"/>
  <c r="E78" i="34"/>
  <c r="F78" i="34" s="1"/>
  <c r="F15" i="34"/>
  <c r="AC28" i="35"/>
  <c r="J20" i="35"/>
  <c r="AC20" i="35" s="1"/>
  <c r="E72" i="35"/>
  <c r="F72" i="35" s="1"/>
  <c r="G72" i="35"/>
  <c r="H22" i="35"/>
  <c r="AB22" i="35"/>
  <c r="F23" i="35"/>
  <c r="AA23" i="35" s="1"/>
  <c r="W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s="1"/>
  <c r="J15" i="40"/>
  <c r="H15" i="40"/>
  <c r="AB15" i="40" s="1"/>
  <c r="E92" i="40"/>
  <c r="F92" i="40" s="1"/>
  <c r="G92" i="40"/>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W14" i="40" s="1"/>
  <c r="H42" i="40"/>
  <c r="AB42" i="40" s="1"/>
  <c r="H40" i="40"/>
  <c r="U40" i="40"/>
  <c r="H34" i="40"/>
  <c r="U34" i="40"/>
  <c r="AZ400" i="3"/>
  <c r="AZ404" i="3"/>
  <c r="AZ408" i="3"/>
  <c r="AZ416" i="3"/>
  <c r="AZ424" i="3"/>
  <c r="AZ432" i="3"/>
  <c r="AZ440" i="3"/>
  <c r="AZ455" i="3"/>
  <c r="J42" i="40"/>
  <c r="AC42" i="40"/>
  <c r="J40" i="40"/>
  <c r="AC40" i="40"/>
  <c r="J34" i="40"/>
  <c r="AC34" i="40"/>
  <c r="H16" i="40"/>
  <c r="AB16" i="40"/>
  <c r="H14" i="40"/>
  <c r="U14" i="40"/>
  <c r="F32" i="40"/>
  <c r="AA32" i="40"/>
  <c r="AZ402" i="3"/>
  <c r="AZ429" i="3"/>
  <c r="AZ434" i="3"/>
  <c r="AZ437" i="3"/>
  <c r="AZ442" i="3"/>
  <c r="AZ445" i="3"/>
  <c r="AZ450" i="3"/>
  <c r="AZ453" i="3"/>
  <c r="M1" i="46"/>
  <c r="M6" i="46"/>
  <c r="M10" i="46"/>
  <c r="N2" i="46"/>
  <c r="N5" i="46"/>
  <c r="F58" i="46"/>
  <c r="H58" i="46" s="1"/>
  <c r="F47" i="46"/>
  <c r="H49" i="46"/>
  <c r="N7" i="46"/>
  <c r="AZ457" i="3"/>
  <c r="AZ459" i="3"/>
  <c r="AZ462" i="3"/>
  <c r="AZ467" i="3"/>
  <c r="AZ470" i="3"/>
  <c r="AZ475" i="3"/>
  <c r="AZ478" i="3"/>
  <c r="AZ389" i="3"/>
  <c r="AZ208" i="3"/>
  <c r="AZ213" i="3"/>
  <c r="AZ216" i="3"/>
  <c r="AZ221" i="3"/>
  <c r="AZ224" i="3"/>
  <c r="AZ229" i="3"/>
  <c r="AZ232" i="3"/>
  <c r="AZ237" i="3"/>
  <c r="AZ240" i="3"/>
  <c r="AZ245" i="3"/>
  <c r="AZ248" i="3"/>
  <c r="AZ253" i="3"/>
  <c r="AZ256" i="3"/>
  <c r="AZ261" i="3"/>
  <c r="AZ264" i="3"/>
  <c r="AZ269" i="3"/>
  <c r="AZ274" i="3"/>
  <c r="AZ277" i="3"/>
  <c r="AZ282" i="3"/>
  <c r="AZ285" i="3"/>
  <c r="AZ290" i="3"/>
  <c r="AZ293" i="3"/>
  <c r="AZ122" i="3"/>
  <c r="AZ125" i="3"/>
  <c r="AZ138" i="3"/>
  <c r="AZ141" i="3"/>
  <c r="AZ153" i="3"/>
  <c r="M7" i="46"/>
  <c r="M11" i="46"/>
  <c r="N3" i="46"/>
  <c r="N6" i="46"/>
  <c r="N10" i="46"/>
  <c r="AZ165" i="3"/>
  <c r="AZ168" i="3"/>
  <c r="AZ178" i="3"/>
  <c r="AZ181" i="3"/>
  <c r="AZ33" i="3"/>
  <c r="AZ64" i="3"/>
  <c r="AZ72" i="3"/>
  <c r="AZ80" i="3"/>
  <c r="AZ92" i="3"/>
  <c r="AZ100" i="3"/>
  <c r="AZ108" i="3"/>
  <c r="AZ113" i="3"/>
  <c r="H47" i="46"/>
  <c r="J13" i="40"/>
  <c r="W13" i="40"/>
  <c r="W40" i="40"/>
  <c r="F34" i="44"/>
  <c r="F27" i="43"/>
  <c r="F66" i="9"/>
  <c r="P72" i="9" s="1"/>
  <c r="F71" i="9"/>
  <c r="F72" i="9"/>
  <c r="AC14" i="40"/>
  <c r="AC47" i="39"/>
  <c r="S47" i="39"/>
  <c r="U37" i="34"/>
  <c r="AC41" i="40"/>
  <c r="W41" i="40"/>
  <c r="U41" i="40"/>
  <c r="J23" i="40"/>
  <c r="AC23" i="40"/>
  <c r="F23" i="40"/>
  <c r="S23" i="40"/>
  <c r="U23" i="35"/>
  <c r="H20" i="35"/>
  <c r="U20" i="35" s="1"/>
  <c r="F20" i="35"/>
  <c r="S20" i="35"/>
  <c r="H15" i="34"/>
  <c r="AB15" i="34"/>
  <c r="G78" i="34"/>
  <c r="J15" i="34"/>
  <c r="AC15" i="34"/>
  <c r="H41" i="33"/>
  <c r="U41" i="33"/>
  <c r="G121" i="33"/>
  <c r="H121" i="33" s="1"/>
  <c r="I121" i="33"/>
  <c r="J121" i="33" s="1"/>
  <c r="K121" i="33" s="1"/>
  <c r="L121" i="33" s="1"/>
  <c r="M121" i="33" s="1"/>
  <c r="F30" i="40"/>
  <c r="AA30" i="40"/>
  <c r="AZ505" i="3"/>
  <c r="AZ538" i="3"/>
  <c r="AB37" i="39"/>
  <c r="U39" i="39"/>
  <c r="J29" i="39"/>
  <c r="AC29" i="39" s="1"/>
  <c r="AB21" i="39"/>
  <c r="AA14" i="35"/>
  <c r="S14" i="35"/>
  <c r="G99" i="37"/>
  <c r="F33" i="37"/>
  <c r="AB19" i="39"/>
  <c r="U46" i="34"/>
  <c r="U29" i="33"/>
  <c r="AC13" i="33"/>
  <c r="U17" i="34"/>
  <c r="AA11" i="34"/>
  <c r="W32" i="33"/>
  <c r="H15" i="33"/>
  <c r="U15" i="33"/>
  <c r="U16" i="40"/>
  <c r="W34" i="40"/>
  <c r="AB34" i="40"/>
  <c r="U42" i="40"/>
  <c r="W32" i="40"/>
  <c r="H25" i="40"/>
  <c r="AB25" i="40"/>
  <c r="F94" i="40"/>
  <c r="G94" i="40"/>
  <c r="U47" i="39"/>
  <c r="J37" i="34"/>
  <c r="AC37" i="34" s="1"/>
  <c r="J36" i="33"/>
  <c r="S41" i="40"/>
  <c r="F97" i="39"/>
  <c r="H23" i="39" s="1"/>
  <c r="AB23" i="39" s="1"/>
  <c r="F23" i="39"/>
  <c r="AA23" i="39" s="1"/>
  <c r="S16" i="39"/>
  <c r="S15" i="34"/>
  <c r="AA15" i="34"/>
  <c r="AA41" i="33"/>
  <c r="F106" i="33"/>
  <c r="G106" i="33" s="1"/>
  <c r="H106" i="33" s="1"/>
  <c r="I106" i="33" s="1"/>
  <c r="J106" i="33" s="1"/>
  <c r="K106" i="33" s="1"/>
  <c r="L106" i="33" s="1"/>
  <c r="M106" i="33" s="1"/>
  <c r="J34" i="33"/>
  <c r="AC34" i="33" s="1"/>
  <c r="U30" i="40"/>
  <c r="AA37" i="39"/>
  <c r="W29" i="35"/>
  <c r="AC39" i="39"/>
  <c r="AA39" i="39"/>
  <c r="U11" i="36"/>
  <c r="G80" i="35"/>
  <c r="H80" i="35" s="1"/>
  <c r="I80" i="35"/>
  <c r="J80" i="35" s="1"/>
  <c r="K80" i="35" s="1"/>
  <c r="L80" i="35" s="1"/>
  <c r="M80" i="35" s="1"/>
  <c r="W14" i="35"/>
  <c r="F90" i="34"/>
  <c r="G90" i="34" s="1"/>
  <c r="H90" i="34" s="1"/>
  <c r="I90" i="34" s="1"/>
  <c r="J90" i="34" s="1"/>
  <c r="K90" i="34" s="1"/>
  <c r="L90" i="34" s="1"/>
  <c r="M90" i="34" s="1"/>
  <c r="F27" i="34"/>
  <c r="S27" i="34" s="1"/>
  <c r="AA19" i="39"/>
  <c r="F32" i="37"/>
  <c r="S32" i="37"/>
  <c r="U11" i="35"/>
  <c r="AB11" i="35"/>
  <c r="U32" i="34"/>
  <c r="AC14" i="34"/>
  <c r="AB13" i="33"/>
  <c r="F17" i="34"/>
  <c r="AA17" i="34"/>
  <c r="J17" i="34"/>
  <c r="AC17" i="34"/>
  <c r="H11" i="34"/>
  <c r="AB11" i="34"/>
  <c r="J35" i="33"/>
  <c r="W35" i="33"/>
  <c r="AC15" i="33"/>
  <c r="H11" i="33"/>
  <c r="U11" i="33"/>
  <c r="H10" i="33"/>
  <c r="U10" i="33"/>
  <c r="J10" i="33"/>
  <c r="AC10" i="33" s="1"/>
  <c r="U11" i="37"/>
  <c r="J11" i="34"/>
  <c r="W11" i="34" s="1"/>
  <c r="S17" i="34"/>
  <c r="F25" i="40"/>
  <c r="AA25" i="40" s="1"/>
  <c r="J11" i="33"/>
  <c r="W11" i="33" s="1"/>
  <c r="H33" i="37"/>
  <c r="AB33" i="37" s="1"/>
  <c r="W15" i="34"/>
  <c r="AB20" i="35"/>
  <c r="W23" i="40"/>
  <c r="D73" i="9"/>
  <c r="N73" i="9" s="1"/>
  <c r="AP11" i="1"/>
  <c r="J51" i="15"/>
  <c r="B11" i="1"/>
  <c r="E11" i="1" s="1"/>
  <c r="K11" i="1"/>
  <c r="M11" i="1" s="1"/>
  <c r="B9" i="1"/>
  <c r="E9" i="1" s="1"/>
  <c r="K9" i="1"/>
  <c r="M9" i="1" s="1"/>
  <c r="B7" i="1"/>
  <c r="E7" i="1" s="1"/>
  <c r="K7" i="1"/>
  <c r="M7" i="1" s="1"/>
  <c r="O7" i="1" s="1"/>
  <c r="C20" i="43"/>
  <c r="E21" i="6"/>
  <c r="BA47" i="3"/>
  <c r="AZ47" i="3"/>
  <c r="BA48" i="3"/>
  <c r="AZ48" i="3"/>
  <c r="BA49" i="3"/>
  <c r="AZ49" i="3"/>
  <c r="BA51" i="3"/>
  <c r="AZ51" i="3"/>
  <c r="BA52" i="3"/>
  <c r="AZ52" i="3"/>
  <c r="BA54" i="3"/>
  <c r="AZ54" i="3"/>
  <c r="BA58" i="3"/>
  <c r="AZ58" i="3" s="1"/>
  <c r="BA35" i="3"/>
  <c r="AZ35" i="3"/>
  <c r="BA36" i="3"/>
  <c r="AZ36" i="3"/>
  <c r="BA37" i="3"/>
  <c r="BL37" i="3"/>
  <c r="BL39" i="3"/>
  <c r="AZ39" i="3"/>
  <c r="BL40" i="3"/>
  <c r="AZ40" i="3"/>
  <c r="BL41" i="3"/>
  <c r="AZ41" i="3"/>
  <c r="BL43" i="3"/>
  <c r="BL44" i="3"/>
  <c r="AZ44" i="3" s="1"/>
  <c r="BA25" i="3"/>
  <c r="BL25" i="3"/>
  <c r="BL27" i="3"/>
  <c r="BL28" i="3"/>
  <c r="AZ28" i="3" s="1"/>
  <c r="BL30" i="3"/>
  <c r="G35" i="3"/>
  <c r="G55" i="3"/>
  <c r="AZ55" i="3"/>
  <c r="G37" i="3"/>
  <c r="G36" i="3"/>
  <c r="G34" i="3"/>
  <c r="AZ34" i="3"/>
  <c r="G33" i="3"/>
  <c r="G32" i="3"/>
  <c r="G31" i="3"/>
  <c r="G27" i="3"/>
  <c r="G19" i="3"/>
  <c r="C9" i="12"/>
  <c r="AB41" i="21"/>
  <c r="AA38" i="21"/>
  <c r="U42" i="21"/>
  <c r="AC35" i="21"/>
  <c r="S35" i="21"/>
  <c r="AB34" i="21"/>
  <c r="S34" i="21"/>
  <c r="AB10" i="21"/>
  <c r="U40" i="21"/>
  <c r="U39" i="21"/>
  <c r="U38" i="21"/>
  <c r="H44" i="39"/>
  <c r="U44" i="39"/>
  <c r="J44" i="39"/>
  <c r="W44" i="39"/>
  <c r="F44" i="39"/>
  <c r="S44" i="39"/>
  <c r="J42" i="39"/>
  <c r="AC42" i="39" s="1"/>
  <c r="F42" i="39"/>
  <c r="S42" i="39" s="1"/>
  <c r="H42" i="39"/>
  <c r="AB42" i="39" s="1"/>
  <c r="G97" i="39"/>
  <c r="J23" i="39"/>
  <c r="AC23" i="39"/>
  <c r="F91" i="39"/>
  <c r="H17" i="39"/>
  <c r="U17" i="39" s="1"/>
  <c r="AB44" i="39"/>
  <c r="U27" i="39"/>
  <c r="AB25" i="39"/>
  <c r="S23" i="39"/>
  <c r="W14" i="39"/>
  <c r="A2" i="55"/>
  <c r="B55" i="63" s="1"/>
  <c r="A11" i="55"/>
  <c r="B62" i="63" s="1"/>
  <c r="U27" i="33"/>
  <c r="AB27" i="33"/>
  <c r="AC27" i="34"/>
  <c r="W27" i="34"/>
  <c r="AB36" i="35"/>
  <c r="U36" i="35"/>
  <c r="W26" i="37"/>
  <c r="AC26" i="37"/>
  <c r="J17" i="40"/>
  <c r="W17" i="40" s="1"/>
  <c r="F86" i="40"/>
  <c r="G86" i="40"/>
  <c r="AZ390" i="3"/>
  <c r="AC9" i="33"/>
  <c r="W9" i="33"/>
  <c r="S28" i="34"/>
  <c r="AA28" i="34"/>
  <c r="U45" i="33"/>
  <c r="AB45" i="33"/>
  <c r="U27" i="37"/>
  <c r="AB27" i="37"/>
  <c r="H5" i="3"/>
  <c r="A30" i="64"/>
  <c r="A30" i="51"/>
  <c r="AZ406" i="3"/>
  <c r="AZ412" i="3"/>
  <c r="AZ418" i="3"/>
  <c r="AZ421" i="3"/>
  <c r="AZ428" i="3"/>
  <c r="AZ433" i="3"/>
  <c r="AZ444" i="3"/>
  <c r="AZ448" i="3"/>
  <c r="AZ463" i="3"/>
  <c r="AZ466" i="3"/>
  <c r="AZ479" i="3"/>
  <c r="AZ388" i="3"/>
  <c r="AZ217" i="3"/>
  <c r="AZ220" i="3"/>
  <c r="AZ233" i="3"/>
  <c r="AZ236" i="3"/>
  <c r="AZ249" i="3"/>
  <c r="AZ252" i="3"/>
  <c r="AZ265" i="3"/>
  <c r="AZ268" i="3"/>
  <c r="AZ272" i="3"/>
  <c r="AZ284" i="3"/>
  <c r="AC13" i="40"/>
  <c r="AB29" i="39"/>
  <c r="AA34" i="33"/>
  <c r="AB23" i="40"/>
  <c r="W15" i="39"/>
  <c r="AA29" i="35"/>
  <c r="AB38" i="34"/>
  <c r="H100" i="40"/>
  <c r="I100" i="40"/>
  <c r="J100" i="40" s="1"/>
  <c r="K100" i="40" s="1"/>
  <c r="L100" i="40" s="1"/>
  <c r="M100" i="40" s="1"/>
  <c r="AB16" i="39"/>
  <c r="W27" i="39"/>
  <c r="AB32" i="40"/>
  <c r="W35" i="40"/>
  <c r="AB14" i="40"/>
  <c r="U31" i="37"/>
  <c r="AB44" i="33"/>
  <c r="AA23" i="37"/>
  <c r="AB43" i="33"/>
  <c r="AB44" i="21"/>
  <c r="AC28" i="33"/>
  <c r="S46" i="33"/>
  <c r="W42" i="21"/>
  <c r="AB30" i="21"/>
  <c r="S46" i="21"/>
  <c r="C29" i="39"/>
  <c r="U38" i="33"/>
  <c r="S33" i="33"/>
  <c r="U9" i="33"/>
  <c r="BI5" i="3"/>
  <c r="F9" i="33"/>
  <c r="AA9" i="33"/>
  <c r="J12" i="35"/>
  <c r="J36" i="35"/>
  <c r="W36" i="35" s="1"/>
  <c r="F26" i="37"/>
  <c r="AA26" i="37"/>
  <c r="G15" i="3"/>
  <c r="G14" i="3"/>
  <c r="C18" i="9"/>
  <c r="AZ288" i="3"/>
  <c r="AZ292" i="3"/>
  <c r="AZ114" i="3"/>
  <c r="AZ117" i="3"/>
  <c r="AZ130" i="3"/>
  <c r="AZ133" i="3"/>
  <c r="AZ146" i="3"/>
  <c r="AZ149" i="3"/>
  <c r="AZ156" i="3"/>
  <c r="AZ169" i="3"/>
  <c r="AZ172" i="3"/>
  <c r="AZ177" i="3"/>
  <c r="AZ183" i="3"/>
  <c r="AZ191" i="3"/>
  <c r="AZ199" i="3"/>
  <c r="AZ205" i="3"/>
  <c r="AZ27" i="3"/>
  <c r="AZ30" i="3"/>
  <c r="AZ37" i="3"/>
  <c r="AZ43" i="3"/>
  <c r="AZ46" i="3"/>
  <c r="AZ53" i="3"/>
  <c r="AZ62" i="3"/>
  <c r="AZ68" i="3"/>
  <c r="AZ22" i="3"/>
  <c r="G22" i="3"/>
  <c r="AZ77" i="3"/>
  <c r="AZ81" i="3"/>
  <c r="AZ84" i="3"/>
  <c r="AZ97" i="3"/>
  <c r="AZ101" i="3"/>
  <c r="AZ104" i="3"/>
  <c r="AZ106" i="3"/>
  <c r="AZ110" i="3"/>
  <c r="I21" i="57"/>
  <c r="D1" i="57"/>
  <c r="E10" i="57" s="1"/>
  <c r="F6" i="1"/>
  <c r="AP6" i="1" s="1"/>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U9"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AB19" i="37" s="1"/>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J25" i="34"/>
  <c r="W25" i="34" s="1"/>
  <c r="H25" i="34"/>
  <c r="F25" i="34"/>
  <c r="AA25" i="34" s="1"/>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W10" i="33"/>
  <c r="AC21" i="33"/>
  <c r="W21" i="33"/>
  <c r="AB10" i="33"/>
  <c r="AB21" i="33"/>
  <c r="U21" i="33"/>
  <c r="AA21" i="33"/>
  <c r="S21" i="33"/>
  <c r="AA44" i="33"/>
  <c r="AA36" i="33"/>
  <c r="S44" i="21"/>
  <c r="W39" i="21"/>
  <c r="AC34" i="21"/>
  <c r="W32" i="21"/>
  <c r="U35" i="21"/>
  <c r="W43" i="21"/>
  <c r="S42" i="21"/>
  <c r="AB32" i="21"/>
  <c r="W28" i="21"/>
  <c r="AC46" i="21"/>
  <c r="AC26" i="21"/>
  <c r="F85" i="21"/>
  <c r="G85" i="21"/>
  <c r="J23" i="21"/>
  <c r="W23" i="21"/>
  <c r="F23" i="21"/>
  <c r="H23" i="21"/>
  <c r="U23" i="21" s="1"/>
  <c r="F77" i="21"/>
  <c r="F15" i="21" s="1"/>
  <c r="G77" i="21"/>
  <c r="J15" i="21"/>
  <c r="H15" i="21"/>
  <c r="U15"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AC17" i="40"/>
  <c r="F17" i="40"/>
  <c r="AA17" i="40"/>
  <c r="H17" i="40"/>
  <c r="AB17" i="40"/>
  <c r="W21" i="40"/>
  <c r="AB40" i="40"/>
  <c r="U10" i="40"/>
  <c r="U27" i="40"/>
  <c r="AB27" i="40"/>
  <c r="AC44" i="39"/>
  <c r="S11" i="39"/>
  <c r="AB45" i="39"/>
  <c r="S27" i="39"/>
  <c r="AA21" i="39"/>
  <c r="AC19" i="39"/>
  <c r="AC38" i="39"/>
  <c r="W29" i="39"/>
  <c r="S29" i="39"/>
  <c r="AC21" i="39"/>
  <c r="S14" i="39"/>
  <c r="AB15" i="39"/>
  <c r="U11" i="39"/>
  <c r="U23" i="39"/>
  <c r="AB38" i="39"/>
  <c r="U31" i="39"/>
  <c r="AB31" i="39"/>
  <c r="S25" i="39"/>
  <c r="S38" i="39"/>
  <c r="D18" i="9"/>
  <c r="M44" i="9" s="1"/>
  <c r="M43" i="9"/>
  <c r="B22" i="63"/>
  <c r="M20" i="15"/>
  <c r="D96" i="9"/>
  <c r="F28" i="15"/>
  <c r="C28" i="15" s="1"/>
  <c r="M18" i="15"/>
  <c r="A18" i="64"/>
  <c r="B74" i="63"/>
  <c r="C53" i="10"/>
  <c r="A25" i="64"/>
  <c r="A18" i="51"/>
  <c r="B14" i="63"/>
  <c r="BA16" i="3"/>
  <c r="BA17" i="3"/>
  <c r="AZ17" i="3" s="1"/>
  <c r="K1" i="43"/>
  <c r="K1" i="12"/>
  <c r="G1" i="44"/>
  <c r="I4" i="6"/>
  <c r="G3" i="46" s="1"/>
  <c r="AZ15" i="3"/>
  <c r="BK5" i="3"/>
  <c r="BO5" i="3"/>
  <c r="BP5" i="3"/>
  <c r="BN5" i="3"/>
  <c r="BL18" i="3"/>
  <c r="AZ18" i="3"/>
  <c r="BC5" i="3"/>
  <c r="E8" i="6"/>
  <c r="E58" i="39" s="1"/>
  <c r="BD5" i="3"/>
  <c r="BR5" i="3"/>
  <c r="G28" i="6" s="1"/>
  <c r="BS5" i="3"/>
  <c r="BQ5" i="3"/>
  <c r="BL16" i="3"/>
  <c r="BM5" i="3"/>
  <c r="F29" i="6" s="1"/>
  <c r="E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C24" i="9"/>
  <c r="C30" i="9"/>
  <c r="C25" i="9"/>
  <c r="AP7" i="1"/>
  <c r="G7" i="1"/>
  <c r="AP9" i="1"/>
  <c r="G9" i="1"/>
  <c r="AP8" i="1"/>
  <c r="G8" i="1"/>
  <c r="I20" i="46"/>
  <c r="C20" i="46" s="1"/>
  <c r="L5" i="54"/>
  <c r="B39" i="63" s="1"/>
  <c r="K5" i="54"/>
  <c r="B38" i="63" s="1"/>
  <c r="T41" i="4"/>
  <c r="A17" i="64" s="1"/>
  <c r="B46" i="50"/>
  <c r="B4" i="63" s="1"/>
  <c r="C46" i="36"/>
  <c r="D46" i="36" s="1"/>
  <c r="C59" i="34"/>
  <c r="D59" i="34" s="1"/>
  <c r="C48" i="35"/>
  <c r="D48" i="35"/>
  <c r="C52" i="37"/>
  <c r="D52" i="37"/>
  <c r="E52" i="37" s="1"/>
  <c r="F7" i="33"/>
  <c r="J7" i="33"/>
  <c r="AC7" i="33" s="1"/>
  <c r="V48" i="33" s="1"/>
  <c r="I48" i="33" s="1"/>
  <c r="C67" i="40"/>
  <c r="D65" i="40"/>
  <c r="E65" i="40" s="1"/>
  <c r="P24" i="46"/>
  <c r="B68" i="40"/>
  <c r="P25" i="46"/>
  <c r="B73" i="39"/>
  <c r="P23" i="46"/>
  <c r="P21" i="46"/>
  <c r="P22" i="46"/>
  <c r="H7" i="33"/>
  <c r="AB7" i="33" s="1"/>
  <c r="T48" i="33" s="1"/>
  <c r="G48" i="33" s="1"/>
  <c r="C72" i="39"/>
  <c r="D70" i="39"/>
  <c r="E70" i="39" s="1"/>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c r="B10" i="1"/>
  <c r="E10" i="1"/>
  <c r="S10" i="1"/>
  <c r="B8" i="1"/>
  <c r="E8" i="1" s="1"/>
  <c r="B12" i="1"/>
  <c r="E12" i="1" s="1"/>
  <c r="S12" i="1"/>
  <c r="K6" i="1"/>
  <c r="M6" i="1" s="1"/>
  <c r="C15" i="43" s="1"/>
  <c r="O9" i="1"/>
  <c r="P9" i="1" s="1"/>
  <c r="O11" i="1"/>
  <c r="P11" i="1" s="1"/>
  <c r="O12" i="1"/>
  <c r="P12" i="1" s="1"/>
  <c r="G1" i="15"/>
  <c r="F66" i="36"/>
  <c r="H18" i="36"/>
  <c r="U18" i="36" s="1"/>
  <c r="U16" i="36"/>
  <c r="S25"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15" i="33"/>
  <c r="S9" i="33"/>
  <c r="S39" i="21"/>
  <c r="AB25" i="21"/>
  <c r="W25" i="21"/>
  <c r="AA25" i="21"/>
  <c r="U27" i="21"/>
  <c r="W31" i="21"/>
  <c r="W29" i="21"/>
  <c r="G96" i="40"/>
  <c r="J27" i="40"/>
  <c r="W27" i="40" s="1"/>
  <c r="W37" i="40"/>
  <c r="S17" i="40"/>
  <c r="W30" i="40"/>
  <c r="S34" i="40"/>
  <c r="U17" i="40"/>
  <c r="U38" i="40"/>
  <c r="S40" i="40"/>
  <c r="S42" i="40"/>
  <c r="G105" i="39"/>
  <c r="J31" i="39"/>
  <c r="AC31" i="39" s="1"/>
  <c r="S45" i="39"/>
  <c r="AC46" i="39"/>
  <c r="W42" i="39"/>
  <c r="W36" i="39"/>
  <c r="W23" i="39"/>
  <c r="AC37"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E6" i="52"/>
  <c r="E21" i="52"/>
  <c r="B13" i="52"/>
  <c r="E8" i="52"/>
  <c r="C4" i="4" s="1"/>
  <c r="B20" i="55" s="1"/>
  <c r="B70" i="63" s="1"/>
  <c r="E16" i="52"/>
  <c r="D24" i="15"/>
  <c r="AC23" i="21"/>
  <c r="AA42" i="39"/>
  <c r="AB17" i="39"/>
  <c r="G91" i="39"/>
  <c r="F17" i="39"/>
  <c r="AA17" i="39" s="1"/>
  <c r="J17" i="39"/>
  <c r="C16" i="46"/>
  <c r="C5" i="46" s="1"/>
  <c r="AC36" i="35"/>
  <c r="W12" i="35"/>
  <c r="AC12" i="35"/>
  <c r="G6" i="1"/>
  <c r="F28" i="6"/>
  <c r="F30" i="6" s="1"/>
  <c r="S14" i="36"/>
  <c r="AA20" i="36"/>
  <c r="W14" i="36"/>
  <c r="U14" i="36"/>
  <c r="AB14"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23" i="21"/>
  <c r="AA23" i="21"/>
  <c r="S23" i="21"/>
  <c r="AB15" i="21"/>
  <c r="W15" i="21"/>
  <c r="AC15" i="21"/>
  <c r="AB39" i="40"/>
  <c r="U39" i="40"/>
  <c r="AC39" i="40"/>
  <c r="AA39" i="40"/>
  <c r="S39" i="40"/>
  <c r="U37" i="40"/>
  <c r="AB37" i="40"/>
  <c r="AA37" i="40"/>
  <c r="U29" i="40"/>
  <c r="AB29" i="40"/>
  <c r="AC29" i="40"/>
  <c r="AA29" i="40"/>
  <c r="W19" i="40"/>
  <c r="AA19" i="40"/>
  <c r="AB19" i="40"/>
  <c r="U19" i="40"/>
  <c r="AC27" i="40"/>
  <c r="W31" i="39"/>
  <c r="A17" i="51"/>
  <c r="B13" i="63" s="1"/>
  <c r="E53" i="40"/>
  <c r="E5" i="6"/>
  <c r="D21" i="12" s="1"/>
  <c r="C21" i="12" s="1"/>
  <c r="AZ13" i="3"/>
  <c r="G29" i="6"/>
  <c r="E14" i="6"/>
  <c r="E61" i="40" s="1"/>
  <c r="E15" i="6"/>
  <c r="E67" i="39" s="1"/>
  <c r="E11" i="6"/>
  <c r="E58" i="40" s="1"/>
  <c r="H70" i="46"/>
  <c r="H72" i="46"/>
  <c r="A9" i="64"/>
  <c r="A9" i="51"/>
  <c r="B9" i="63" s="1"/>
  <c r="A25" i="51"/>
  <c r="B18" i="63"/>
  <c r="E48" i="35"/>
  <c r="F48" i="35" s="1"/>
  <c r="D72" i="39"/>
  <c r="W7" i="33"/>
  <c r="U7" i="33"/>
  <c r="D67" i="40"/>
  <c r="S7" i="33"/>
  <c r="AA7" i="33"/>
  <c r="R48" i="33"/>
  <c r="R49" i="33" s="1"/>
  <c r="G39" i="46"/>
  <c r="I39" i="46"/>
  <c r="G66" i="36"/>
  <c r="J18" i="36"/>
  <c r="AC18" i="36" s="1"/>
  <c r="AE6" i="1"/>
  <c r="F33" i="44"/>
  <c r="M19" i="44"/>
  <c r="F58" i="15"/>
  <c r="M17" i="15"/>
  <c r="F31" i="15"/>
  <c r="W17" i="39"/>
  <c r="AC17" i="39"/>
  <c r="S17" i="39"/>
  <c r="AG6" i="1"/>
  <c r="L20" i="6"/>
  <c r="E62" i="40"/>
  <c r="F7" i="21"/>
  <c r="J7" i="21"/>
  <c r="AC7" i="21" s="1"/>
  <c r="H7" i="21"/>
  <c r="F13" i="39"/>
  <c r="AA13" i="39" s="1"/>
  <c r="H13" i="39"/>
  <c r="J13" i="39"/>
  <c r="W13" i="39" s="1"/>
  <c r="S9" i="1"/>
  <c r="W7" i="21"/>
  <c r="U7" i="21"/>
  <c r="AB7" i="21"/>
  <c r="S7" i="21"/>
  <c r="AA7" i="21"/>
  <c r="AB13" i="39"/>
  <c r="U13" i="39"/>
  <c r="AC13" i="39"/>
  <c r="S13" i="39"/>
  <c r="R9" i="1"/>
  <c r="R37" i="31"/>
  <c r="S37" i="31" s="1"/>
  <c r="R39" i="31"/>
  <c r="S39" i="31" s="1"/>
  <c r="R41" i="31"/>
  <c r="S41" i="31" s="1"/>
  <c r="R38" i="31"/>
  <c r="S38" i="31" s="1"/>
  <c r="R40" i="31"/>
  <c r="S40" i="31" s="1"/>
  <c r="N76" i="9"/>
  <c r="C46" i="9"/>
  <c r="K33" i="9"/>
  <c r="K34" i="9" s="1"/>
  <c r="O41" i="9"/>
  <c r="I14" i="66"/>
  <c r="B8" i="66" s="1"/>
  <c r="R8" i="54"/>
  <c r="B54" i="63" s="1"/>
  <c r="B8" i="67"/>
  <c r="F39" i="44"/>
  <c r="J17" i="44"/>
  <c r="E8" i="67"/>
  <c r="F11" i="44"/>
  <c r="M24" i="44"/>
  <c r="M10" i="44"/>
  <c r="J15" i="15"/>
  <c r="M29" i="44"/>
  <c r="M30" i="44"/>
  <c r="E12" i="67"/>
  <c r="F14" i="67"/>
  <c r="E9" i="67"/>
  <c r="F43" i="44"/>
  <c r="M25" i="44"/>
  <c r="E11" i="67"/>
  <c r="B10" i="67"/>
  <c r="L49" i="44"/>
  <c r="F28" i="44"/>
  <c r="E14" i="67"/>
  <c r="B13" i="67"/>
  <c r="F18" i="44"/>
  <c r="J36" i="15"/>
  <c r="F11" i="67"/>
  <c r="E10" i="67"/>
  <c r="M22" i="15"/>
  <c r="F38" i="44"/>
  <c r="B11" i="67"/>
  <c r="L48" i="44"/>
  <c r="M29" i="15"/>
  <c r="M28" i="44"/>
  <c r="M28" i="15"/>
  <c r="F8" i="67"/>
  <c r="B12" i="67"/>
  <c r="F10" i="67"/>
  <c r="M8" i="44"/>
  <c r="M26" i="44"/>
  <c r="E13" i="67"/>
  <c r="F15" i="44"/>
  <c r="F45" i="44"/>
  <c r="B9" i="67"/>
  <c r="B14" i="67"/>
  <c r="F40" i="44"/>
  <c r="F9" i="67"/>
  <c r="F12" i="67"/>
  <c r="F8" i="44"/>
  <c r="F13" i="67"/>
  <c r="M11" i="44"/>
  <c r="F10" i="44"/>
  <c r="E45" i="69" l="1"/>
  <c r="E4" i="52"/>
  <c r="E4" i="4" s="1"/>
  <c r="B21" i="55" s="1"/>
  <c r="B72" i="63" s="1"/>
  <c r="B11" i="52"/>
  <c r="B5" i="52"/>
  <c r="B22" i="52"/>
  <c r="B14" i="52"/>
  <c r="E7" i="52"/>
  <c r="E5" i="52"/>
  <c r="B6" i="52"/>
  <c r="B16" i="52"/>
  <c r="B23" i="52"/>
  <c r="E10" i="52"/>
  <c r="E9" i="52"/>
  <c r="B8" i="52"/>
  <c r="B4" i="52"/>
  <c r="B9" i="52"/>
  <c r="B10" i="52"/>
  <c r="B7" i="52"/>
  <c r="E11" i="52"/>
  <c r="G27" i="6"/>
  <c r="E66" i="39"/>
  <c r="E63" i="39"/>
  <c r="E12" i="6"/>
  <c r="E64" i="39" s="1"/>
  <c r="G58" i="3"/>
  <c r="G5" i="3" s="1"/>
  <c r="B3" i="3" s="1"/>
  <c r="D12" i="11"/>
  <c r="C12" i="11" s="1"/>
  <c r="I55" i="44"/>
  <c r="J60" i="44"/>
  <c r="J61" i="44"/>
  <c r="Q50" i="44" s="1"/>
  <c r="J54" i="44"/>
  <c r="J58" i="44"/>
  <c r="J56" i="44" s="1"/>
  <c r="J59" i="44" s="1"/>
  <c r="Q52" i="44" s="1"/>
  <c r="L57" i="44"/>
  <c r="L60" i="44"/>
  <c r="L59" i="44"/>
  <c r="C29" i="44"/>
  <c r="Q73" i="44"/>
  <c r="Q72" i="15"/>
  <c r="C48" i="33"/>
  <c r="C49" i="33"/>
  <c r="B3" i="33" s="1"/>
  <c r="B2" i="33" s="1"/>
  <c r="E46" i="36"/>
  <c r="F46" i="36" s="1"/>
  <c r="G46" i="36" s="1"/>
  <c r="H46" i="36" s="1"/>
  <c r="I46" i="36" s="1"/>
  <c r="J46" i="36" s="1"/>
  <c r="K46" i="36" s="1"/>
  <c r="L46" i="36" s="1"/>
  <c r="M46" i="36" s="1"/>
  <c r="N46" i="36" s="1"/>
  <c r="O46" i="36" s="1"/>
  <c r="AA15" i="21"/>
  <c r="S15" i="21"/>
  <c r="E22" i="3"/>
  <c r="E14" i="3"/>
  <c r="E59" i="40"/>
  <c r="G48" i="35"/>
  <c r="H48" i="35" s="1"/>
  <c r="I48" i="35" s="1"/>
  <c r="J48" i="35" s="1"/>
  <c r="K48" i="35" s="1"/>
  <c r="L48" i="35" s="1"/>
  <c r="M48" i="35" s="1"/>
  <c r="N48" i="35" s="1"/>
  <c r="O48" i="35" s="1"/>
  <c r="J7" i="35"/>
  <c r="H7" i="35"/>
  <c r="E72" i="39"/>
  <c r="F70" i="39"/>
  <c r="G52" i="33"/>
  <c r="H52" i="33" s="1"/>
  <c r="G53" i="33"/>
  <c r="H53" i="33" s="1"/>
  <c r="E67" i="40"/>
  <c r="F65" i="40"/>
  <c r="I52" i="33"/>
  <c r="J52" i="33" s="1"/>
  <c r="F52" i="37"/>
  <c r="G52" i="37" s="1"/>
  <c r="H52" i="37" s="1"/>
  <c r="I52" i="37" s="1"/>
  <c r="J52" i="37" s="1"/>
  <c r="K52" i="37" s="1"/>
  <c r="L52" i="37" s="1"/>
  <c r="M52" i="37" s="1"/>
  <c r="N52" i="37" s="1"/>
  <c r="O52" i="37" s="1"/>
  <c r="J7" i="37"/>
  <c r="F7" i="35"/>
  <c r="J7" i="34"/>
  <c r="E59" i="34"/>
  <c r="F59" i="34" s="1"/>
  <c r="G59" i="34" s="1"/>
  <c r="H59" i="34" s="1"/>
  <c r="I59" i="34" s="1"/>
  <c r="J59" i="34" s="1"/>
  <c r="K59" i="34" s="1"/>
  <c r="L59" i="34" s="1"/>
  <c r="M59" i="34" s="1"/>
  <c r="N59" i="34" s="1"/>
  <c r="O59" i="34" s="1"/>
  <c r="H7" i="34"/>
  <c r="L19" i="6"/>
  <c r="L27" i="6" s="1"/>
  <c r="K15" i="1"/>
  <c r="E28" i="6"/>
  <c r="G30" i="6"/>
  <c r="G31" i="6" s="1"/>
  <c r="E87" i="3"/>
  <c r="AO6" i="3"/>
  <c r="E412" i="3"/>
  <c r="E396" i="3"/>
  <c r="E251" i="3"/>
  <c r="E60" i="3"/>
  <c r="E50" i="3"/>
  <c r="E409" i="3"/>
  <c r="E465" i="3"/>
  <c r="E93" i="3"/>
  <c r="E338" i="3"/>
  <c r="E279" i="3"/>
  <c r="E391" i="3"/>
  <c r="E105" i="3"/>
  <c r="E159" i="3"/>
  <c r="E95" i="3"/>
  <c r="E203" i="3"/>
  <c r="E453" i="3"/>
  <c r="E344" i="3"/>
  <c r="E537" i="3"/>
  <c r="AP6" i="3"/>
  <c r="E398" i="3"/>
  <c r="E443" i="3"/>
  <c r="E469" i="3"/>
  <c r="E71" i="3"/>
  <c r="E110" i="3"/>
  <c r="E546" i="3"/>
  <c r="E175" i="3"/>
  <c r="E185" i="3"/>
  <c r="E314" i="3"/>
  <c r="E28" i="3"/>
  <c r="E54" i="3"/>
  <c r="E423" i="3"/>
  <c r="N6" i="3"/>
  <c r="E399" i="3"/>
  <c r="E364" i="3"/>
  <c r="E114" i="3"/>
  <c r="E80" i="3"/>
  <c r="E540" i="3"/>
  <c r="E333" i="3"/>
  <c r="E246" i="3"/>
  <c r="E140" i="3"/>
  <c r="E167" i="3"/>
  <c r="E103" i="3"/>
  <c r="O6" i="3"/>
  <c r="E26" i="3"/>
  <c r="E205" i="3"/>
  <c r="E259" i="3"/>
  <c r="E208" i="3"/>
  <c r="E480" i="3"/>
  <c r="E450" i="3"/>
  <c r="E44" i="3"/>
  <c r="E197" i="3"/>
  <c r="E249" i="3"/>
  <c r="E212" i="3"/>
  <c r="E337" i="3"/>
  <c r="Y6" i="3"/>
  <c r="AR6" i="3"/>
  <c r="E467" i="3"/>
  <c r="E66" i="3"/>
  <c r="E52" i="3"/>
  <c r="E161" i="3"/>
  <c r="E135" i="3"/>
  <c r="E243" i="3"/>
  <c r="AI6" i="3"/>
  <c r="E134" i="3"/>
  <c r="E240" i="3"/>
  <c r="AF6" i="3"/>
  <c r="E235" i="3"/>
  <c r="E459" i="3"/>
  <c r="E363" i="3"/>
  <c r="E560" i="3"/>
  <c r="E177" i="3"/>
  <c r="E257" i="3"/>
  <c r="E555" i="3"/>
  <c r="E492" i="3"/>
  <c r="E526" i="3"/>
  <c r="E320" i="3"/>
  <c r="K6" i="3"/>
  <c r="E457" i="3"/>
  <c r="E354" i="3"/>
  <c r="E570" i="3"/>
  <c r="E51" i="3"/>
  <c r="AJ6" i="3"/>
  <c r="E237" i="3"/>
  <c r="E547" i="3"/>
  <c r="E475" i="3"/>
  <c r="E374" i="3"/>
  <c r="E285" i="3"/>
  <c r="E361" i="3"/>
  <c r="E43" i="3"/>
  <c r="T6" i="3"/>
  <c r="E182" i="3"/>
  <c r="E145" i="3"/>
  <c r="E270" i="3"/>
  <c r="E220" i="3"/>
  <c r="E339" i="3"/>
  <c r="E507" i="3"/>
  <c r="E563" i="3"/>
  <c r="E572" i="3"/>
  <c r="E519" i="3"/>
  <c r="E498" i="3"/>
  <c r="E168" i="3"/>
  <c r="E351" i="3"/>
  <c r="E522" i="3"/>
  <c r="E497" i="3"/>
  <c r="E131" i="3"/>
  <c r="E353" i="3"/>
  <c r="E462" i="3"/>
  <c r="E255" i="3"/>
  <c r="E113" i="3"/>
  <c r="E342" i="3"/>
  <c r="E269" i="3"/>
  <c r="E347" i="3"/>
  <c r="E545" i="3"/>
  <c r="E542" i="3"/>
  <c r="E524" i="3"/>
  <c r="E558" i="3"/>
  <c r="E13" i="3"/>
  <c r="E298" i="3"/>
  <c r="E562" i="3"/>
  <c r="M6" i="3"/>
  <c r="E69" i="3"/>
  <c r="E476" i="3"/>
  <c r="E193" i="3"/>
  <c r="E242" i="3"/>
  <c r="E136" i="3"/>
  <c r="E422" i="3"/>
  <c r="E115" i="3"/>
  <c r="E70" i="3"/>
  <c r="E148" i="3"/>
  <c r="E207" i="3"/>
  <c r="E349" i="3"/>
  <c r="E447" i="3"/>
  <c r="E133" i="3"/>
  <c r="E94" i="3"/>
  <c r="E153" i="3"/>
  <c r="E440" i="3"/>
  <c r="E334" i="3"/>
  <c r="E395" i="3"/>
  <c r="E438" i="3"/>
  <c r="E460" i="3"/>
  <c r="E92" i="3"/>
  <c r="E56" i="3"/>
  <c r="E47" i="3"/>
  <c r="E118" i="3"/>
  <c r="E116" i="3"/>
  <c r="E283" i="3"/>
  <c r="E222" i="3"/>
  <c r="E232" i="3"/>
  <c r="E360" i="3"/>
  <c r="E571" i="3"/>
  <c r="E458" i="3"/>
  <c r="E529" i="3"/>
  <c r="E196" i="3"/>
  <c r="E376" i="3"/>
  <c r="E32" i="3"/>
  <c r="E471" i="3"/>
  <c r="E392" i="3"/>
  <c r="E410" i="3"/>
  <c r="X6" i="3"/>
  <c r="E350" i="3"/>
  <c r="E322" i="3"/>
  <c r="E84" i="3"/>
  <c r="AA6" i="3"/>
  <c r="E187" i="3"/>
  <c r="E128" i="3"/>
  <c r="E125" i="3"/>
  <c r="AD6" i="3"/>
  <c r="E312" i="3"/>
  <c r="E267" i="3"/>
  <c r="E223" i="3"/>
  <c r="E300" i="3"/>
  <c r="E264" i="3"/>
  <c r="E216" i="3"/>
  <c r="E389" i="3"/>
  <c r="E328" i="3"/>
  <c r="E425" i="3"/>
  <c r="I6" i="3"/>
  <c r="E431" i="3"/>
  <c r="E104" i="3"/>
  <c r="E83" i="3"/>
  <c r="E549" i="3"/>
  <c r="E147" i="3"/>
  <c r="E201" i="3"/>
  <c r="E165" i="3"/>
  <c r="Z6" i="3"/>
  <c r="E78" i="3"/>
  <c r="E63" i="3"/>
  <c r="E100" i="3"/>
  <c r="E455" i="3"/>
  <c r="E435" i="3"/>
  <c r="E390" i="3"/>
  <c r="E263" i="3"/>
  <c r="E521" i="3"/>
  <c r="E553" i="3"/>
  <c r="E231" i="3"/>
  <c r="E102" i="3"/>
  <c r="AK6" i="3"/>
  <c r="E58" i="3"/>
  <c r="E144" i="3"/>
  <c r="E275" i="3"/>
  <c r="E224" i="3"/>
  <c r="E464" i="3"/>
  <c r="E442" i="3"/>
  <c r="E33" i="3"/>
  <c r="E206" i="3"/>
  <c r="E293" i="3"/>
  <c r="E368" i="3"/>
  <c r="E548" i="3"/>
  <c r="E400" i="3"/>
  <c r="E427" i="3"/>
  <c r="E416" i="3"/>
  <c r="E448" i="3"/>
  <c r="E479" i="3"/>
  <c r="E61" i="3"/>
  <c r="E81" i="3"/>
  <c r="E34" i="3"/>
  <c r="E318" i="3"/>
  <c r="E76" i="3"/>
  <c r="E29" i="3"/>
  <c r="Q6" i="3"/>
  <c r="E358" i="3"/>
  <c r="E179" i="3"/>
  <c r="E142" i="3"/>
  <c r="E120" i="3"/>
  <c r="E180" i="3"/>
  <c r="J6" i="3"/>
  <c r="E169" i="3"/>
  <c r="E501" i="3"/>
  <c r="AS6" i="3"/>
  <c r="E49" i="3"/>
  <c r="E35" i="3"/>
  <c r="E98" i="3"/>
  <c r="E445" i="3"/>
  <c r="E439" i="3"/>
  <c r="E408" i="3"/>
  <c r="AE6" i="3"/>
  <c r="E384" i="3"/>
  <c r="E456" i="3"/>
  <c r="E551" i="3"/>
  <c r="W6" i="3"/>
  <c r="E233" i="3"/>
  <c r="E294" i="3"/>
  <c r="E534" i="3"/>
  <c r="E191" i="3"/>
  <c r="E190" i="3"/>
  <c r="E561" i="3"/>
  <c r="E38" i="3"/>
  <c r="E421" i="3"/>
  <c r="E508" i="3"/>
  <c r="E112" i="3"/>
  <c r="E304" i="3"/>
  <c r="E234" i="3"/>
  <c r="E276" i="3"/>
  <c r="E262" i="3"/>
  <c r="AT6" i="3"/>
  <c r="E204" i="3"/>
  <c r="L6" i="3"/>
  <c r="E40" i="3"/>
  <c r="E468" i="3"/>
  <c r="E403" i="3"/>
  <c r="E430" i="3"/>
  <c r="E108" i="3"/>
  <c r="E68" i="3"/>
  <c r="E173" i="3"/>
  <c r="E117" i="3"/>
  <c r="E289" i="3"/>
  <c r="E215" i="3"/>
  <c r="E256" i="3"/>
  <c r="E373" i="3"/>
  <c r="E394" i="3"/>
  <c r="E487" i="3"/>
  <c r="E418" i="3"/>
  <c r="E466" i="3"/>
  <c r="E89" i="3"/>
  <c r="E544" i="3"/>
  <c r="E146" i="3"/>
  <c r="E155" i="3"/>
  <c r="E481" i="3"/>
  <c r="E265" i="3"/>
  <c r="E280" i="3"/>
  <c r="E244" i="3"/>
  <c r="E221" i="3"/>
  <c r="E370" i="3"/>
  <c r="E348" i="3"/>
  <c r="E310" i="3"/>
  <c r="E518" i="3"/>
  <c r="V6" i="3"/>
  <c r="E401" i="3"/>
  <c r="E449" i="3"/>
  <c r="E454" i="3"/>
  <c r="E106" i="3"/>
  <c r="E59" i="3"/>
  <c r="E75" i="3"/>
  <c r="AQ6" i="3"/>
  <c r="AG6" i="3"/>
  <c r="E198" i="3"/>
  <c r="E122" i="3"/>
  <c r="E163" i="3"/>
  <c r="E506" i="3"/>
  <c r="E286" i="3"/>
  <c r="E225" i="3"/>
  <c r="E236" i="3"/>
  <c r="E420" i="3"/>
  <c r="E62" i="3"/>
  <c r="E124" i="3"/>
  <c r="E230" i="3"/>
  <c r="E303" i="3"/>
  <c r="E434" i="3"/>
  <c r="E67" i="3"/>
  <c r="E121" i="3"/>
  <c r="E387" i="3"/>
  <c r="E530" i="3"/>
  <c r="E77" i="3"/>
  <c r="E192" i="3"/>
  <c r="E288" i="3"/>
  <c r="E301" i="3"/>
  <c r="E25" i="3"/>
  <c r="E556" i="3"/>
  <c r="E189" i="3"/>
  <c r="E380" i="3"/>
  <c r="E272" i="3"/>
  <c r="E356" i="3"/>
  <c r="E307" i="3"/>
  <c r="E531" i="3"/>
  <c r="E509" i="3"/>
  <c r="E500" i="3"/>
  <c r="E181" i="3"/>
  <c r="E539" i="3"/>
  <c r="E494" i="3"/>
  <c r="E559" i="3"/>
  <c r="E552" i="3"/>
  <c r="E404" i="3"/>
  <c r="E109" i="3"/>
  <c r="E174" i="3"/>
  <c r="E247" i="3"/>
  <c r="E218" i="3"/>
  <c r="E82" i="3"/>
  <c r="E437" i="3"/>
  <c r="E16" i="3"/>
  <c r="E178" i="3"/>
  <c r="E278" i="3"/>
  <c r="E261" i="3"/>
  <c r="E386" i="3"/>
  <c r="E308" i="3"/>
  <c r="E525" i="3"/>
  <c r="E433" i="3"/>
  <c r="E96" i="3"/>
  <c r="E91" i="3"/>
  <c r="E19" i="3"/>
  <c r="E154" i="3"/>
  <c r="E499" i="3"/>
  <c r="E211" i="3"/>
  <c r="E213" i="3"/>
  <c r="E340" i="3"/>
  <c r="E299" i="3"/>
  <c r="E107" i="3"/>
  <c r="E36" i="3"/>
  <c r="E362" i="3"/>
  <c r="E170" i="3"/>
  <c r="E183" i="3"/>
  <c r="E119" i="3"/>
  <c r="E316" i="3"/>
  <c r="E227" i="3"/>
  <c r="E268" i="3"/>
  <c r="E379" i="3"/>
  <c r="E324" i="3"/>
  <c r="E164" i="3"/>
  <c r="E313" i="3"/>
  <c r="E365" i="3"/>
  <c r="E160" i="3"/>
  <c r="E352" i="3"/>
  <c r="E515" i="3"/>
  <c r="E343" i="3"/>
  <c r="E502" i="3"/>
  <c r="AL6" i="3"/>
  <c r="E513" i="3"/>
  <c r="E523" i="3"/>
  <c r="E385" i="3"/>
  <c r="E369" i="3"/>
  <c r="E372" i="3"/>
  <c r="E573" i="3"/>
  <c r="E311" i="3"/>
  <c r="E511" i="3"/>
  <c r="E568" i="3"/>
  <c r="E517" i="3"/>
  <c r="E488" i="3"/>
  <c r="E505" i="3"/>
  <c r="E330" i="3"/>
  <c r="E228" i="3"/>
  <c r="AB6" i="3"/>
  <c r="E407" i="3"/>
  <c r="E27" i="3"/>
  <c r="E489" i="3"/>
  <c r="S6" i="3"/>
  <c r="E245" i="3"/>
  <c r="E323" i="3"/>
  <c r="E72" i="3"/>
  <c r="E512" i="3"/>
  <c r="E138" i="3"/>
  <c r="E17" i="3"/>
  <c r="E241" i="3"/>
  <c r="E378" i="3"/>
  <c r="E302" i="3"/>
  <c r="E18" i="3"/>
  <c r="E383" i="3"/>
  <c r="E359" i="3"/>
  <c r="E485" i="3"/>
  <c r="E510" i="3"/>
  <c r="E327" i="3"/>
  <c r="E20" i="3"/>
  <c r="E357" i="3"/>
  <c r="E565" i="3"/>
  <c r="E482" i="3"/>
  <c r="E414" i="3"/>
  <c r="E477" i="3"/>
  <c r="E284" i="3"/>
  <c r="E24" i="3"/>
  <c r="E536" i="3"/>
  <c r="AN6" i="3"/>
  <c r="E444" i="3"/>
  <c r="E42" i="3"/>
  <c r="E157" i="3"/>
  <c r="E281" i="3"/>
  <c r="E266" i="3"/>
  <c r="E472" i="3"/>
  <c r="E382" i="3"/>
  <c r="E195" i="3"/>
  <c r="E419" i="3"/>
  <c r="E271" i="3"/>
  <c r="AM6" i="3"/>
  <c r="E428" i="3"/>
  <c r="E79" i="3"/>
  <c r="E194" i="3"/>
  <c r="E158" i="3"/>
  <c r="E239" i="3"/>
  <c r="E210" i="3"/>
  <c r="E415" i="3"/>
  <c r="E162" i="3"/>
  <c r="E45" i="3"/>
  <c r="E451" i="3"/>
  <c r="E297" i="3"/>
  <c r="E535" i="3"/>
  <c r="E493" i="3"/>
  <c r="E473" i="3"/>
  <c r="E37" i="3"/>
  <c r="E377" i="3"/>
  <c r="E150" i="3"/>
  <c r="E188" i="3"/>
  <c r="E132" i="3"/>
  <c r="E388" i="3"/>
  <c r="E296" i="3"/>
  <c r="E254" i="3"/>
  <c r="E238" i="3"/>
  <c r="E295" i="3"/>
  <c r="E250" i="3"/>
  <c r="E226" i="3"/>
  <c r="E305" i="3"/>
  <c r="R6" i="3"/>
  <c r="E90" i="3"/>
  <c r="E538" i="3"/>
  <c r="E429" i="3"/>
  <c r="E21" i="3"/>
  <c r="E550" i="3"/>
  <c r="E200" i="3"/>
  <c r="E166" i="3"/>
  <c r="E126" i="3"/>
  <c r="E202" i="3"/>
  <c r="E55" i="3"/>
  <c r="E101" i="3"/>
  <c r="E65" i="3"/>
  <c r="E461" i="3"/>
  <c r="E424" i="3"/>
  <c r="E405" i="3"/>
  <c r="AH6" i="3"/>
  <c r="E171" i="3"/>
  <c r="E375" i="3"/>
  <c r="E141" i="3"/>
  <c r="I3" i="6"/>
  <c r="C11" i="21" s="1"/>
  <c r="E436" i="3"/>
  <c r="E31" i="3"/>
  <c r="P6" i="3"/>
  <c r="E214" i="3"/>
  <c r="E491" i="3"/>
  <c r="E85" i="3"/>
  <c r="E143" i="3"/>
  <c r="E219" i="3"/>
  <c r="E411" i="3"/>
  <c r="E432" i="3"/>
  <c r="E463" i="3"/>
  <c r="E111" i="3"/>
  <c r="E48" i="3"/>
  <c r="E64" i="3"/>
  <c r="E39" i="3"/>
  <c r="E186" i="3"/>
  <c r="E152" i="3"/>
  <c r="E149" i="3"/>
  <c r="E130" i="3"/>
  <c r="E483" i="3"/>
  <c r="E99" i="3"/>
  <c r="E474" i="3"/>
  <c r="E413" i="3"/>
  <c r="E406" i="3"/>
  <c r="E470" i="3"/>
  <c r="E290" i="3"/>
  <c r="E248" i="3"/>
  <c r="E137" i="3"/>
  <c r="E569" i="3"/>
  <c r="E86" i="3"/>
  <c r="E426" i="3"/>
  <c r="E402" i="3"/>
  <c r="E258" i="3"/>
  <c r="E273" i="3"/>
  <c r="E53" i="3"/>
  <c r="E446" i="3"/>
  <c r="E452" i="3"/>
  <c r="E557" i="3"/>
  <c r="U6" i="3"/>
  <c r="E292" i="3"/>
  <c r="E306" i="3"/>
  <c r="E528" i="3"/>
  <c r="E74" i="3"/>
  <c r="E366" i="3"/>
  <c r="E127" i="3"/>
  <c r="E277" i="3"/>
  <c r="E260" i="3"/>
  <c r="E371" i="3"/>
  <c r="E309" i="3"/>
  <c r="E527" i="3"/>
  <c r="E417" i="3"/>
  <c r="E478" i="3"/>
  <c r="E97" i="3"/>
  <c r="E541" i="3"/>
  <c r="E514" i="3"/>
  <c r="E199" i="3"/>
  <c r="E346" i="3"/>
  <c r="E282" i="3"/>
  <c r="E73" i="3"/>
  <c r="E291" i="3"/>
  <c r="E441" i="3"/>
  <c r="E88" i="3"/>
  <c r="E332" i="3"/>
  <c r="E41" i="3"/>
  <c r="E129" i="3"/>
  <c r="E30" i="3"/>
  <c r="E151" i="3"/>
  <c r="E229" i="3"/>
  <c r="E315" i="3"/>
  <c r="E325" i="3"/>
  <c r="E503" i="3"/>
  <c r="E335" i="3"/>
  <c r="E490" i="3"/>
  <c r="E326" i="3"/>
  <c r="E287" i="3"/>
  <c r="E397" i="3"/>
  <c r="E184" i="3"/>
  <c r="E217" i="3"/>
  <c r="E321" i="3"/>
  <c r="E393" i="3"/>
  <c r="E46" i="3"/>
  <c r="E15" i="3"/>
  <c r="E172" i="3"/>
  <c r="E252" i="3"/>
  <c r="E355" i="3"/>
  <c r="E57" i="3"/>
  <c r="E532" i="3"/>
  <c r="E123" i="3"/>
  <c r="E496" i="3"/>
  <c r="E209" i="3"/>
  <c r="E345" i="3"/>
  <c r="E486" i="3"/>
  <c r="E336" i="3"/>
  <c r="E484" i="3"/>
  <c r="E367" i="3"/>
  <c r="E533" i="3"/>
  <c r="E331" i="3"/>
  <c r="E341" i="3"/>
  <c r="E567" i="3"/>
  <c r="E516" i="3"/>
  <c r="E554" i="3"/>
  <c r="E495" i="3"/>
  <c r="E274" i="3"/>
  <c r="E543" i="3"/>
  <c r="E564" i="3"/>
  <c r="E139" i="3"/>
  <c r="E329" i="3"/>
  <c r="E520" i="3"/>
  <c r="E156" i="3"/>
  <c r="E253" i="3"/>
  <c r="E317" i="3"/>
  <c r="E176" i="3"/>
  <c r="E319" i="3"/>
  <c r="E566" i="3"/>
  <c r="E381" i="3"/>
  <c r="E504" i="3"/>
  <c r="F101" i="46"/>
  <c r="N101" i="46"/>
  <c r="Z7" i="46"/>
  <c r="F22" i="46"/>
  <c r="B113" i="46"/>
  <c r="J101" i="46"/>
  <c r="G101" i="46"/>
  <c r="C101" i="46"/>
  <c r="S2" i="46"/>
  <c r="J22" i="46"/>
  <c r="AB11" i="46"/>
  <c r="AB13" i="46" s="1"/>
  <c r="AE11" i="46"/>
  <c r="AE13" i="46" s="1"/>
  <c r="AJ11" i="46"/>
  <c r="AF11" i="46"/>
  <c r="AF13" i="46" s="1"/>
  <c r="AI11" i="46"/>
  <c r="AI13" i="46" s="1"/>
  <c r="AA11" i="46"/>
  <c r="AA13" i="46" s="1"/>
  <c r="C23" i="46"/>
  <c r="C21" i="46" s="1"/>
  <c r="AH11" i="46"/>
  <c r="AD11" i="46"/>
  <c r="Z11" i="46"/>
  <c r="Z13" i="46" s="1"/>
  <c r="Y11" i="46"/>
  <c r="Y13" i="46" s="1"/>
  <c r="AG11" i="46"/>
  <c r="AG13" i="46" s="1"/>
  <c r="AC11" i="46"/>
  <c r="AC13" i="46" s="1"/>
  <c r="E22" i="46"/>
  <c r="H101" i="46"/>
  <c r="M101" i="46"/>
  <c r="D101" i="46"/>
  <c r="I101" i="46"/>
  <c r="G22" i="46"/>
  <c r="S7" i="46"/>
  <c r="S5" i="46"/>
  <c r="S3" i="46"/>
  <c r="H22" i="46"/>
  <c r="K101" i="46"/>
  <c r="E101" i="46"/>
  <c r="L101" i="46"/>
  <c r="N104" i="45"/>
  <c r="S6" i="46"/>
  <c r="S4" i="46"/>
  <c r="AZ515" i="3"/>
  <c r="W18" i="36"/>
  <c r="E48" i="33"/>
  <c r="F7" i="37"/>
  <c r="H7" i="37"/>
  <c r="F7" i="36"/>
  <c r="F7" i="34"/>
  <c r="A3" i="55"/>
  <c r="B56" i="63" s="1"/>
  <c r="E13" i="6"/>
  <c r="E10" i="6"/>
  <c r="E16" i="6" s="1"/>
  <c r="AZ16" i="3"/>
  <c r="BA5" i="3"/>
  <c r="E27" i="6" s="1"/>
  <c r="O6" i="1"/>
  <c r="F27" i="6"/>
  <c r="F31" i="6" s="1"/>
  <c r="S19" i="37"/>
  <c r="AB20" i="36"/>
  <c r="AC25" i="33"/>
  <c r="H66" i="46"/>
  <c r="H62" i="46"/>
  <c r="U25" i="33"/>
  <c r="W34" i="33"/>
  <c r="W37" i="34"/>
  <c r="AC11" i="34"/>
  <c r="AA27" i="34"/>
  <c r="AZ25" i="3"/>
  <c r="E9" i="12"/>
  <c r="K8" i="1"/>
  <c r="W36" i="33"/>
  <c r="AC36" i="33"/>
  <c r="AA33" i="40"/>
  <c r="S33" i="40"/>
  <c r="U46" i="39"/>
  <c r="AB46" i="39"/>
  <c r="S11" i="33"/>
  <c r="AA11" i="33"/>
  <c r="W16" i="35"/>
  <c r="AC16" i="35"/>
  <c r="AZ493" i="3"/>
  <c r="AZ525" i="3"/>
  <c r="AZ557" i="3"/>
  <c r="AZ506" i="3"/>
  <c r="U35" i="35"/>
  <c r="AB35" i="35"/>
  <c r="AC35" i="35"/>
  <c r="W35" i="35"/>
  <c r="U45" i="34"/>
  <c r="AB45" i="34"/>
  <c r="AB31" i="34"/>
  <c r="U31" i="34"/>
  <c r="AC46" i="33"/>
  <c r="W46" i="33"/>
  <c r="AC44" i="33"/>
  <c r="W44" i="33"/>
  <c r="U40" i="37"/>
  <c r="AB40" i="37"/>
  <c r="AC37" i="37"/>
  <c r="W37" i="37"/>
  <c r="S36" i="34"/>
  <c r="AA36" i="34"/>
  <c r="AZ571" i="3"/>
  <c r="G81" i="21"/>
  <c r="H19" i="21"/>
  <c r="J19" i="21"/>
  <c r="G79" i="21"/>
  <c r="F17" i="21"/>
  <c r="H17" i="21"/>
  <c r="J17" i="21"/>
  <c r="S9" i="21"/>
  <c r="AA9" i="21"/>
  <c r="BL553" i="3"/>
  <c r="AZ553" i="3" s="1"/>
  <c r="BL511" i="3"/>
  <c r="AZ511" i="3" s="1"/>
  <c r="AZ510" i="3"/>
  <c r="AZ19" i="3"/>
  <c r="P7" i="1"/>
  <c r="W16" i="40"/>
  <c r="AC16" i="40"/>
  <c r="AC15" i="40"/>
  <c r="W15" i="40"/>
  <c r="AZ548" i="3"/>
  <c r="S11" i="36"/>
  <c r="AA11" i="36"/>
  <c r="AA32" i="33"/>
  <c r="S32" i="33"/>
  <c r="AC32" i="36"/>
  <c r="AZ353" i="3"/>
  <c r="AZ332" i="3"/>
  <c r="AZ324" i="3"/>
  <c r="AZ378" i="3"/>
  <c r="S27" i="37"/>
  <c r="W23" i="37"/>
  <c r="AC23" i="37"/>
  <c r="AZ543" i="3"/>
  <c r="AZ517" i="3"/>
  <c r="AZ533" i="3"/>
  <c r="AZ561" i="3"/>
  <c r="AZ573" i="3"/>
  <c r="AZ494" i="3"/>
  <c r="AZ544" i="3"/>
  <c r="AB28" i="36"/>
  <c r="U30" i="33"/>
  <c r="AA38" i="37"/>
  <c r="AB25" i="35"/>
  <c r="U25" i="35"/>
  <c r="AC25" i="35"/>
  <c r="W25" i="35"/>
  <c r="H113" i="21"/>
  <c r="F37" i="21"/>
  <c r="J37" i="21"/>
  <c r="H37" i="21"/>
  <c r="W24" i="36"/>
  <c r="AC24" i="36"/>
  <c r="G107" i="39"/>
  <c r="H107" i="39" s="1"/>
  <c r="I107" i="39" s="1"/>
  <c r="J107" i="39" s="1"/>
  <c r="K107" i="39" s="1"/>
  <c r="L107" i="39" s="1"/>
  <c r="M107" i="39" s="1"/>
  <c r="F33" i="39"/>
  <c r="H33" i="39"/>
  <c r="J33" i="39"/>
  <c r="H109" i="39"/>
  <c r="I109" i="39" s="1"/>
  <c r="J109" i="39" s="1"/>
  <c r="K109" i="39" s="1"/>
  <c r="L109" i="39" s="1"/>
  <c r="M109" i="39" s="1"/>
  <c r="F34" i="39"/>
  <c r="H34" i="39"/>
  <c r="J34" i="39"/>
  <c r="BL565" i="3"/>
  <c r="AZ565" i="3" s="1"/>
  <c r="BL563" i="3"/>
  <c r="AZ563" i="3" s="1"/>
  <c r="AZ560" i="3"/>
  <c r="BL551" i="3"/>
  <c r="AZ551" i="3" s="1"/>
  <c r="AZ547" i="3"/>
  <c r="BL545" i="3"/>
  <c r="AZ545" i="3" s="1"/>
  <c r="AZ537" i="3"/>
  <c r="AZ529" i="3"/>
  <c r="AZ521" i="3"/>
  <c r="BL515" i="3"/>
  <c r="AZ513" i="3"/>
  <c r="BL503" i="3"/>
  <c r="AZ503" i="3" s="1"/>
  <c r="BL501" i="3"/>
  <c r="AZ501" i="3" s="1"/>
  <c r="BL485" i="3"/>
  <c r="AZ485" i="3" s="1"/>
  <c r="BL483" i="3"/>
  <c r="AZ483" i="3" s="1"/>
  <c r="AB14" i="37"/>
  <c r="AB29" i="37"/>
  <c r="AA31" i="36"/>
  <c r="F33" i="36"/>
  <c r="H33" i="36"/>
  <c r="J46" i="34"/>
  <c r="F46" i="34"/>
  <c r="J32" i="34"/>
  <c r="F32" i="34"/>
  <c r="J30" i="34"/>
  <c r="F30" i="34"/>
  <c r="H14" i="34"/>
  <c r="F14" i="34"/>
  <c r="F12" i="34"/>
  <c r="H12" i="34"/>
  <c r="E119" i="21"/>
  <c r="F119" i="21" s="1"/>
  <c r="G119" i="21" s="1"/>
  <c r="H119" i="21" s="1"/>
  <c r="I119" i="21" s="1"/>
  <c r="J119" i="21" s="1"/>
  <c r="K119" i="21" s="1"/>
  <c r="L119" i="21" s="1"/>
  <c r="M119" i="21" s="1"/>
  <c r="F40" i="21"/>
  <c r="AB12" i="21"/>
  <c r="W42" i="33"/>
  <c r="F36" i="35"/>
  <c r="AB8" i="34"/>
  <c r="S25" i="37"/>
  <c r="J30" i="33"/>
  <c r="F30" i="33"/>
  <c r="J14" i="33"/>
  <c r="F14" i="33"/>
  <c r="F13" i="36"/>
  <c r="J13" i="36"/>
  <c r="S31" i="33"/>
  <c r="H45" i="21"/>
  <c r="F45" i="21"/>
  <c r="F31" i="21"/>
  <c r="H31" i="21"/>
  <c r="F29" i="21"/>
  <c r="H29" i="21"/>
  <c r="F27" i="21"/>
  <c r="J27" i="21"/>
  <c r="F13" i="21"/>
  <c r="J13" i="21"/>
  <c r="H26" i="33"/>
  <c r="AB40" i="34"/>
  <c r="U9" i="34"/>
  <c r="F34" i="36"/>
  <c r="F24" i="36"/>
  <c r="J34" i="36"/>
  <c r="C23" i="39"/>
  <c r="AB27" i="35"/>
  <c r="S8" i="21"/>
  <c r="F26" i="33"/>
  <c r="S31" i="35"/>
  <c r="AC27" i="35"/>
  <c r="W39" i="37"/>
  <c r="F19" i="21"/>
  <c r="H36" i="21"/>
  <c r="H9" i="21"/>
  <c r="J9" i="21"/>
  <c r="J40" i="21"/>
  <c r="F36" i="21"/>
  <c r="F32" i="21"/>
  <c r="H43" i="21"/>
  <c r="F43" i="21"/>
  <c r="F12" i="33"/>
  <c r="H12" i="33"/>
  <c r="F9" i="36"/>
  <c r="J9" i="36"/>
  <c r="H24" i="36"/>
  <c r="E122" i="39"/>
  <c r="E126"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AZ398" i="3"/>
  <c r="AZ414" i="3"/>
  <c r="AZ458" i="3"/>
  <c r="AZ369" i="3"/>
  <c r="AZ212" i="3"/>
  <c r="C2" i="65"/>
  <c r="I1" i="65" s="1"/>
  <c r="AZ394" i="3"/>
  <c r="AZ396" i="3"/>
  <c r="AZ446" i="3"/>
  <c r="AZ474" i="3"/>
  <c r="AZ247" i="3"/>
  <c r="AZ255" i="3"/>
  <c r="AZ259" i="3"/>
  <c r="AZ276" i="3"/>
  <c r="AZ280" i="3"/>
  <c r="AZ294" i="3"/>
  <c r="AZ118" i="3"/>
  <c r="AZ121" i="3"/>
  <c r="AZ134" i="3"/>
  <c r="AZ137" i="3"/>
  <c r="AZ26" i="3"/>
  <c r="AZ29" i="3"/>
  <c r="AZ42" i="3"/>
  <c r="AZ56" i="3"/>
  <c r="AZ70" i="3"/>
  <c r="AZ93" i="3"/>
  <c r="AZ109" i="3"/>
  <c r="O46" i="59"/>
  <c r="O45" i="59"/>
  <c r="D46" i="59"/>
  <c r="AZ157" i="3"/>
  <c r="AZ160" i="3"/>
  <c r="AZ173" i="3"/>
  <c r="AZ176" i="3"/>
  <c r="AZ38" i="3"/>
  <c r="D47" i="59"/>
  <c r="AB7" i="59"/>
  <c r="AB5" i="59"/>
  <c r="AB8" i="59"/>
  <c r="Y3" i="59"/>
  <c r="Z3" i="59" s="1"/>
  <c r="Y8" i="59"/>
  <c r="Z8" i="59" s="1"/>
  <c r="Y7" i="59"/>
  <c r="Z7" i="59" s="1"/>
  <c r="Y6" i="59"/>
  <c r="Z6" i="59" s="1"/>
  <c r="Y5" i="59"/>
  <c r="Z5" i="59" s="1"/>
  <c r="AA7" i="59"/>
  <c r="AA5" i="59"/>
  <c r="Y17" i="59"/>
  <c r="Z17" i="59" s="1"/>
  <c r="AA13" i="59"/>
  <c r="C10" i="59"/>
  <c r="AA9" i="59"/>
  <c r="AA10" i="59"/>
  <c r="X11" i="59"/>
  <c r="X9" i="59"/>
  <c r="Y12" i="59"/>
  <c r="Z12" i="59" s="1"/>
  <c r="AB12" i="59"/>
  <c r="B14" i="59"/>
  <c r="B15" i="59" s="1"/>
  <c r="B16" i="59" s="1"/>
  <c r="S16" i="59" s="1"/>
  <c r="X13" i="59"/>
  <c r="AA14" i="59"/>
  <c r="Y16" i="59"/>
  <c r="Z16" i="59" s="1"/>
  <c r="E18" i="59"/>
  <c r="E19" i="59" s="1"/>
  <c r="E20" i="59" s="1"/>
  <c r="U20" i="59" s="1"/>
  <c r="AA17" i="59"/>
  <c r="Y18" i="59"/>
  <c r="Z18" i="59" s="1"/>
  <c r="N48" i="59"/>
  <c r="B47" i="59"/>
  <c r="AJ12" i="46"/>
  <c r="AJ13" i="46" s="1"/>
  <c r="D23" i="15"/>
  <c r="B54" i="46"/>
  <c r="C27" i="40"/>
  <c r="S27" i="40"/>
  <c r="S21" i="34"/>
  <c r="S18" i="35"/>
  <c r="AB14" i="59"/>
  <c r="AB13" i="59"/>
  <c r="AH10" i="46"/>
  <c r="AH12" i="46"/>
  <c r="AH13" i="46" s="1"/>
  <c r="AD10" i="46"/>
  <c r="AD12" i="46"/>
  <c r="N1" i="65"/>
  <c r="H1" i="65"/>
  <c r="K76" i="9"/>
  <c r="K77" i="9" s="1"/>
  <c r="K79" i="9" s="1"/>
  <c r="K81" i="9" s="1"/>
  <c r="W31" i="31"/>
  <c r="B31" i="31" s="1"/>
  <c r="V32" i="31"/>
  <c r="W32" i="31" s="1"/>
  <c r="B32" i="31" s="1"/>
  <c r="F32" i="70"/>
  <c r="F59" i="70" s="1"/>
  <c r="M18" i="70"/>
  <c r="E120" i="39"/>
  <c r="F120" i="39" s="1"/>
  <c r="G120" i="39" s="1"/>
  <c r="H120" i="39" s="1"/>
  <c r="I120" i="39" s="1"/>
  <c r="J120" i="39" s="1"/>
  <c r="F28" i="70"/>
  <c r="C28" i="70" s="1"/>
  <c r="J51" i="70"/>
  <c r="P62" i="70"/>
  <c r="M23" i="15"/>
  <c r="F43" i="15"/>
  <c r="F9" i="15"/>
  <c r="M26" i="15"/>
  <c r="F7" i="15"/>
  <c r="F13" i="70"/>
  <c r="F16" i="15"/>
  <c r="F37" i="70"/>
  <c r="F8" i="15"/>
  <c r="F36" i="15"/>
  <c r="J15" i="70"/>
  <c r="F42" i="15"/>
  <c r="L48" i="15"/>
  <c r="F9" i="70"/>
  <c r="F36" i="70"/>
  <c r="M9" i="70"/>
  <c r="M27" i="70"/>
  <c r="M6" i="70"/>
  <c r="F42" i="70"/>
  <c r="F13" i="15"/>
  <c r="L48" i="70"/>
  <c r="M27" i="15"/>
  <c r="F38" i="70"/>
  <c r="L47" i="70"/>
  <c r="F40" i="15"/>
  <c r="F43" i="70"/>
  <c r="M8" i="70"/>
  <c r="M24" i="70"/>
  <c r="M23" i="70"/>
  <c r="F8" i="70"/>
  <c r="F40" i="70"/>
  <c r="M31" i="44"/>
  <c r="F37" i="15"/>
  <c r="M29" i="70"/>
  <c r="L47" i="15"/>
  <c r="F38" i="15"/>
  <c r="M9" i="15"/>
  <c r="M22" i="70"/>
  <c r="J36" i="70"/>
  <c r="F6" i="70"/>
  <c r="F26" i="70"/>
  <c r="M8" i="15"/>
  <c r="M28" i="70"/>
  <c r="F16" i="70"/>
  <c r="M26" i="70"/>
  <c r="M24" i="15"/>
  <c r="F26" i="15"/>
  <c r="F6" i="15"/>
  <c r="M6" i="15"/>
  <c r="C11" i="11" l="1"/>
  <c r="C10" i="11" s="1"/>
  <c r="AD13" i="46"/>
  <c r="L58" i="70"/>
  <c r="L59" i="70"/>
  <c r="C27" i="70"/>
  <c r="Q72" i="70"/>
  <c r="L56" i="70"/>
  <c r="L60" i="70"/>
  <c r="L57" i="70"/>
  <c r="F67" i="70"/>
  <c r="F70" i="15"/>
  <c r="C6" i="15"/>
  <c r="F64" i="15"/>
  <c r="F63" i="15"/>
  <c r="L58" i="15"/>
  <c r="L59" i="15"/>
  <c r="F50" i="70"/>
  <c r="F63" i="70"/>
  <c r="F64" i="70"/>
  <c r="F70" i="70"/>
  <c r="F65" i="70"/>
  <c r="F67" i="15"/>
  <c r="C27" i="15"/>
  <c r="M7" i="15"/>
  <c r="F49" i="15"/>
  <c r="J6" i="15"/>
  <c r="J57" i="15"/>
  <c r="J55" i="15" s="1"/>
  <c r="J58" i="15" s="1"/>
  <c r="Q51" i="15" s="1"/>
  <c r="J59" i="15"/>
  <c r="L60" i="15"/>
  <c r="I54" i="15"/>
  <c r="L56" i="15"/>
  <c r="L57" i="15"/>
  <c r="J53" i="15"/>
  <c r="J60" i="15"/>
  <c r="Q49" i="15" s="1"/>
  <c r="F65" i="15"/>
  <c r="F50" i="15"/>
  <c r="C11" i="59"/>
  <c r="D10" i="59"/>
  <c r="E14" i="31"/>
  <c r="F122" i="39"/>
  <c r="AC9" i="36"/>
  <c r="W9" i="36"/>
  <c r="U12" i="33"/>
  <c r="AB12" i="33"/>
  <c r="S43" i="21"/>
  <c r="AA43" i="21"/>
  <c r="S32" i="21"/>
  <c r="AA32" i="21"/>
  <c r="W40" i="21"/>
  <c r="AC40" i="21"/>
  <c r="AB9" i="21"/>
  <c r="U9" i="21"/>
  <c r="AA19" i="21"/>
  <c r="S19" i="21"/>
  <c r="AA26" i="33"/>
  <c r="S26" i="33"/>
  <c r="AC34" i="36"/>
  <c r="W34" i="36"/>
  <c r="S34" i="36"/>
  <c r="AA34" i="36"/>
  <c r="AC13" i="21"/>
  <c r="W13" i="21"/>
  <c r="W27" i="21"/>
  <c r="AC27" i="21"/>
  <c r="U29" i="21"/>
  <c r="AB29" i="21"/>
  <c r="AB31" i="21"/>
  <c r="U31" i="21"/>
  <c r="S45" i="21"/>
  <c r="AA45" i="21"/>
  <c r="S13" i="36"/>
  <c r="AA13" i="36"/>
  <c r="AC14" i="33"/>
  <c r="W14" i="33"/>
  <c r="W30" i="33"/>
  <c r="AC30" i="33"/>
  <c r="AA40" i="21"/>
  <c r="S40" i="21"/>
  <c r="U12" i="34"/>
  <c r="AB12" i="34"/>
  <c r="S14" i="34"/>
  <c r="AA14" i="34"/>
  <c r="S30" i="34"/>
  <c r="AA30" i="34"/>
  <c r="AA32" i="34"/>
  <c r="S32" i="34"/>
  <c r="S46" i="34"/>
  <c r="AA46" i="34"/>
  <c r="AA33" i="36"/>
  <c r="S33" i="36"/>
  <c r="AB34" i="39"/>
  <c r="U34" i="39"/>
  <c r="U33" i="39"/>
  <c r="AB33" i="39"/>
  <c r="W37" i="21"/>
  <c r="AC37" i="21"/>
  <c r="AB17" i="21"/>
  <c r="U17" i="21"/>
  <c r="AB19" i="21"/>
  <c r="U19" i="21"/>
  <c r="AA7" i="36"/>
  <c r="R36" i="36" s="1"/>
  <c r="S7" i="36"/>
  <c r="AA7" i="37"/>
  <c r="R42" i="37" s="1"/>
  <c r="S7" i="37"/>
  <c r="E104" i="46"/>
  <c r="E106" i="46"/>
  <c r="E105" i="46"/>
  <c r="E109" i="46"/>
  <c r="E103" i="46"/>
  <c r="E107" i="46"/>
  <c r="E102" i="46"/>
  <c r="D102" i="46"/>
  <c r="D104" i="46"/>
  <c r="D109" i="46"/>
  <c r="D103" i="46"/>
  <c r="D106" i="46"/>
  <c r="D105" i="46"/>
  <c r="D107" i="46"/>
  <c r="H104" i="46"/>
  <c r="H105" i="46"/>
  <c r="H106" i="46"/>
  <c r="H109" i="46"/>
  <c r="H102" i="46"/>
  <c r="H107"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F107" i="46"/>
  <c r="F106" i="46"/>
  <c r="F105" i="46"/>
  <c r="F102" i="46"/>
  <c r="F103" i="46"/>
  <c r="F104" i="46"/>
  <c r="H6" i="3"/>
  <c r="AC6" i="3"/>
  <c r="F109" i="46"/>
  <c r="S7" i="35"/>
  <c r="AA7" i="35"/>
  <c r="R38" i="35" s="1"/>
  <c r="AB7" i="35"/>
  <c r="T38" i="35" s="1"/>
  <c r="G38" i="35" s="1"/>
  <c r="U7" i="35"/>
  <c r="J7" i="36"/>
  <c r="H7" i="36"/>
  <c r="Q75" i="44"/>
  <c r="Q62" i="44"/>
  <c r="F1" i="44"/>
  <c r="Q54" i="44"/>
  <c r="J59" i="70"/>
  <c r="J60" i="70"/>
  <c r="Q49" i="70" s="1"/>
  <c r="J53" i="70"/>
  <c r="J57" i="70"/>
  <c r="J55" i="70" s="1"/>
  <c r="J58" i="70" s="1"/>
  <c r="Q51" i="70" s="1"/>
  <c r="I54" i="70"/>
  <c r="N47" i="59"/>
  <c r="B46" i="59"/>
  <c r="E16" i="31"/>
  <c r="F126" i="39"/>
  <c r="AB24" i="36"/>
  <c r="U24" i="36"/>
  <c r="AA9" i="36"/>
  <c r="S9" i="36"/>
  <c r="S12" i="33"/>
  <c r="AA12" i="33"/>
  <c r="AB43" i="21"/>
  <c r="U43" i="21"/>
  <c r="S36" i="21"/>
  <c r="AA36" i="21"/>
  <c r="AC9" i="21"/>
  <c r="W9" i="21"/>
  <c r="U36" i="21"/>
  <c r="AB36" i="21"/>
  <c r="AA24" i="36"/>
  <c r="S24" i="36"/>
  <c r="U26" i="33"/>
  <c r="AB26" i="33"/>
  <c r="AA13" i="21"/>
  <c r="S13" i="21"/>
  <c r="AA27" i="21"/>
  <c r="S27" i="21"/>
  <c r="S29" i="21"/>
  <c r="AA29" i="21"/>
  <c r="S31" i="21"/>
  <c r="AA31" i="21"/>
  <c r="U45" i="21"/>
  <c r="AB45" i="21"/>
  <c r="AC13" i="36"/>
  <c r="W13" i="36"/>
  <c r="AA14" i="33"/>
  <c r="S14" i="33"/>
  <c r="AA30" i="33"/>
  <c r="S30" i="33"/>
  <c r="S36" i="35"/>
  <c r="AA36" i="35"/>
  <c r="S12" i="34"/>
  <c r="AA12" i="34"/>
  <c r="U14" i="34"/>
  <c r="AB14" i="34"/>
  <c r="AC30" i="34"/>
  <c r="W30" i="34"/>
  <c r="W32" i="34"/>
  <c r="AC32" i="34"/>
  <c r="AC46" i="34"/>
  <c r="W46" i="34"/>
  <c r="U33" i="36"/>
  <c r="AB33" i="36"/>
  <c r="AC34" i="39"/>
  <c r="W34" i="39"/>
  <c r="AA34" i="39"/>
  <c r="S34" i="39"/>
  <c r="W33" i="39"/>
  <c r="AC33" i="39"/>
  <c r="S33" i="39"/>
  <c r="AA33" i="39"/>
  <c r="U37" i="21"/>
  <c r="AB37" i="21"/>
  <c r="S37" i="21"/>
  <c r="AA37" i="21"/>
  <c r="AC17" i="21"/>
  <c r="W17" i="21"/>
  <c r="S17" i="21"/>
  <c r="AA17" i="21"/>
  <c r="W19" i="21"/>
  <c r="AC19" i="21"/>
  <c r="M8" i="1"/>
  <c r="H16" i="1"/>
  <c r="G16" i="1"/>
  <c r="Q16" i="1"/>
  <c r="P6" i="1"/>
  <c r="AZ5" i="3"/>
  <c r="E65" i="39"/>
  <c r="E68" i="39" s="1"/>
  <c r="E60" i="40"/>
  <c r="S7" i="34"/>
  <c r="AA7" i="34"/>
  <c r="R49" i="34" s="1"/>
  <c r="AB7" i="37"/>
  <c r="T42" i="37" s="1"/>
  <c r="G42" i="37" s="1"/>
  <c r="U7" i="37"/>
  <c r="E53" i="33"/>
  <c r="F53" i="33" s="1"/>
  <c r="E52" i="33"/>
  <c r="F52" i="33" s="1"/>
  <c r="AP16" i="1"/>
  <c r="F22" i="11" s="1"/>
  <c r="L102" i="46"/>
  <c r="L105" i="46"/>
  <c r="L104" i="46"/>
  <c r="L106" i="46"/>
  <c r="L107" i="46"/>
  <c r="L109" i="46"/>
  <c r="L103" i="46"/>
  <c r="K109" i="46"/>
  <c r="K105" i="46"/>
  <c r="K107" i="46"/>
  <c r="K103" i="46"/>
  <c r="K104" i="46"/>
  <c r="K102" i="46"/>
  <c r="K106" i="46"/>
  <c r="I102" i="46"/>
  <c r="I109" i="46"/>
  <c r="I107" i="46"/>
  <c r="I105" i="46"/>
  <c r="I104" i="46"/>
  <c r="I103" i="46"/>
  <c r="I106" i="46"/>
  <c r="M104" i="46"/>
  <c r="M103" i="46"/>
  <c r="M105" i="46"/>
  <c r="M107" i="46"/>
  <c r="M102" i="46"/>
  <c r="M109" i="46"/>
  <c r="M106" i="46"/>
  <c r="D22" i="46"/>
  <c r="C106" i="46"/>
  <c r="C105" i="46"/>
  <c r="C104" i="46"/>
  <c r="C102" i="46"/>
  <c r="C107" i="46"/>
  <c r="C109" i="46"/>
  <c r="C103" i="46"/>
  <c r="J109" i="46"/>
  <c r="J104" i="46"/>
  <c r="J103" i="46"/>
  <c r="J102" i="46"/>
  <c r="J105" i="46"/>
  <c r="J107" i="46"/>
  <c r="J106" i="46"/>
  <c r="N109" i="46"/>
  <c r="N105" i="46"/>
  <c r="N102" i="46"/>
  <c r="N107" i="46"/>
  <c r="N103" i="46"/>
  <c r="N104" i="46"/>
  <c r="N106" i="46"/>
  <c r="J11" i="21"/>
  <c r="H11" i="21"/>
  <c r="F11" i="2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K19" i="6"/>
  <c r="K20" i="6"/>
  <c r="K14" i="1"/>
  <c r="M14" i="1" s="1"/>
  <c r="AB7" i="34"/>
  <c r="T49" i="34" s="1"/>
  <c r="G49" i="34" s="1"/>
  <c r="U7" i="34"/>
  <c r="AC7" i="34"/>
  <c r="V49" i="34" s="1"/>
  <c r="I49" i="34" s="1"/>
  <c r="W7" i="34"/>
  <c r="W7" i="37"/>
  <c r="AC7" i="37"/>
  <c r="V42" i="37" s="1"/>
  <c r="I42" i="37" s="1"/>
  <c r="I53" i="33"/>
  <c r="J53" i="33" s="1"/>
  <c r="F67" i="40"/>
  <c r="G65" i="40"/>
  <c r="F72" i="39"/>
  <c r="G70" i="39"/>
  <c r="AC7" i="35"/>
  <c r="V38" i="35" s="1"/>
  <c r="I38" i="35" s="1"/>
  <c r="W7" i="35"/>
  <c r="BL5" i="3"/>
  <c r="Q63" i="44"/>
  <c r="Q76" i="44"/>
  <c r="I5" i="65"/>
  <c r="C16" i="15"/>
  <c r="J5" i="65"/>
  <c r="N4" i="65"/>
  <c r="N3" i="65"/>
  <c r="I4" i="65"/>
  <c r="C18" i="44"/>
  <c r="I6" i="65"/>
  <c r="J3" i="65"/>
  <c r="I7" i="65"/>
  <c r="J6" i="65"/>
  <c r="C16" i="70"/>
  <c r="N5" i="65"/>
  <c r="J4" i="65"/>
  <c r="F9" i="44"/>
  <c r="N7" i="65"/>
  <c r="N6" i="65"/>
  <c r="F7" i="70"/>
  <c r="J7" i="65"/>
  <c r="I3" i="65"/>
  <c r="C8" i="44" l="1"/>
  <c r="M9" i="44"/>
  <c r="J8" i="44" s="1"/>
  <c r="F3" i="35"/>
  <c r="E6" i="3"/>
  <c r="L46" i="70"/>
  <c r="M7" i="70"/>
  <c r="J6" i="70" s="1"/>
  <c r="F49" i="70"/>
  <c r="C48" i="70" s="1"/>
  <c r="C6" i="70"/>
  <c r="J1" i="65"/>
  <c r="E20" i="46"/>
  <c r="C4" i="65"/>
  <c r="B39" i="1" s="1"/>
  <c r="I42" i="35"/>
  <c r="J42" i="35" s="1"/>
  <c r="I46" i="37"/>
  <c r="J46" i="37" s="1"/>
  <c r="O14" i="1"/>
  <c r="P14" i="1" s="1"/>
  <c r="S6" i="1"/>
  <c r="M19" i="6"/>
  <c r="K27" i="6"/>
  <c r="M21" i="6"/>
  <c r="I21" i="6" s="1"/>
  <c r="S21" i="6" s="1"/>
  <c r="S8" i="1"/>
  <c r="S11" i="21"/>
  <c r="AA11" i="21"/>
  <c r="R48" i="21" s="1"/>
  <c r="AC11" i="21"/>
  <c r="W11" i="21"/>
  <c r="R50" i="34"/>
  <c r="E49" i="34"/>
  <c r="E3" i="6"/>
  <c r="F2" i="69" s="1"/>
  <c r="AY6" i="3"/>
  <c r="K16" i="1"/>
  <c r="V48" i="21"/>
  <c r="I48" i="21" s="1"/>
  <c r="AB7" i="36"/>
  <c r="T36" i="36" s="1"/>
  <c r="G36" i="36" s="1"/>
  <c r="U7" i="36"/>
  <c r="R43" i="37"/>
  <c r="E42" i="37"/>
  <c r="E36" i="36"/>
  <c r="R37" i="36"/>
  <c r="F14" i="31"/>
  <c r="G122" i="39"/>
  <c r="F41" i="39"/>
  <c r="H41" i="39"/>
  <c r="J41" i="39"/>
  <c r="C12" i="59"/>
  <c r="D11" i="59"/>
  <c r="C48" i="15"/>
  <c r="L46" i="15"/>
  <c r="F1" i="15"/>
  <c r="Q53" i="15"/>
  <c r="Q58" i="15"/>
  <c r="Q67" i="15"/>
  <c r="Q74" i="15"/>
  <c r="Q61" i="15"/>
  <c r="Q58" i="70"/>
  <c r="Q67" i="70"/>
  <c r="Q61" i="70"/>
  <c r="Q74" i="70"/>
  <c r="G72" i="39"/>
  <c r="H70" i="39"/>
  <c r="H65" i="40"/>
  <c r="G67" i="40"/>
  <c r="I53" i="34"/>
  <c r="J53" i="34" s="1"/>
  <c r="I54" i="34"/>
  <c r="J54" i="34" s="1"/>
  <c r="G54" i="34"/>
  <c r="H54" i="34" s="1"/>
  <c r="G53" i="34"/>
  <c r="H53" i="34" s="1"/>
  <c r="M20" i="6"/>
  <c r="I20" i="6" s="1"/>
  <c r="S20" i="6" s="1"/>
  <c r="S7" i="1"/>
  <c r="AB11" i="21"/>
  <c r="U11" i="21"/>
  <c r="G47" i="37"/>
  <c r="H47" i="37" s="1"/>
  <c r="G46" i="37"/>
  <c r="H46" i="37" s="1"/>
  <c r="C15" i="12"/>
  <c r="F33" i="12"/>
  <c r="C34" i="12" s="1"/>
  <c r="D33" i="12" s="1"/>
  <c r="F18" i="11"/>
  <c r="C18" i="11" s="1"/>
  <c r="F24" i="43"/>
  <c r="C26" i="43" s="1"/>
  <c r="D24" i="43" s="1"/>
  <c r="J12" i="40"/>
  <c r="H12" i="40"/>
  <c r="F12" i="40"/>
  <c r="J12" i="39"/>
  <c r="H12" i="39"/>
  <c r="F12" i="39"/>
  <c r="O8" i="1"/>
  <c r="O16" i="1" s="1"/>
  <c r="M16" i="1"/>
  <c r="F16" i="31"/>
  <c r="G126" i="39"/>
  <c r="N45" i="59"/>
  <c r="N46" i="59"/>
  <c r="Q53" i="70"/>
  <c r="F1" i="70"/>
  <c r="W7" i="36"/>
  <c r="AC7" i="36"/>
  <c r="V36" i="36" s="1"/>
  <c r="I36" i="36" s="1"/>
  <c r="G43" i="35"/>
  <c r="H43" i="35" s="1"/>
  <c r="G42" i="35"/>
  <c r="H42" i="35" s="1"/>
  <c r="R39" i="35"/>
  <c r="E38" i="35"/>
  <c r="C115" i="46"/>
  <c r="D113" i="46" s="1"/>
  <c r="T48" i="21"/>
  <c r="G48" i="21" s="1"/>
  <c r="M36" i="31"/>
  <c r="M25" i="31"/>
  <c r="Q75" i="15"/>
  <c r="Q62" i="15"/>
  <c r="Q75" i="70"/>
  <c r="Q62" i="70"/>
  <c r="AE8" i="1"/>
  <c r="F41" i="70"/>
  <c r="C17" i="15"/>
  <c r="C17" i="70"/>
  <c r="E2" i="65"/>
  <c r="C19" i="44"/>
  <c r="E3" i="65"/>
  <c r="AE7" i="1"/>
  <c r="F46" i="44"/>
  <c r="B40" i="1" l="1"/>
  <c r="F24" i="15" s="1"/>
  <c r="C24" i="15" s="1"/>
  <c r="F17" i="11"/>
  <c r="C17" i="11" s="1"/>
  <c r="C19" i="11" s="1"/>
  <c r="F68" i="70"/>
  <c r="G52" i="21"/>
  <c r="H52" i="21" s="1"/>
  <c r="G53" i="21"/>
  <c r="H53" i="21" s="1"/>
  <c r="C38" i="35"/>
  <c r="C39" i="35"/>
  <c r="B3" i="35" s="1"/>
  <c r="B2" i="35" s="1"/>
  <c r="P8" i="1"/>
  <c r="P16" i="1" s="1"/>
  <c r="C13" i="12" s="1"/>
  <c r="S12" i="39"/>
  <c r="AA12" i="39"/>
  <c r="W12" i="39"/>
  <c r="AC12" i="39"/>
  <c r="U12" i="40"/>
  <c r="AB12" i="40"/>
  <c r="I65" i="40"/>
  <c r="H67" i="40"/>
  <c r="T12" i="59"/>
  <c r="D12" i="59"/>
  <c r="M20" i="46" s="1"/>
  <c r="C19" i="46" s="1"/>
  <c r="AB41" i="39"/>
  <c r="U41" i="39"/>
  <c r="G14" i="31"/>
  <c r="H122" i="39"/>
  <c r="I122" i="39" s="1"/>
  <c r="J122" i="39" s="1"/>
  <c r="K122" i="39" s="1"/>
  <c r="L122" i="39" s="1"/>
  <c r="M122" i="39" s="1"/>
  <c r="C36" i="36"/>
  <c r="C37" i="36"/>
  <c r="B3" i="36" s="1"/>
  <c r="B2" i="36" s="1"/>
  <c r="E46" i="37"/>
  <c r="F46" i="37" s="1"/>
  <c r="E47" i="37"/>
  <c r="F47" i="37" s="1"/>
  <c r="G41" i="36"/>
  <c r="H41" i="36" s="1"/>
  <c r="G40" i="36"/>
  <c r="H40" i="36" s="1"/>
  <c r="D16" i="12"/>
  <c r="L38" i="9"/>
  <c r="D46" i="9"/>
  <c r="D16" i="43"/>
  <c r="C16" i="43" s="1"/>
  <c r="C21" i="4"/>
  <c r="O5" i="54" s="1"/>
  <c r="B45" i="63" s="1"/>
  <c r="D10" i="11"/>
  <c r="B14" i="66"/>
  <c r="B1" i="66" s="1"/>
  <c r="B24" i="31"/>
  <c r="E6" i="6"/>
  <c r="C50" i="34"/>
  <c r="B3" i="34" s="1"/>
  <c r="B2" i="34" s="1"/>
  <c r="C49" i="34"/>
  <c r="M27" i="6"/>
  <c r="I19" i="6"/>
  <c r="I47" i="37"/>
  <c r="J47" i="37" s="1"/>
  <c r="F11" i="15"/>
  <c r="M11" i="15"/>
  <c r="J10" i="15" s="1"/>
  <c r="J5" i="15" s="1"/>
  <c r="F11" i="70"/>
  <c r="M11" i="70"/>
  <c r="J10" i="70" s="1"/>
  <c r="F13" i="44"/>
  <c r="C12" i="44" s="1"/>
  <c r="C7" i="44" s="1"/>
  <c r="M13" i="44"/>
  <c r="J12" i="44" s="1"/>
  <c r="J7" i="44" s="1"/>
  <c r="E43" i="35"/>
  <c r="F43" i="35" s="1"/>
  <c r="E42" i="35"/>
  <c r="F42" i="35" s="1"/>
  <c r="I41" i="36"/>
  <c r="J41" i="36" s="1"/>
  <c r="I40" i="36"/>
  <c r="J40" i="36" s="1"/>
  <c r="G16" i="31"/>
  <c r="H126" i="39"/>
  <c r="H43" i="39"/>
  <c r="J43" i="39"/>
  <c r="F43" i="39"/>
  <c r="N16" i="1"/>
  <c r="C29" i="43" s="1"/>
  <c r="L16" i="1"/>
  <c r="C13" i="43"/>
  <c r="AB12" i="39"/>
  <c r="U12" i="39"/>
  <c r="S12" i="40"/>
  <c r="AA12" i="40"/>
  <c r="AC12" i="40"/>
  <c r="W12" i="40"/>
  <c r="H72" i="39"/>
  <c r="I70" i="39"/>
  <c r="AC41" i="39"/>
  <c r="W41" i="39"/>
  <c r="AA41" i="39"/>
  <c r="S41" i="39"/>
  <c r="M29" i="31"/>
  <c r="M31" i="31"/>
  <c r="M35" i="31"/>
  <c r="M37" i="31"/>
  <c r="M39" i="31"/>
  <c r="M41" i="31"/>
  <c r="M32" i="31"/>
  <c r="M40"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7"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30" i="31"/>
  <c r="M34" i="31"/>
  <c r="M38"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461" i="31"/>
  <c r="M465" i="31"/>
  <c r="M469" i="31"/>
  <c r="M473" i="31"/>
  <c r="M477" i="31"/>
  <c r="M481" i="31"/>
  <c r="M485" i="31"/>
  <c r="M489" i="31"/>
  <c r="M493" i="31"/>
  <c r="M497" i="31"/>
  <c r="M501" i="31"/>
  <c r="M505" i="31"/>
  <c r="M509" i="31"/>
  <c r="M513" i="31"/>
  <c r="M517" i="31"/>
  <c r="M521" i="31"/>
  <c r="M459" i="31"/>
  <c r="M463" i="31"/>
  <c r="M467" i="31"/>
  <c r="M471" i="31"/>
  <c r="M475" i="31"/>
  <c r="M479" i="31"/>
  <c r="M483" i="31"/>
  <c r="M487" i="31"/>
  <c r="M491" i="31"/>
  <c r="M495" i="31"/>
  <c r="M499" i="31"/>
  <c r="M503" i="31"/>
  <c r="M507" i="31"/>
  <c r="M511" i="31"/>
  <c r="M515" i="31"/>
  <c r="M519" i="31"/>
  <c r="M523" i="31"/>
  <c r="M28" i="31"/>
  <c r="M26" i="31"/>
  <c r="M27" i="31"/>
  <c r="M33" i="31"/>
  <c r="E40" i="36"/>
  <c r="F40" i="36" s="1"/>
  <c r="E41" i="36"/>
  <c r="F41" i="36" s="1"/>
  <c r="C42" i="37"/>
  <c r="C43" i="37"/>
  <c r="B3" i="37" s="1"/>
  <c r="B2" i="37" s="1"/>
  <c r="I52" i="21"/>
  <c r="J52" i="21" s="1"/>
  <c r="AY45" i="3"/>
  <c r="BS6" i="3"/>
  <c r="AY250" i="3"/>
  <c r="AY225" i="3"/>
  <c r="AY342" i="3"/>
  <c r="AY425" i="3"/>
  <c r="AY395" i="3"/>
  <c r="AY86" i="3"/>
  <c r="AY198" i="3"/>
  <c r="AY267" i="3"/>
  <c r="AY360" i="3"/>
  <c r="AY370" i="3"/>
  <c r="AY77" i="3"/>
  <c r="AY157" i="3"/>
  <c r="AY283" i="3"/>
  <c r="AY230" i="3"/>
  <c r="AY322" i="3"/>
  <c r="AY14" i="3"/>
  <c r="AY438" i="3"/>
  <c r="AY431" i="3"/>
  <c r="AY407" i="3"/>
  <c r="AY152" i="3"/>
  <c r="AY315" i="3"/>
  <c r="BH6" i="3"/>
  <c r="AY194" i="3"/>
  <c r="AY494" i="3"/>
  <c r="AY321" i="3"/>
  <c r="AY128" i="3"/>
  <c r="AY532" i="3"/>
  <c r="AY33" i="3"/>
  <c r="AY389" i="3"/>
  <c r="BN6" i="3"/>
  <c r="AY240" i="3"/>
  <c r="AY408" i="3"/>
  <c r="AY501" i="3"/>
  <c r="AY553" i="3"/>
  <c r="AY108" i="3"/>
  <c r="AY141" i="3"/>
  <c r="AY416" i="3"/>
  <c r="BP6" i="3"/>
  <c r="AY248" i="3"/>
  <c r="AY400" i="3"/>
  <c r="AY504" i="3"/>
  <c r="AY554" i="3"/>
  <c r="AY20" i="3"/>
  <c r="AY200" i="3"/>
  <c r="AY209" i="3"/>
  <c r="AY481" i="3"/>
  <c r="AY79" i="3"/>
  <c r="AY175" i="3"/>
  <c r="AY300" i="3"/>
  <c r="AY91" i="3"/>
  <c r="AY154" i="3"/>
  <c r="AY352" i="3"/>
  <c r="AY448" i="3"/>
  <c r="AY359" i="3"/>
  <c r="AY376" i="3"/>
  <c r="AY329" i="3"/>
  <c r="AY186" i="3"/>
  <c r="AY345" i="3"/>
  <c r="AY560" i="3"/>
  <c r="AY64" i="3"/>
  <c r="AY484" i="3"/>
  <c r="AY224" i="3"/>
  <c r="AY564" i="3"/>
  <c r="AY498" i="3"/>
  <c r="AY69" i="3"/>
  <c r="AY286" i="3"/>
  <c r="AY441" i="3"/>
  <c r="AY61" i="3"/>
  <c r="AY236" i="3"/>
  <c r="AY476" i="3"/>
  <c r="AY214" i="3"/>
  <c r="AY469" i="3"/>
  <c r="AY503" i="3"/>
  <c r="AY363" i="3"/>
  <c r="AY271" i="3"/>
  <c r="AY206" i="3"/>
  <c r="AY165" i="3"/>
  <c r="AY404" i="3"/>
  <c r="AY470" i="3"/>
  <c r="AY515" i="3"/>
  <c r="AY178" i="3"/>
  <c r="AY455" i="3"/>
  <c r="AY424" i="3"/>
  <c r="AY540" i="3"/>
  <c r="AY229" i="3"/>
  <c r="AY533" i="3"/>
  <c r="AY18" i="3"/>
  <c r="AY565" i="3"/>
  <c r="AY13" i="3"/>
  <c r="AY505" i="3"/>
  <c r="BL6" i="3"/>
  <c r="AY538" i="3"/>
  <c r="AY104" i="3"/>
  <c r="AY101" i="3"/>
  <c r="AY65" i="3"/>
  <c r="AY54" i="3"/>
  <c r="AY21" i="3"/>
  <c r="AY84" i="3"/>
  <c r="AY155" i="3"/>
  <c r="AY74" i="3"/>
  <c r="AY53" i="3"/>
  <c r="AY48" i="3"/>
  <c r="AY43" i="3"/>
  <c r="AY75" i="3"/>
  <c r="AY192" i="3"/>
  <c r="AY183" i="3"/>
  <c r="AY161" i="3"/>
  <c r="AY145" i="3"/>
  <c r="AY205" i="3"/>
  <c r="AY127" i="3"/>
  <c r="AY516" i="3"/>
  <c r="AY99" i="3"/>
  <c r="AY93" i="3"/>
  <c r="AY46" i="3"/>
  <c r="AY76" i="3"/>
  <c r="AY58" i="3"/>
  <c r="AY32" i="3"/>
  <c r="AY107" i="3"/>
  <c r="AY176" i="3"/>
  <c r="AY137" i="3"/>
  <c r="AY119" i="3"/>
  <c r="AY218" i="3"/>
  <c r="AY278" i="3"/>
  <c r="AY263" i="3"/>
  <c r="AY235" i="3"/>
  <c r="AY292" i="3"/>
  <c r="AY265" i="3"/>
  <c r="AY233" i="3"/>
  <c r="AY210" i="3"/>
  <c r="AY384" i="3"/>
  <c r="AY385" i="3"/>
  <c r="AY350" i="3"/>
  <c r="AY318" i="3"/>
  <c r="AY362" i="3"/>
  <c r="AY468" i="3"/>
  <c r="AY449" i="3"/>
  <c r="AY417" i="3"/>
  <c r="AY428" i="3"/>
  <c r="AY426" i="3"/>
  <c r="AY398" i="3"/>
  <c r="AY403" i="3"/>
  <c r="AY423" i="3"/>
  <c r="AY480" i="3"/>
  <c r="AY50" i="3"/>
  <c r="AY56" i="3"/>
  <c r="AY171" i="3"/>
  <c r="AY203" i="3"/>
  <c r="AY150" i="3"/>
  <c r="AY182" i="3"/>
  <c r="AY147" i="3"/>
  <c r="AY140" i="3"/>
  <c r="AY382" i="3"/>
  <c r="AY251" i="3"/>
  <c r="AY215" i="3"/>
  <c r="AY287" i="3"/>
  <c r="AY380" i="3"/>
  <c r="AY344" i="3"/>
  <c r="AY325" i="3"/>
  <c r="AY365" i="3"/>
  <c r="AY327" i="3"/>
  <c r="AY561" i="3"/>
  <c r="AY477" i="3"/>
  <c r="AY399" i="3"/>
  <c r="AY464" i="3"/>
  <c r="AY66" i="3"/>
  <c r="AY40" i="3"/>
  <c r="AY71" i="3"/>
  <c r="AY179" i="3"/>
  <c r="AY142" i="3"/>
  <c r="AY117" i="3"/>
  <c r="AY170" i="3"/>
  <c r="AY136" i="3"/>
  <c r="AY266" i="3"/>
  <c r="AY259" i="3"/>
  <c r="AY239" i="3"/>
  <c r="AY295" i="3"/>
  <c r="AY311" i="3"/>
  <c r="AY367" i="3"/>
  <c r="AY349" i="3"/>
  <c r="AY373" i="3"/>
  <c r="AY351" i="3"/>
  <c r="AY316" i="3"/>
  <c r="BK6" i="3"/>
  <c r="AY551" i="3"/>
  <c r="AY460" i="3"/>
  <c r="AY549" i="3"/>
  <c r="AY73" i="3"/>
  <c r="AY63" i="3"/>
  <c r="AY51" i="3"/>
  <c r="AY169" i="3"/>
  <c r="AY116" i="3"/>
  <c r="AY270" i="3"/>
  <c r="AY227" i="3"/>
  <c r="AY257" i="3"/>
  <c r="AY242" i="3"/>
  <c r="AY377" i="3"/>
  <c r="AY347" i="3"/>
  <c r="AY465" i="3"/>
  <c r="AY436" i="3"/>
  <c r="AY390" i="3"/>
  <c r="AY401" i="3"/>
  <c r="AY82" i="3"/>
  <c r="AY31" i="3"/>
  <c r="AY156" i="3"/>
  <c r="AY162" i="3"/>
  <c r="AY296" i="3"/>
  <c r="AY231" i="3"/>
  <c r="AY303" i="3"/>
  <c r="AY341" i="3"/>
  <c r="AY343" i="3"/>
  <c r="AY543" i="3"/>
  <c r="AY451" i="3"/>
  <c r="AY102" i="3"/>
  <c r="AY195" i="3"/>
  <c r="AY133" i="3"/>
  <c r="AY123" i="3"/>
  <c r="AY273" i="3"/>
  <c r="AY280" i="3"/>
  <c r="AY383" i="3"/>
  <c r="AY308" i="3"/>
  <c r="AY306" i="3"/>
  <c r="AY16" i="3"/>
  <c r="AY421" i="3"/>
  <c r="AY458" i="3"/>
  <c r="AY406" i="3"/>
  <c r="AY439" i="3"/>
  <c r="AY556" i="3"/>
  <c r="AY413" i="3"/>
  <c r="AY430" i="3"/>
  <c r="AY279" i="3"/>
  <c r="AY189" i="3"/>
  <c r="BC6" i="3"/>
  <c r="AY443" i="3"/>
  <c r="AY337" i="3"/>
  <c r="AY144" i="3"/>
  <c r="AY202" i="3"/>
  <c r="AY44" i="3"/>
  <c r="AY254" i="3"/>
  <c r="AY158" i="3"/>
  <c r="AY544" i="3"/>
  <c r="AY573" i="3"/>
  <c r="AY353" i="3"/>
  <c r="AY309" i="3"/>
  <c r="AY331" i="3"/>
  <c r="AY502" i="3"/>
  <c r="AY36" i="3"/>
  <c r="AY529" i="3"/>
  <c r="AY92" i="3"/>
  <c r="AY100" i="3"/>
  <c r="AY125" i="3"/>
  <c r="AY237" i="3"/>
  <c r="AY450" i="3"/>
  <c r="AY482" i="3"/>
  <c r="AY526" i="3"/>
  <c r="AY517" i="3"/>
  <c r="AY274" i="3"/>
  <c r="AY208" i="3"/>
  <c r="AY429" i="3"/>
  <c r="BD6" i="3"/>
  <c r="AY495" i="3"/>
  <c r="AY511" i="3"/>
  <c r="AY527" i="3"/>
  <c r="AY568" i="3"/>
  <c r="AY567" i="3"/>
  <c r="AY41" i="3"/>
  <c r="AY49" i="3"/>
  <c r="AY277" i="3"/>
  <c r="AY213" i="3"/>
  <c r="AY402" i="3"/>
  <c r="AY19" i="3"/>
  <c r="AY539" i="3"/>
  <c r="AY489" i="3"/>
  <c r="AY282" i="3"/>
  <c r="AY216" i="3"/>
  <c r="AY437" i="3"/>
  <c r="BB6" i="3"/>
  <c r="AY496" i="3"/>
  <c r="AY514" i="3"/>
  <c r="AY535" i="3"/>
  <c r="AY569" i="3"/>
  <c r="AY323" i="3"/>
  <c r="AY62" i="3"/>
  <c r="AY114" i="3"/>
  <c r="AY252" i="3"/>
  <c r="AY268" i="3"/>
  <c r="AY348" i="3"/>
  <c r="AY558" i="3"/>
  <c r="AY452" i="3"/>
  <c r="AY396" i="3"/>
  <c r="AY24" i="3"/>
  <c r="AY193" i="3"/>
  <c r="AY297" i="3"/>
  <c r="AY364" i="3"/>
  <c r="AY346" i="3"/>
  <c r="AY479" i="3"/>
  <c r="AY55" i="3"/>
  <c r="AY190" i="3"/>
  <c r="AY238" i="3"/>
  <c r="AY388" i="3"/>
  <c r="AY354" i="3"/>
  <c r="AY546" i="3"/>
  <c r="AY471" i="3"/>
  <c r="AY419" i="3"/>
  <c r="AY461" i="3"/>
  <c r="AY394" i="3"/>
  <c r="AY174" i="3"/>
  <c r="AY411" i="3"/>
  <c r="AY339" i="3"/>
  <c r="AY340" i="3"/>
  <c r="AY120" i="3"/>
  <c r="AY435" i="3"/>
  <c r="AY313" i="3"/>
  <c r="BO6" i="3"/>
  <c r="AY60" i="3"/>
  <c r="AY57" i="3"/>
  <c r="AY285" i="3"/>
  <c r="AY434" i="3"/>
  <c r="AY534" i="3"/>
  <c r="AY290" i="3"/>
  <c r="AY445" i="3"/>
  <c r="AY491" i="3"/>
  <c r="AY523" i="3"/>
  <c r="AY513" i="3"/>
  <c r="AY80" i="3"/>
  <c r="AY548" i="3"/>
  <c r="AY90" i="3"/>
  <c r="AY94" i="3"/>
  <c r="AY135" i="3"/>
  <c r="AY211" i="3"/>
  <c r="AY307" i="3"/>
  <c r="AY314" i="3"/>
  <c r="AY420" i="3"/>
  <c r="AY456" i="3"/>
  <c r="AY103" i="3"/>
  <c r="AY131" i="3"/>
  <c r="AY262" i="3"/>
  <c r="AY298" i="3"/>
  <c r="AY34" i="3"/>
  <c r="AY126" i="3"/>
  <c r="AY244" i="3"/>
  <c r="AY333" i="3"/>
  <c r="BG6" i="3"/>
  <c r="AY474" i="3"/>
  <c r="AY427" i="3"/>
  <c r="AY463" i="3"/>
  <c r="AY197" i="3"/>
  <c r="AY552" i="3"/>
  <c r="AY374" i="3"/>
  <c r="AY52" i="3"/>
  <c r="AY166" i="3"/>
  <c r="AY542" i="3"/>
  <c r="AY302" i="3"/>
  <c r="AY95" i="3"/>
  <c r="AY571" i="3"/>
  <c r="AY168" i="3"/>
  <c r="AY467" i="3"/>
  <c r="AY512" i="3"/>
  <c r="AY256" i="3"/>
  <c r="AY440" i="3"/>
  <c r="AY497" i="3"/>
  <c r="AY537" i="3"/>
  <c r="AY522" i="3"/>
  <c r="AY181" i="3"/>
  <c r="AY475" i="3"/>
  <c r="BJ6" i="3"/>
  <c r="AY355" i="3"/>
  <c r="AY478" i="3"/>
  <c r="AY483" i="3"/>
  <c r="AY518" i="3"/>
  <c r="BE6" i="3"/>
  <c r="AY293" i="3"/>
  <c r="AY442" i="3"/>
  <c r="AY536" i="3"/>
  <c r="AY122" i="3"/>
  <c r="AY453" i="3"/>
  <c r="AY492" i="3"/>
  <c r="AY524" i="3"/>
  <c r="AY509" i="3"/>
  <c r="D3" i="6"/>
  <c r="AY531" i="3"/>
  <c r="AY487" i="3"/>
  <c r="AY550" i="3"/>
  <c r="AY83" i="3"/>
  <c r="AY88" i="3"/>
  <c r="AY81" i="3"/>
  <c r="AY70" i="3"/>
  <c r="AY38" i="3"/>
  <c r="AY98" i="3"/>
  <c r="AY68" i="3"/>
  <c r="AY89" i="3"/>
  <c r="AY42" i="3"/>
  <c r="AY110" i="3"/>
  <c r="AY59" i="3"/>
  <c r="AY27" i="3"/>
  <c r="AY204" i="3"/>
  <c r="AY199" i="3"/>
  <c r="AY160" i="3"/>
  <c r="AY130" i="3"/>
  <c r="AY129" i="3"/>
  <c r="AY143" i="3"/>
  <c r="AY180" i="3"/>
  <c r="AY530" i="3"/>
  <c r="AY96" i="3"/>
  <c r="AY78" i="3"/>
  <c r="AY106" i="3"/>
  <c r="AY105" i="3"/>
  <c r="AY37" i="3"/>
  <c r="AY35" i="3"/>
  <c r="AY275" i="3"/>
  <c r="AY146" i="3"/>
  <c r="AY151" i="3"/>
  <c r="AY159" i="3"/>
  <c r="AY294" i="3"/>
  <c r="AY260" i="3"/>
  <c r="AY247" i="3"/>
  <c r="AY219" i="3"/>
  <c r="AY276" i="3"/>
  <c r="AY249" i="3"/>
  <c r="AY217" i="3"/>
  <c r="AY291" i="3"/>
  <c r="AY387" i="3"/>
  <c r="AY369" i="3"/>
  <c r="AY334" i="3"/>
  <c r="AY310" i="3"/>
  <c r="AY557" i="3"/>
  <c r="AY473" i="3"/>
  <c r="AY433" i="3"/>
  <c r="AY444" i="3"/>
  <c r="AY412" i="3"/>
  <c r="AY410" i="3"/>
  <c r="AY409" i="3"/>
  <c r="AY393" i="3"/>
  <c r="AY415" i="3"/>
  <c r="AY97" i="3"/>
  <c r="AY29" i="3"/>
  <c r="AY47" i="3"/>
  <c r="AY188" i="3"/>
  <c r="AY172" i="3"/>
  <c r="AY118" i="3"/>
  <c r="AY177" i="3"/>
  <c r="AY115" i="3"/>
  <c r="AY234" i="3"/>
  <c r="AY281" i="3"/>
  <c r="AY220" i="3"/>
  <c r="AY272" i="3"/>
  <c r="AY366" i="3"/>
  <c r="AY375" i="3"/>
  <c r="AY357" i="3"/>
  <c r="AY305" i="3"/>
  <c r="AY330" i="3"/>
  <c r="AY312" i="3"/>
  <c r="AY570" i="3"/>
  <c r="AY446" i="3"/>
  <c r="AY472" i="3"/>
  <c r="AY124" i="3"/>
  <c r="AY39" i="3"/>
  <c r="AY132" i="3"/>
  <c r="AY173" i="3"/>
  <c r="AY149" i="3"/>
  <c r="AY201" i="3"/>
  <c r="AY139" i="3"/>
  <c r="AY184" i="3"/>
  <c r="AY289" i="3"/>
  <c r="AY228" i="3"/>
  <c r="AY207" i="3"/>
  <c r="AY258" i="3"/>
  <c r="AY372" i="3"/>
  <c r="AY336" i="3"/>
  <c r="AY317" i="3"/>
  <c r="AY338" i="3"/>
  <c r="AY319" i="3"/>
  <c r="AY559" i="3"/>
  <c r="AY521" i="3"/>
  <c r="BA6" i="3"/>
  <c r="AY112" i="3"/>
  <c r="AY30" i="3"/>
  <c r="AY26" i="3"/>
  <c r="AY148" i="3"/>
  <c r="AY121" i="3"/>
  <c r="AY255" i="3"/>
  <c r="AY284" i="3"/>
  <c r="AY368" i="3"/>
  <c r="AY562" i="3"/>
  <c r="AY454" i="3"/>
  <c r="AY447" i="3"/>
  <c r="AY167" i="3"/>
  <c r="AY163" i="3"/>
  <c r="AY226" i="3"/>
  <c r="AY381" i="3"/>
  <c r="AY414" i="3"/>
  <c r="AY22" i="3"/>
  <c r="AY185" i="3"/>
  <c r="AY212" i="3"/>
  <c r="AY320" i="3"/>
  <c r="AY563" i="3"/>
  <c r="BQ6" i="3"/>
  <c r="AY397" i="3"/>
  <c r="BT6" i="3"/>
  <c r="AY466" i="3"/>
  <c r="AY379" i="3"/>
  <c r="AY545" i="3"/>
  <c r="AY222" i="3"/>
  <c r="AY324" i="3"/>
  <c r="AY304" i="3"/>
  <c r="AY361" i="3"/>
  <c r="AY246" i="3"/>
  <c r="AY371" i="3"/>
  <c r="AY87" i="3"/>
  <c r="AY28" i="3"/>
  <c r="AY25" i="3"/>
  <c r="AY269" i="3"/>
  <c r="AY432" i="3"/>
  <c r="AY499" i="3"/>
  <c r="AY138" i="3"/>
  <c r="AY457" i="3"/>
  <c r="AY486" i="3"/>
  <c r="AY519" i="3"/>
  <c r="AY566" i="3"/>
  <c r="AY113" i="3"/>
  <c r="AY245" i="3"/>
  <c r="AY459" i="3"/>
  <c r="AY528" i="3"/>
  <c r="AY153" i="3"/>
  <c r="AY462" i="3"/>
  <c r="AY490" i="3"/>
  <c r="AY520" i="3"/>
  <c r="AY547" i="3"/>
  <c r="AY67" i="3"/>
  <c r="AY243" i="3"/>
  <c r="AY326" i="3"/>
  <c r="AY418" i="3"/>
  <c r="AY187" i="3"/>
  <c r="AY288" i="3"/>
  <c r="BF6" i="3"/>
  <c r="AY164" i="3"/>
  <c r="AY223" i="3"/>
  <c r="AY386" i="3"/>
  <c r="AY391" i="3"/>
  <c r="AY493" i="3"/>
  <c r="AY541" i="3"/>
  <c r="AY15" i="3"/>
  <c r="AY485" i="3"/>
  <c r="AY356" i="3"/>
  <c r="AY506" i="3"/>
  <c r="AY221" i="3"/>
  <c r="AY17" i="3"/>
  <c r="BR6" i="3"/>
  <c r="AY507" i="3"/>
  <c r="AY72" i="3"/>
  <c r="AY109" i="3"/>
  <c r="AY191" i="3"/>
  <c r="AY241" i="3"/>
  <c r="AY358" i="3"/>
  <c r="AY405" i="3"/>
  <c r="AY134" i="3"/>
  <c r="AY328" i="3"/>
  <c r="AY85" i="3"/>
  <c r="AY196" i="3"/>
  <c r="AY335" i="3"/>
  <c r="AY422" i="3"/>
  <c r="AY332" i="3"/>
  <c r="AY378" i="3"/>
  <c r="AY111" i="3"/>
  <c r="BI6" i="3"/>
  <c r="AY299" i="3"/>
  <c r="AY488" i="3"/>
  <c r="AY253" i="3"/>
  <c r="AY572" i="3"/>
  <c r="BM6" i="3"/>
  <c r="AY510" i="3"/>
  <c r="AY261" i="3"/>
  <c r="AY555" i="3"/>
  <c r="AY264" i="3"/>
  <c r="AY500" i="3"/>
  <c r="AY525" i="3"/>
  <c r="AY392" i="3"/>
  <c r="AY232" i="3"/>
  <c r="AY508" i="3"/>
  <c r="AY301" i="3"/>
  <c r="E54" i="34"/>
  <c r="F54" i="34" s="1"/>
  <c r="E53" i="34"/>
  <c r="F53" i="34" s="1"/>
  <c r="R49" i="21"/>
  <c r="E48" i="21"/>
  <c r="S16" i="1"/>
  <c r="T6" i="1" s="1"/>
  <c r="I43" i="35"/>
  <c r="J43" i="35" s="1"/>
  <c r="O17" i="46"/>
  <c r="M17" i="46"/>
  <c r="P17" i="46"/>
  <c r="N17" i="46"/>
  <c r="F26" i="12"/>
  <c r="C27" i="12" s="1"/>
  <c r="D26" i="12" s="1"/>
  <c r="C32" i="12" s="1"/>
  <c r="D30" i="12" s="1"/>
  <c r="F24" i="70"/>
  <c r="C24" i="70" s="1"/>
  <c r="F21" i="43"/>
  <c r="C23" i="43" s="1"/>
  <c r="D21" i="43" s="1"/>
  <c r="J5" i="70"/>
  <c r="F41" i="15"/>
  <c r="F26" i="44" l="1"/>
  <c r="C26" i="44" s="1"/>
  <c r="F68" i="15"/>
  <c r="C36" i="46"/>
  <c r="C35" i="46"/>
  <c r="C34" i="46"/>
  <c r="C33" i="46"/>
  <c r="T8" i="46"/>
  <c r="V8" i="46" s="1"/>
  <c r="T12" i="46"/>
  <c r="V12" i="46" s="1"/>
  <c r="T16" i="46"/>
  <c r="V16" i="46" s="1"/>
  <c r="T11" i="46"/>
  <c r="V11" i="46" s="1"/>
  <c r="T15" i="46"/>
  <c r="V15" i="46" s="1"/>
  <c r="C39" i="46"/>
  <c r="E39" i="46" s="1"/>
  <c r="T3" i="46"/>
  <c r="V3" i="46" s="1"/>
  <c r="T6" i="46"/>
  <c r="V6" i="46" s="1"/>
  <c r="T2" i="46"/>
  <c r="V2" i="46" s="1"/>
  <c r="T5" i="46"/>
  <c r="V5" i="46" s="1"/>
  <c r="T10" i="46"/>
  <c r="V10" i="46" s="1"/>
  <c r="T14" i="46"/>
  <c r="V14" i="46" s="1"/>
  <c r="T9" i="46"/>
  <c r="V9" i="46" s="1"/>
  <c r="T13" i="46"/>
  <c r="V13" i="46" s="1"/>
  <c r="C38" i="46"/>
  <c r="C37" i="46"/>
  <c r="C29" i="46"/>
  <c r="T4" i="46"/>
  <c r="V4" i="46" s="1"/>
  <c r="T7" i="46"/>
  <c r="V7" i="46" s="1"/>
  <c r="J24" i="70"/>
  <c r="J26" i="70"/>
  <c r="J29" i="70" s="1"/>
  <c r="J18" i="70"/>
  <c r="T8" i="1"/>
  <c r="E53" i="21"/>
  <c r="F53" i="21" s="1"/>
  <c r="E52" i="21"/>
  <c r="F52" i="21" s="1"/>
  <c r="C14" i="66"/>
  <c r="D21" i="6"/>
  <c r="D10" i="6"/>
  <c r="H21" i="6"/>
  <c r="D6" i="6"/>
  <c r="D14" i="6"/>
  <c r="D8" i="6"/>
  <c r="C40" i="39"/>
  <c r="U24" i="31"/>
  <c r="E63" i="40"/>
  <c r="H19" i="6"/>
  <c r="K38" i="9"/>
  <c r="D24" i="6"/>
  <c r="D26" i="6"/>
  <c r="D22" i="6"/>
  <c r="D11" i="6"/>
  <c r="D12" i="6"/>
  <c r="H20" i="6"/>
  <c r="H25" i="6"/>
  <c r="D9" i="6"/>
  <c r="D5" i="6"/>
  <c r="D29" i="6"/>
  <c r="H22" i="6"/>
  <c r="D15" i="6"/>
  <c r="H26" i="6"/>
  <c r="F46" i="9"/>
  <c r="E46" i="9"/>
  <c r="C22" i="4"/>
  <c r="D19" i="6"/>
  <c r="D25" i="6"/>
  <c r="D13" i="6"/>
  <c r="H24" i="6"/>
  <c r="D23" i="6"/>
  <c r="D28" i="6"/>
  <c r="D30" i="6" s="1"/>
  <c r="D20" i="6"/>
  <c r="H23" i="6"/>
  <c r="I53" i="21"/>
  <c r="J53" i="21" s="1"/>
  <c r="I72" i="39"/>
  <c r="J70" i="39"/>
  <c r="C17" i="43"/>
  <c r="C14" i="43"/>
  <c r="AC43" i="39"/>
  <c r="W43" i="39"/>
  <c r="H16" i="31"/>
  <c r="I126" i="39"/>
  <c r="C40" i="44"/>
  <c r="C34" i="44"/>
  <c r="C52" i="70"/>
  <c r="C47" i="70" s="1"/>
  <c r="C10" i="70"/>
  <c r="C5" i="70" s="1"/>
  <c r="C52" i="15"/>
  <c r="C47" i="15" s="1"/>
  <c r="C10" i="15"/>
  <c r="C5" i="15" s="1"/>
  <c r="D22" i="12"/>
  <c r="C22" i="12" s="1"/>
  <c r="C20" i="12" s="1"/>
  <c r="D13" i="11"/>
  <c r="C13" i="11" s="1"/>
  <c r="C8" i="66"/>
  <c r="C14" i="12"/>
  <c r="C17" i="12"/>
  <c r="C20" i="11"/>
  <c r="C21" i="11" s="1"/>
  <c r="C22" i="11" s="1"/>
  <c r="C23" i="11" s="1"/>
  <c r="B2" i="11" s="1"/>
  <c r="T10" i="1"/>
  <c r="T11" i="1"/>
  <c r="T13" i="1"/>
  <c r="T9" i="1"/>
  <c r="T12" i="1"/>
  <c r="C49" i="21"/>
  <c r="B3" i="21" s="1"/>
  <c r="C48" i="21"/>
  <c r="AA43" i="39"/>
  <c r="S43" i="39"/>
  <c r="U43" i="39"/>
  <c r="AB43" i="39"/>
  <c r="J26" i="44"/>
  <c r="J28" i="44"/>
  <c r="J31" i="44" s="1"/>
  <c r="J20" i="44"/>
  <c r="J26" i="15"/>
  <c r="J29" i="15" s="1"/>
  <c r="J24" i="15"/>
  <c r="J18" i="15"/>
  <c r="S19" i="6"/>
  <c r="S27" i="6" s="1"/>
  <c r="I27" i="6"/>
  <c r="C30" i="31"/>
  <c r="C29" i="31"/>
  <c r="C26" i="31"/>
  <c r="C28" i="31"/>
  <c r="C36" i="31"/>
  <c r="C35" i="31"/>
  <c r="C27" i="31"/>
  <c r="B22" i="31"/>
  <c r="C34" i="31"/>
  <c r="C33" i="31"/>
  <c r="C25" i="31"/>
  <c r="C31" i="31"/>
  <c r="C32" i="31"/>
  <c r="D19" i="12"/>
  <c r="C19" i="12" s="1"/>
  <c r="C16" i="12"/>
  <c r="J65" i="40"/>
  <c r="I67" i="40"/>
  <c r="T7" i="1"/>
  <c r="C16" i="44"/>
  <c r="C14" i="15"/>
  <c r="C14" i="70"/>
  <c r="L52" i="44"/>
  <c r="R25" i="6" l="1"/>
  <c r="R26" i="6"/>
  <c r="C18" i="12"/>
  <c r="C18" i="43"/>
  <c r="C19" i="43" s="1"/>
  <c r="C15" i="15"/>
  <c r="C18" i="15"/>
  <c r="C18" i="70"/>
  <c r="C15" i="70"/>
  <c r="C17" i="44"/>
  <c r="C20" i="44"/>
  <c r="Q69" i="44"/>
  <c r="L58" i="44"/>
  <c r="L61" i="44" s="1"/>
  <c r="L47" i="44" s="1"/>
  <c r="C23" i="12"/>
  <c r="B5" i="11"/>
  <c r="B4" i="11"/>
  <c r="B3" i="11"/>
  <c r="K65" i="40"/>
  <c r="J67" i="40"/>
  <c r="Q67" i="44"/>
  <c r="Q49" i="44"/>
  <c r="Q55" i="44" s="1"/>
  <c r="Q58" i="44"/>
  <c r="C32" i="15"/>
  <c r="C38" i="15"/>
  <c r="C32" i="70"/>
  <c r="C38" i="70"/>
  <c r="J72" i="39"/>
  <c r="K70" i="39"/>
  <c r="R20" i="6"/>
  <c r="R7" i="1" s="1"/>
  <c r="R23" i="6"/>
  <c r="R19" i="6"/>
  <c r="D27" i="6"/>
  <c r="D31" i="6" s="1"/>
  <c r="R22" i="6"/>
  <c r="R24" i="6"/>
  <c r="H27" i="6"/>
  <c r="X24" i="31"/>
  <c r="W24" i="31"/>
  <c r="R21" i="6"/>
  <c r="R8" i="1" s="1"/>
  <c r="F40" i="69"/>
  <c r="E37" i="46"/>
  <c r="G37" i="46"/>
  <c r="I37" i="46" s="1"/>
  <c r="E33" i="46"/>
  <c r="G33" i="46"/>
  <c r="I33" i="46" s="1"/>
  <c r="E35" i="46"/>
  <c r="G35" i="46"/>
  <c r="I35" i="46" s="1"/>
  <c r="B2" i="21"/>
  <c r="C10" i="12" s="1"/>
  <c r="C8" i="12"/>
  <c r="C59" i="15"/>
  <c r="C65" i="15"/>
  <c r="C65" i="70"/>
  <c r="C59" i="70"/>
  <c r="I16" i="31"/>
  <c r="J126" i="39"/>
  <c r="A6" i="51"/>
  <c r="B7" i="63" s="1"/>
  <c r="A20" i="51"/>
  <c r="B15" i="63" s="1"/>
  <c r="A6" i="64"/>
  <c r="A20" i="64"/>
  <c r="N5" i="54"/>
  <c r="B43" i="63" s="1"/>
  <c r="J40" i="39"/>
  <c r="H40" i="39"/>
  <c r="F40" i="39"/>
  <c r="D16" i="6"/>
  <c r="B2" i="66"/>
  <c r="C30" i="46"/>
  <c r="E30" i="46" s="1"/>
  <c r="C27" i="46" s="1"/>
  <c r="E29" i="46"/>
  <c r="G38" i="46"/>
  <c r="I38" i="46" s="1"/>
  <c r="E38" i="46"/>
  <c r="E34" i="46"/>
  <c r="G34" i="46"/>
  <c r="I34" i="46" s="1"/>
  <c r="G36" i="46"/>
  <c r="I36" i="46" s="1"/>
  <c r="E36" i="46"/>
  <c r="T16" i="1"/>
  <c r="F37" i="44"/>
  <c r="F35" i="70"/>
  <c r="M21" i="70"/>
  <c r="F7" i="67"/>
  <c r="F35" i="15"/>
  <c r="M23" i="44"/>
  <c r="M21" i="15"/>
  <c r="C36" i="44" l="1"/>
  <c r="J22" i="44"/>
  <c r="C19" i="70"/>
  <c r="C20" i="70" s="1"/>
  <c r="C26" i="70" s="1"/>
  <c r="C25" i="43"/>
  <c r="C24" i="43" s="1"/>
  <c r="C22" i="43"/>
  <c r="C21" i="43" s="1"/>
  <c r="C21" i="44"/>
  <c r="C22" i="44" s="1"/>
  <c r="C25" i="44" s="1"/>
  <c r="C19" i="15"/>
  <c r="C20" i="15" s="1"/>
  <c r="E4" i="67"/>
  <c r="F62" i="70"/>
  <c r="C61" i="70" s="1"/>
  <c r="C34" i="70"/>
  <c r="J20" i="70"/>
  <c r="J20" i="15"/>
  <c r="F62" i="15"/>
  <c r="C61" i="15" s="1"/>
  <c r="C34" i="15"/>
  <c r="D8" i="66"/>
  <c r="C26" i="46"/>
  <c r="AB40" i="39"/>
  <c r="U40" i="39"/>
  <c r="I6" i="6"/>
  <c r="I5" i="6"/>
  <c r="L70" i="39"/>
  <c r="K72" i="39"/>
  <c r="AA40" i="39"/>
  <c r="S40" i="39"/>
  <c r="AC40" i="39"/>
  <c r="W40" i="39"/>
  <c r="J16" i="31"/>
  <c r="K126" i="39"/>
  <c r="L126" i="39" s="1"/>
  <c r="M126" i="39" s="1"/>
  <c r="R6" i="1"/>
  <c r="R16" i="1" s="1"/>
  <c r="R27" i="6"/>
  <c r="K67" i="40"/>
  <c r="L65" i="40"/>
  <c r="Q59" i="44"/>
  <c r="Q64" i="44" s="1"/>
  <c r="Q68" i="44"/>
  <c r="Q77" i="44" s="1"/>
  <c r="E7" i="67"/>
  <c r="C28" i="43" l="1"/>
  <c r="C30" i="43" s="1"/>
  <c r="C32" i="43" s="1"/>
  <c r="B2" i="43" s="1"/>
  <c r="B5" i="43" s="1"/>
  <c r="C26" i="15"/>
  <c r="C23" i="15"/>
  <c r="E3" i="67"/>
  <c r="M65" i="40"/>
  <c r="L67" i="40"/>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369" i="31"/>
  <c r="O371" i="31"/>
  <c r="O373" i="31"/>
  <c r="O375" i="31"/>
  <c r="O377" i="31"/>
  <c r="O379" i="31"/>
  <c r="O381" i="31"/>
  <c r="O383" i="31"/>
  <c r="O385" i="31"/>
  <c r="O387" i="31"/>
  <c r="O389" i="31"/>
  <c r="O391" i="31"/>
  <c r="O393" i="31"/>
  <c r="O395" i="31"/>
  <c r="O397" i="31"/>
  <c r="O399" i="31"/>
  <c r="O401" i="31"/>
  <c r="O403" i="31"/>
  <c r="O405" i="31"/>
  <c r="O407" i="31"/>
  <c r="O409" i="31"/>
  <c r="O411" i="31"/>
  <c r="O413" i="31"/>
  <c r="O415" i="31"/>
  <c r="O417" i="31"/>
  <c r="O419" i="31"/>
  <c r="O421" i="31"/>
  <c r="O423" i="31"/>
  <c r="O425" i="31"/>
  <c r="O427" i="31"/>
  <c r="O429" i="31"/>
  <c r="O431" i="31"/>
  <c r="O433" i="31"/>
  <c r="O435" i="31"/>
  <c r="O437" i="31"/>
  <c r="O439" i="31"/>
  <c r="O441" i="31"/>
  <c r="O443" i="31"/>
  <c r="O445" i="31"/>
  <c r="O447" i="31"/>
  <c r="O449" i="31"/>
  <c r="O451" i="31"/>
  <c r="O453" i="31"/>
  <c r="O455" i="31"/>
  <c r="O457" i="31"/>
  <c r="O459" i="31"/>
  <c r="O461" i="31"/>
  <c r="O463" i="31"/>
  <c r="O465" i="31"/>
  <c r="O467" i="31"/>
  <c r="O469" i="31"/>
  <c r="O471" i="31"/>
  <c r="O473" i="31"/>
  <c r="O475" i="31"/>
  <c r="O477" i="31"/>
  <c r="O479" i="31"/>
  <c r="O481" i="31"/>
  <c r="O483" i="31"/>
  <c r="O485" i="31"/>
  <c r="O487" i="31"/>
  <c r="O489" i="31"/>
  <c r="O491" i="31"/>
  <c r="O493" i="31"/>
  <c r="O495" i="31"/>
  <c r="O497" i="31"/>
  <c r="O499" i="31"/>
  <c r="O501" i="31"/>
  <c r="O503" i="31"/>
  <c r="O505" i="31"/>
  <c r="O507" i="31"/>
  <c r="O509" i="31"/>
  <c r="O511" i="31"/>
  <c r="O513" i="31"/>
  <c r="O515" i="31"/>
  <c r="O517" i="31"/>
  <c r="O519" i="31"/>
  <c r="O521" i="31"/>
  <c r="O523" i="31"/>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25" i="31"/>
  <c r="O27" i="31"/>
  <c r="O26" i="31"/>
  <c r="O28" i="31"/>
  <c r="M70" i="39"/>
  <c r="L72" i="39"/>
  <c r="B2" i="46"/>
  <c r="C23" i="70"/>
  <c r="C29" i="70" s="1"/>
  <c r="C28" i="44"/>
  <c r="C31" i="44" s="1"/>
  <c r="B7" i="67"/>
  <c r="B3" i="43" l="1"/>
  <c r="B4" i="43"/>
  <c r="C29" i="15"/>
  <c r="C33" i="15" s="1"/>
  <c r="C31" i="15" s="1"/>
  <c r="B2" i="67"/>
  <c r="C56" i="70"/>
  <c r="C33" i="70"/>
  <c r="C31" i="70" s="1"/>
  <c r="J14" i="70"/>
  <c r="Q50" i="70"/>
  <c r="C13" i="70"/>
  <c r="J19" i="70"/>
  <c r="J17" i="70" s="1"/>
  <c r="C36" i="70"/>
  <c r="Q51" i="44"/>
  <c r="C38" i="44"/>
  <c r="C15" i="44"/>
  <c r="J16" i="44"/>
  <c r="C35" i="44"/>
  <c r="C33" i="44" s="1"/>
  <c r="J21" i="44"/>
  <c r="J19" i="44" s="1"/>
  <c r="D4" i="46"/>
  <c r="B4" i="46"/>
  <c r="B3" i="46"/>
  <c r="N70" i="39"/>
  <c r="N72" i="39" s="1"/>
  <c r="M72" i="39"/>
  <c r="N65" i="40"/>
  <c r="N67" i="40" s="1"/>
  <c r="M67" i="40"/>
  <c r="J19" i="15" l="1"/>
  <c r="J17" i="15" s="1"/>
  <c r="C56" i="15"/>
  <c r="C60" i="15" s="1"/>
  <c r="C58" i="15" s="1"/>
  <c r="C36" i="15"/>
  <c r="Q50" i="15"/>
  <c r="J14" i="15"/>
  <c r="J13" i="15" s="1"/>
  <c r="J23" i="15" s="1"/>
  <c r="C13" i="15"/>
  <c r="J35" i="15" s="1"/>
  <c r="J15" i="44"/>
  <c r="J25" i="44" s="1"/>
  <c r="J24" i="44"/>
  <c r="Q71" i="70"/>
  <c r="C37" i="70"/>
  <c r="C30" i="70" s="1"/>
  <c r="C39" i="70" s="1"/>
  <c r="C55" i="70"/>
  <c r="C64" i="70" s="1"/>
  <c r="J35" i="70"/>
  <c r="J13" i="70"/>
  <c r="J23" i="70" s="1"/>
  <c r="J22" i="70"/>
  <c r="C60" i="70"/>
  <c r="C58" i="70" s="1"/>
  <c r="C63" i="70"/>
  <c r="H9" i="40"/>
  <c r="F9" i="40"/>
  <c r="J9" i="40"/>
  <c r="H9" i="39"/>
  <c r="F9" i="39"/>
  <c r="J9" i="39"/>
  <c r="Q72" i="44"/>
  <c r="C43" i="44"/>
  <c r="C39" i="44"/>
  <c r="C32" i="44" s="1"/>
  <c r="C42" i="44" s="1"/>
  <c r="B3" i="67"/>
  <c r="B4" i="67"/>
  <c r="C37" i="15" l="1"/>
  <c r="C63" i="15"/>
  <c r="C30" i="15"/>
  <c r="C39" i="15" s="1"/>
  <c r="C40" i="15" s="1"/>
  <c r="J22" i="15"/>
  <c r="C55" i="15"/>
  <c r="C64" i="15" s="1"/>
  <c r="Q71" i="15"/>
  <c r="J16" i="70"/>
  <c r="J25" i="70" s="1"/>
  <c r="J16" i="15"/>
  <c r="J25" i="15" s="1"/>
  <c r="J18" i="44"/>
  <c r="J27" i="44" s="1"/>
  <c r="C44" i="44"/>
  <c r="C45" i="44" s="1"/>
  <c r="B2" i="44" s="1"/>
  <c r="Q71" i="44"/>
  <c r="Q70" i="44" s="1"/>
  <c r="Q70" i="70"/>
  <c r="Q69" i="70" s="1"/>
  <c r="C40" i="70"/>
  <c r="S9" i="39"/>
  <c r="AA9" i="39"/>
  <c r="R49" i="39" s="1"/>
  <c r="AC9" i="40"/>
  <c r="V44" i="40" s="1"/>
  <c r="I44" i="40" s="1"/>
  <c r="W9" i="40"/>
  <c r="AB9" i="40"/>
  <c r="T44" i="40" s="1"/>
  <c r="G44" i="40" s="1"/>
  <c r="U9" i="40"/>
  <c r="C57" i="70"/>
  <c r="C66" i="70" s="1"/>
  <c r="C67" i="70" s="1"/>
  <c r="AC9" i="39"/>
  <c r="V49" i="39" s="1"/>
  <c r="I49" i="39" s="1"/>
  <c r="W9" i="39"/>
  <c r="U9" i="39"/>
  <c r="AB9" i="39"/>
  <c r="T49" i="39" s="1"/>
  <c r="G49" i="39" s="1"/>
  <c r="AA9" i="40"/>
  <c r="R44" i="40" s="1"/>
  <c r="S9" i="40"/>
  <c r="J39" i="70"/>
  <c r="J40" i="70" s="1"/>
  <c r="L51" i="70"/>
  <c r="C57" i="15" l="1"/>
  <c r="C66" i="15" s="1"/>
  <c r="C67" i="15" s="1"/>
  <c r="C46" i="15" s="1"/>
  <c r="Q70" i="15"/>
  <c r="J39" i="15"/>
  <c r="J40" i="15" s="1"/>
  <c r="Q69" i="15"/>
  <c r="Q68" i="70"/>
  <c r="R45" i="40"/>
  <c r="E44" i="40"/>
  <c r="I53" i="39"/>
  <c r="J53" i="39" s="1"/>
  <c r="C70" i="70"/>
  <c r="C46" i="70"/>
  <c r="G48" i="40"/>
  <c r="H48" i="40" s="1"/>
  <c r="G49" i="40"/>
  <c r="H49" i="40" s="1"/>
  <c r="I49" i="40"/>
  <c r="J49" i="40" s="1"/>
  <c r="I48" i="40"/>
  <c r="J48" i="40" s="1"/>
  <c r="B2" i="15"/>
  <c r="Q48" i="15"/>
  <c r="Q54" i="15" s="1"/>
  <c r="Q66" i="15"/>
  <c r="Q76" i="15" s="1"/>
  <c r="C43" i="15"/>
  <c r="Q57" i="15"/>
  <c r="Q63" i="15" s="1"/>
  <c r="J42" i="15"/>
  <c r="J43" i="15" s="1"/>
  <c r="Q66" i="70"/>
  <c r="Q76" i="70" s="1"/>
  <c r="Q57" i="70"/>
  <c r="Q63" i="70" s="1"/>
  <c r="Q48" i="70"/>
  <c r="Q54" i="70" s="1"/>
  <c r="C43" i="70"/>
  <c r="B2" i="70"/>
  <c r="B3" i="70" s="1"/>
  <c r="J42" i="70"/>
  <c r="J43" i="70" s="1"/>
  <c r="G53" i="39"/>
  <c r="H53" i="39" s="1"/>
  <c r="G54" i="39"/>
  <c r="H54" i="39" s="1"/>
  <c r="C70" i="15"/>
  <c r="R50" i="39"/>
  <c r="E49" i="39"/>
  <c r="I54" i="39" s="1"/>
  <c r="J54" i="39" s="1"/>
  <c r="B4" i="44"/>
  <c r="B5" i="44"/>
  <c r="B3" i="44"/>
  <c r="L51" i="15"/>
  <c r="Q68" i="15" l="1"/>
  <c r="E54" i="39"/>
  <c r="F54" i="39" s="1"/>
  <c r="E53" i="39"/>
  <c r="F53" i="39" s="1"/>
  <c r="E48" i="40"/>
  <c r="F48" i="40" s="1"/>
  <c r="E49" i="40"/>
  <c r="F49" i="40" s="1"/>
  <c r="C50" i="39"/>
  <c r="C49" i="39"/>
  <c r="D10" i="12"/>
  <c r="C6" i="12" s="1"/>
  <c r="B3" i="15"/>
  <c r="D8" i="12" s="1"/>
  <c r="C45" i="40"/>
  <c r="C44" i="40"/>
  <c r="B55" i="40" l="1"/>
  <c r="F55" i="40" s="1"/>
  <c r="B61" i="40"/>
  <c r="F61" i="40" s="1"/>
  <c r="B57" i="40"/>
  <c r="F57" i="40" s="1"/>
  <c r="B54" i="40"/>
  <c r="F54" i="40" s="1"/>
  <c r="B60" i="40"/>
  <c r="F60" i="40" s="1"/>
  <c r="B53" i="40"/>
  <c r="F53" i="40" s="1"/>
  <c r="B59" i="40"/>
  <c r="F59" i="40" s="1"/>
  <c r="B56" i="40"/>
  <c r="F56" i="40" s="1"/>
  <c r="B62" i="40"/>
  <c r="F62" i="40" s="1"/>
  <c r="B58" i="40"/>
  <c r="F58" i="40" s="1"/>
  <c r="F63" i="40"/>
  <c r="B2" i="40" s="1"/>
  <c r="C24" i="12"/>
  <c r="C29" i="12"/>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C28" i="12"/>
  <c r="C26" i="12" s="1"/>
  <c r="C31" i="12" s="1"/>
  <c r="C30" i="12" s="1"/>
  <c r="C35" i="12"/>
  <c r="C33" i="12" s="1"/>
  <c r="B4" i="40"/>
  <c r="B3" i="40"/>
  <c r="B5" i="40"/>
  <c r="C19" i="9"/>
  <c r="L43" i="9" l="1"/>
  <c r="C36" i="12"/>
  <c r="B2" i="12" s="1"/>
  <c r="B3" i="39"/>
  <c r="B5" i="39"/>
  <c r="B4" i="39"/>
  <c r="C21" i="9"/>
  <c r="D19" i="9"/>
  <c r="C20" i="9"/>
  <c r="L44" i="9" l="1"/>
  <c r="G19" i="9"/>
  <c r="I35" i="6" s="1"/>
  <c r="D22" i="9"/>
  <c r="B4" i="12"/>
  <c r="B3" i="12"/>
  <c r="B5" i="12"/>
  <c r="D20" i="9"/>
  <c r="D21" i="9"/>
  <c r="G21" i="9" l="1"/>
  <c r="G20" i="9"/>
  <c r="R24" i="31" s="1"/>
  <c r="C32" i="9"/>
  <c r="C45" i="9" s="1"/>
  <c r="G22" i="9"/>
  <c r="N43" i="9"/>
  <c r="H14" i="66" l="1"/>
  <c r="O40" i="9"/>
  <c r="D45" i="9"/>
  <c r="F45" i="9"/>
  <c r="E45" i="9"/>
  <c r="R35" i="31"/>
  <c r="S35" i="31" s="1"/>
  <c r="R30" i="31"/>
  <c r="S30" i="31" s="1"/>
  <c r="R36" i="31"/>
  <c r="S36" i="31" s="1"/>
  <c r="R26" i="31"/>
  <c r="S26" i="31" s="1"/>
  <c r="R25" i="31"/>
  <c r="S25" i="31" s="1"/>
  <c r="R29" i="31"/>
  <c r="S29" i="31" s="1"/>
  <c r="R33" i="31"/>
  <c r="S33" i="31" s="1"/>
  <c r="R28" i="31"/>
  <c r="S28" i="31" s="1"/>
  <c r="R34" i="31"/>
  <c r="S34" i="31" s="1"/>
  <c r="R27" i="31"/>
  <c r="S27" i="31" s="1"/>
  <c r="S24" i="31"/>
  <c r="R31" i="31"/>
  <c r="S31" i="31" s="1"/>
  <c r="R32" i="31"/>
  <c r="S32" i="31" s="1"/>
  <c r="C34" i="9"/>
  <c r="O43" i="9"/>
  <c r="O38" i="9"/>
  <c r="C35" i="9"/>
  <c r="F42" i="9" s="1"/>
  <c r="C42" i="9"/>
  <c r="C33" i="9"/>
  <c r="R7" i="54" l="1"/>
  <c r="B52" i="63" s="1"/>
  <c r="K31" i="9"/>
  <c r="K32" i="9" s="1"/>
  <c r="N68" i="9"/>
  <c r="D14" i="66"/>
  <c r="R5" i="54"/>
  <c r="B48" i="63" s="1"/>
  <c r="D63" i="9"/>
  <c r="C44" i="9"/>
  <c r="K26" i="9"/>
  <c r="K25" i="9"/>
  <c r="D2" i="72"/>
  <c r="E42" i="9"/>
  <c r="P5" i="54" s="1"/>
  <c r="B46" i="63" s="1"/>
  <c r="D2" i="69"/>
  <c r="M38" i="9"/>
  <c r="K27" i="9" s="1"/>
  <c r="N38" i="9"/>
  <c r="K28" i="9" s="1"/>
  <c r="D42" i="9"/>
  <c r="Q5" i="54" s="1"/>
  <c r="B47" i="63" s="1"/>
  <c r="S22" i="31"/>
  <c r="R22" i="31" l="1"/>
  <c r="B21" i="31" s="1"/>
  <c r="B20" i="31"/>
  <c r="G8" i="69"/>
  <c r="G16" i="69"/>
  <c r="G24" i="69"/>
  <c r="G32" i="69"/>
  <c r="G3" i="69"/>
  <c r="G11" i="69"/>
  <c r="G19" i="69"/>
  <c r="G27" i="69"/>
  <c r="G35" i="69"/>
  <c r="G2" i="69"/>
  <c r="G6" i="69"/>
  <c r="G10" i="69"/>
  <c r="G14" i="69"/>
  <c r="G18" i="69"/>
  <c r="G22" i="69"/>
  <c r="G26" i="69"/>
  <c r="G30" i="69"/>
  <c r="G34" i="69"/>
  <c r="G38" i="69"/>
  <c r="G5" i="69"/>
  <c r="G9" i="69"/>
  <c r="G13" i="69"/>
  <c r="G17" i="69"/>
  <c r="G21" i="69"/>
  <c r="G25" i="69"/>
  <c r="G29" i="69"/>
  <c r="G33" i="69"/>
  <c r="G37" i="69"/>
  <c r="D3" i="69"/>
  <c r="G4" i="69"/>
  <c r="G12" i="69"/>
  <c r="G20" i="69"/>
  <c r="G28" i="69"/>
  <c r="G36" i="69"/>
  <c r="G7" i="69"/>
  <c r="G15" i="69"/>
  <c r="G23" i="69"/>
  <c r="J23" i="69" s="1"/>
  <c r="G31" i="69"/>
  <c r="G39" i="69"/>
  <c r="F18" i="72"/>
  <c r="F2" i="72"/>
  <c r="F4" i="72"/>
  <c r="F6" i="72"/>
  <c r="F8" i="72"/>
  <c r="F10" i="72"/>
  <c r="F12" i="72"/>
  <c r="F14" i="72"/>
  <c r="F16" i="72"/>
  <c r="F19" i="72"/>
  <c r="F21" i="72"/>
  <c r="F23" i="72"/>
  <c r="F25" i="72"/>
  <c r="F27" i="72"/>
  <c r="F29" i="72"/>
  <c r="F31" i="72"/>
  <c r="F33" i="72"/>
  <c r="F35" i="72"/>
  <c r="F37" i="72"/>
  <c r="F39" i="72"/>
  <c r="F5" i="72"/>
  <c r="F9" i="72"/>
  <c r="F13" i="72"/>
  <c r="F17" i="72"/>
  <c r="F22" i="72"/>
  <c r="F26" i="72"/>
  <c r="F30" i="72"/>
  <c r="F34" i="72"/>
  <c r="F38" i="72"/>
  <c r="F28" i="72"/>
  <c r="F36" i="72"/>
  <c r="F3" i="72"/>
  <c r="F7" i="72"/>
  <c r="F11" i="72"/>
  <c r="F15" i="72"/>
  <c r="F20" i="72"/>
  <c r="F24" i="72"/>
  <c r="F32" i="72"/>
  <c r="C103" i="9"/>
  <c r="C111" i="9"/>
  <c r="C104" i="9" s="1"/>
  <c r="C96" i="9"/>
  <c r="C91" i="9" s="1"/>
  <c r="D71" i="9"/>
  <c r="D66" i="9" s="1"/>
  <c r="N72" i="9" s="1"/>
  <c r="C90" i="9"/>
  <c r="C97" i="9" s="1"/>
  <c r="C82" i="9"/>
  <c r="C81" i="9" s="1"/>
  <c r="C85" i="9" s="1"/>
  <c r="C86" i="9" s="1"/>
  <c r="D72" i="9" s="1"/>
  <c r="D77" i="9"/>
  <c r="N75" i="9" s="1"/>
  <c r="D70" i="9"/>
  <c r="E14" i="66"/>
  <c r="F14" i="66"/>
  <c r="G14" i="66"/>
  <c r="B6" i="66" s="1"/>
  <c r="E44" i="9"/>
  <c r="O39" i="9"/>
  <c r="N69" i="9"/>
  <c r="D44" i="9"/>
  <c r="F44" i="9"/>
  <c r="C113" i="9" l="1"/>
  <c r="M86" i="9"/>
  <c r="N86" i="9" s="1"/>
  <c r="M85" i="9"/>
  <c r="N85" i="9" s="1"/>
  <c r="M87" i="9"/>
  <c r="N87" i="9" s="1"/>
  <c r="M88" i="9"/>
  <c r="N88" i="9" s="1"/>
  <c r="M84" i="9"/>
  <c r="N84" i="9" s="1"/>
  <c r="M83" i="9"/>
  <c r="N83" i="9" s="1"/>
  <c r="K29" i="9"/>
  <c r="K30" i="9" s="1"/>
  <c r="R6" i="54"/>
  <c r="B50" i="63" s="1"/>
  <c r="C6" i="66"/>
  <c r="D6" i="66"/>
  <c r="C98" i="9"/>
  <c r="E98" i="9" s="1"/>
  <c r="E99" i="9" s="1"/>
  <c r="C114" i="9"/>
  <c r="E114" i="9" s="1"/>
  <c r="E115" i="9" s="1"/>
  <c r="G40" i="69"/>
  <c r="G41" i="69" s="1"/>
  <c r="F40" i="72"/>
  <c r="N89" i="9" l="1"/>
  <c r="O89" i="9" s="1"/>
  <c r="C115" i="9"/>
  <c r="D76" i="9" s="1"/>
  <c r="D74" i="9" s="1"/>
  <c r="N74" i="9" s="1"/>
  <c r="O77" i="9" s="1"/>
  <c r="O78" i="9" s="1"/>
  <c r="C99" i="9"/>
  <c r="Q77" i="9" l="1"/>
  <c r="O79" i="9"/>
  <c r="O80" i="9" s="1"/>
  <c r="O81" i="9" l="1"/>
  <c r="D15" i="66" l="1"/>
  <c r="E15" i="66" l="1"/>
  <c r="F15" i="66"/>
  <c r="H15" i="66"/>
  <c r="B7" i="66" s="1"/>
  <c r="B5" i="66"/>
  <c r="C7" i="66" l="1"/>
  <c r="D7"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<sst xmlns="http://schemas.openxmlformats.org/spreadsheetml/2006/main" count="7804" uniqueCount="3334">
  <si>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</si>
  <si>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</si>
  <si>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</si>
  <si>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</si>
  <si>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</si>
  <si>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</si>
  <si>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</si>
  <si>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</si>
  <si>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</si>
  <si>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</si>
  <si>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</si>
  <si>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</si>
  <si>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</si>
  <si>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</si>
  <si>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</si>
  <si>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</si>
  <si>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</si>
  <si>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</si>
  <si>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</si>
  <si>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</si>
  <si>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</si>
  <si>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</si>
  <si>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</si>
  <si>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</si>
  <si>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</si>
  <si>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</si>
  <si>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</si>
  <si>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</si>
  <si>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</si>
  <si>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</si>
  <si>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</si>
  <si>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</si>
  <si>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</si>
  <si>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</si>
  <si>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</si>
  <si>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</si>
  <si>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</si>
  <si>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</si>
  <si>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</si>
  <si>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</si>
  <si>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</si>
  <si>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</si>
  <si>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</si>
  <si>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</si>
  <si>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</si>
  <si>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</si>
  <si>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</si>
  <si>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</si>
  <si>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</si>
  <si>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</si>
  <si>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</si>
  <si>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</si>
  <si>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</si>
  <si>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</si>
  <si>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</si>
  <si>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</si>
  <si>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</si>
  <si>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</si>
  <si>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</si>
  <si>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</si>
  <si>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</si>
  <si>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</si>
  <si>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</si>
  <si>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</si>
  <si>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</si>
  <si>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</si>
  <si>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</si>
  <si>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</si>
  <si>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</si>
  <si>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</si>
  <si>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</si>
  <si>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</si>
  <si>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</si>
  <si>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</si>
  <si>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</si>
  <si>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</si>
  <si>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</si>
  <si>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</si>
  <si>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</si>
  <si>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</si>
  <si>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</si>
  <si>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</si>
  <si>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</si>
  <si>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</si>
  <si>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</si>
  <si>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</si>
  <si>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</si>
  <si>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</si>
  <si>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</si>
  <si>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</si>
  <si>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</si>
  <si>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</si>
  <si>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</si>
  <si>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</si>
  <si>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</si>
  <si>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</si>
  <si>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</si>
  <si>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</si>
  <si>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</si>
  <si>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</si>
  <si>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</si>
  <si>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</si>
  <si>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</si>
  <si>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</si>
  <si>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</si>
  <si>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</si>
  <si>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</si>
  <si>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</si>
  <si>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</si>
  <si>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</si>
  <si>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</si>
  <si>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</si>
  <si>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</si>
  <si>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</si>
  <si>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</si>
  <si>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</si>
  <si>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</si>
  <si>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</si>
  <si>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</si>
  <si>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</si>
  <si>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</si>
  <si>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</si>
  <si>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</si>
  <si>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</si>
  <si>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</si>
  <si>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</si>
  <si>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</si>
  <si>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</si>
  <si>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</si>
  <si>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</si>
  <si>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</si>
  <si>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</si>
  <si>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</si>
  <si>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</si>
  <si>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</si>
  <si>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</si>
  <si>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</si>
  <si>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</si>
  <si>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</si>
  <si>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</si>
  <si>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</si>
  <si>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</si>
  <si>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</si>
  <si>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</si>
  <si>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</si>
  <si>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</si>
  <si>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</si>
  <si>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</si>
  <si>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</si>
  <si>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</si>
  <si>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</si>
  <si>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</si>
  <si>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</si>
  <si>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</si>
  <si>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</si>
  <si>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</si>
  <si>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</si>
  <si>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</si>
  <si>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</si>
  <si>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</si>
  <si>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</si>
  <si>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</si>
  <si>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</si>
  <si>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</si>
  <si>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</si>
  <si>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</si>
  <si>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</si>
  <si>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</si>
  <si>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</si>
  <si>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</si>
  <si>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</si>
  <si>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</si>
  <si>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</si>
  <si>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</si>
  <si>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</si>
  <si>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</si>
  <si>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</si>
  <si>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</si>
  <si>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</si>
  <si>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</si>
  <si>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</si>
  <si>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</si>
  <si>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</si>
  <si>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</si>
  <si>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</si>
  <si>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</si>
  <si>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</si>
  <si>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</si>
  <si>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</si>
  <si>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</si>
  <si>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</si>
  <si>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</si>
  <si>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</si>
  <si>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</si>
  <si>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</si>
  <si>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</si>
  <si>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</si>
  <si>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</si>
  <si>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</si>
  <si>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</si>
  <si>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</si>
  <si>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</si>
  <si>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</si>
  <si>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</si>
  <si>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</si>
  <si>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</si>
  <si>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</si>
  <si>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</si>
  <si>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</si>
  <si>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</si>
  <si>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</si>
  <si>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</si>
  <si>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</si>
  <si>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</si>
  <si>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</si>
  <si>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</si>
  <si>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</si>
  <si>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</si>
  <si>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</si>
  <si>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</si>
  <si>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</si>
  <si>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</si>
  <si>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</si>
  <si>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</si>
  <si>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</si>
  <si>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</si>
  <si>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</si>
  <si>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</si>
  <si>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</si>
  <si>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</si>
  <si>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</si>
  <si>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</si>
  <si>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</si>
  <si>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</si>
  <si>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</si>
  <si>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</si>
  <si>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</si>
  <si>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</si>
  <si>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</si>
  <si>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</si>
  <si>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</si>
  <si>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</si>
  <si>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</si>
  <si>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</si>
  <si>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</si>
  <si>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</si>
  <si>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</si>
  <si>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</si>
  <si>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</si>
  <si>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</si>
  <si>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</si>
  <si>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</si>
  <si>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</si>
  <si>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</si>
  <si>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</si>
  <si>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</si>
  <si>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</si>
  <si>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</si>
  <si>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</si>
  <si>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</si>
  <si>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</si>
  <si>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</si>
  <si>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</si>
  <si>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</si>
  <si>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</si>
  <si>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</si>
  <si>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</si>
  <si>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</si>
  <si>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</si>
  <si>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</si>
  <si>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</si>
  <si>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</si>
  <si>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</si>
  <si>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</si>
  <si>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</si>
  <si>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</si>
  <si>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</si>
  <si>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</si>
  <si>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</si>
  <si>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</si>
  <si>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</si>
  <si>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</si>
  <si>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</si>
  <si>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</si>
  <si>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</si>
  <si>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</si>
  <si>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</si>
  <si>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</si>
  <si>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</si>
  <si>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</si>
  <si>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</si>
  <si>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</si>
  <si>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</si>
  <si>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</si>
  <si>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</si>
  <si>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</si>
  <si>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</si>
  <si>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</si>
  <si>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</si>
  <si>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</si>
  <si>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</si>
  <si>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</si>
  <si>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</si>
  <si>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</si>
  <si>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</si>
  <si>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</si>
  <si>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</si>
  <si>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</si>
  <si>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</si>
  <si>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</si>
  <si>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</si>
  <si>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</si>
  <si>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</si>
  <si>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</si>
  <si>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</si>
  <si>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</si>
  <si>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</si>
  <si>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</si>
  <si>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</si>
  <si>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</si>
  <si>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</si>
  <si>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</si>
  <si>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</si>
  <si>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</si>
  <si>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</si>
  <si>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</si>
  <si>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</si>
  <si>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</si>
  <si>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</si>
  <si>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</si>
  <si>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</si>
  <si>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</si>
  <si>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</si>
  <si>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</si>
  <si>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</si>
  <si>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</si>
  <si>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</si>
  <si>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</si>
  <si>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</si>
  <si>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</si>
  <si>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</si>
  <si>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</si>
  <si>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</si>
  <si>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</si>
  <si>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</si>
  <si>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</si>
  <si>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</si>
  <si>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</si>
  <si>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</si>
  <si>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</si>
  <si>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</si>
  <si>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</si>
  <si>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</si>
  <si>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</si>
  <si>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</si>
  <si>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</si>
  <si>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</si>
  <si>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</si>
  <si>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</si>
  <si>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</si>
  <si>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</si>
  <si>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</si>
  <si>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</si>
  <si>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</si>
  <si>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</si>
  <si>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</si>
  <si>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</si>
  <si>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</si>
  <si>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</si>
  <si>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</si>
  <si>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</si>
  <si>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</si>
  <si>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</si>
  <si>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</si>
  <si>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</si>
  <si>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</si>
  <si>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</si>
  <si>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</si>
  <si>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</si>
  <si>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</si>
  <si>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</si>
  <si>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</si>
  <si>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</si>
  <si>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</si>
  <si>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</si>
  <si>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</si>
  <si>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</si>
  <si>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</si>
  <si>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</si>
  <si>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</si>
  <si>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</si>
  <si>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</si>
  <si>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</si>
  <si>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</si>
  <si>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</si>
  <si>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</si>
  <si>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</si>
  <si>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</si>
  <si>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</si>
  <si>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</si>
  <si>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</si>
  <si>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</si>
  <si>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</si>
  <si>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</si>
  <si>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</si>
  <si>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</si>
  <si>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</si>
  <si>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</si>
  <si>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</si>
  <si>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</si>
  <si>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</si>
  <si>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</si>
  <si>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</si>
  <si>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</si>
  <si>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</si>
  <si>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</si>
  <si>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</si>
  <si>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</si>
  <si>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</si>
  <si>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</si>
  <si>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</si>
  <si>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</si>
  <si>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</si>
  <si>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</si>
  <si>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</si>
  <si>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</si>
  <si>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</si>
  <si>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</si>
  <si>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</si>
  <si>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</si>
  <si>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</si>
  <si>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</si>
  <si>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</si>
  <si>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</si>
  <si>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</si>
  <si>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</si>
  <si>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</si>
  <si>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</si>
  <si>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</si>
  <si>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</si>
  <si>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</si>
  <si>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</si>
  <si>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</si>
  <si>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</si>
  <si>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</si>
  <si>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</si>
  <si>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</si>
  <si>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</si>
  <si>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</si>
  <si>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</si>
  <si>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</si>
  <si>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</si>
  <si>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</si>
  <si>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</si>
  <si>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</si>
  <si>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</si>
  <si>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</si>
  <si>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</si>
  <si>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</si>
  <si>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</si>
  <si>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</si>
  <si>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</si>
  <si>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</si>
  <si>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</si>
  <si>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</si>
  <si>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</si>
  <si>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</si>
  <si>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</si>
  <si>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</si>
  <si>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</si>
  <si>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</si>
  <si>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</si>
  <si>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</si>
  <si>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</si>
  <si>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</si>
  <si>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</si>
  <si>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</si>
  <si>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</si>
  <si>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</si>
  <si>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</si>
  <si>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</si>
  <si>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</si>
  <si>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</si>
  <si>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</si>
  <si>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</si>
  <si>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</si>
  <si>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</si>
  <si>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</si>
  <si>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</si>
  <si>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</si>
  <si>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</si>
  <si>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</si>
  <si>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</si>
  <si>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</si>
  <si>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</si>
  <si>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</si>
  <si>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</si>
  <si>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</si>
  <si>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</si>
  <si>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</si>
  <si>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</si>
  <si>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</si>
  <si>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</si>
  <si>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</si>
  <si>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</si>
  <si>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</si>
  <si>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</si>
  <si>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</si>
  <si>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</si>
  <si>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</si>
  <si>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</si>
  <si>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</si>
  <si>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</si>
  <si>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</si>
  <si>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</si>
  <si>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</si>
  <si>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</si>
  <si>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</si>
  <si>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</si>
  <si>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</si>
  <si>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</si>
  <si>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</si>
  <si>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</si>
  <si>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</si>
  <si>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</si>
  <si>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</si>
  <si>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</si>
  <si>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</si>
  <si>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</si>
  <si>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</si>
  <si>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</si>
  <si>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</si>
  <si>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</si>
  <si>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</si>
  <si>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</si>
  <si>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</si>
  <si>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</si>
  <si>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</si>
  <si>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</si>
  <si>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</si>
  <si>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</si>
  <si>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</si>
  <si>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</si>
  <si>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</si>
  <si>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</si>
  <si>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</si>
  <si>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</si>
  <si>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</si>
  <si>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</si>
  <si>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</si>
  <si>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</si>
  <si>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</si>
  <si>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</si>
  <si>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</si>
  <si>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</si>
  <si>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</si>
  <si>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</si>
  <si>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</si>
  <si>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</si>
  <si>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</si>
  <si>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</si>
  <si>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</si>
  <si>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</si>
  <si>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</si>
  <si>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</si>
  <si>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</si>
  <si>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</si>
  <si>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</si>
  <si>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</si>
  <si>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</si>
  <si>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</si>
  <si>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</si>
  <si>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</si>
  <si>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</si>
  <si>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</si>
  <si>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</si>
  <si>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</si>
  <si>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</si>
  <si>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</si>
  <si>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</si>
  <si>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</si>
  <si>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</si>
  <si>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</si>
  <si>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</si>
  <si>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</si>
  <si>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</si>
  <si>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</si>
  <si>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</si>
  <si>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</si>
  <si>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</si>
  <si>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</si>
  <si>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</si>
  <si>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</si>
  <si>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</si>
  <si>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</si>
  <si>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</si>
  <si>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</si>
  <si>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</si>
  <si>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</si>
  <si>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</si>
  <si>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</si>
  <si>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</si>
  <si>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</si>
  <si>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</si>
  <si>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</si>
  <si>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</si>
  <si>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</si>
  <si>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</si>
  <si>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</si>
  <si>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</si>
  <si>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</si>
  <si>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</si>
  <si>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</si>
  <si>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</si>
  <si>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</si>
  <si>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</si>
  <si>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</si>
  <si>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</si>
  <si>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</si>
  <si>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</si>
  <si>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</si>
  <si>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</si>
  <si>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</si>
  <si>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</si>
  <si>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</si>
  <si>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</si>
  <si>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</si>
  <si>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</si>
  <si>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</si>
  <si>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</si>
  <si>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</si>
  <si>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</si>
  <si>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</si>
  <si>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</si>
  <si>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</si>
  <si>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</si>
  <si>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</si>
  <si>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</si>
  <si>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</si>
  <si>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</si>
  <si>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</si>
  <si>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</si>
  <si>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</si>
  <si>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</si>
  <si>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</si>
  <si>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</si>
  <si>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</si>
  <si>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</si>
  <si>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</si>
  <si>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</si>
  <si>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</si>
  <si>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</si>
  <si>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</si>
  <si>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</si>
  <si>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</si>
  <si>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</si>
  <si>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</si>
  <si>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</si>
  <si>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</si>
  <si>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</si>
  <si>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</si>
  <si>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</si>
  <si>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</si>
  <si>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</si>
  <si>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</si>
  <si>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</si>
  <si>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</si>
  <si>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</si>
  <si>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</si>
  <si>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</si>
  <si>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</si>
  <si>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</si>
  <si>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</si>
  <si>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</si>
  <si>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</si>
  <si>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</si>
  <si>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</si>
  <si>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</si>
  <si>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</si>
  <si>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</si>
  <si>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</si>
  <si>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</si>
  <si>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</si>
  <si>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</si>
  <si>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</si>
  <si>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</si>
  <si>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</si>
  <si>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</si>
  <si>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</si>
  <si>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</si>
  <si>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</si>
  <si>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</si>
  <si>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</si>
  <si>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</si>
  <si>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</si>
  <si>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</si>
  <si>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</si>
  <si>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</si>
  <si>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</si>
  <si>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</si>
  <si>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</si>
  <si>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</si>
  <si>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</si>
  <si>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</si>
  <si>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</si>
  <si>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</si>
  <si>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</si>
  <si>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</si>
  <si>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</si>
  <si>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</si>
  <si>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</si>
  <si>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</si>
  <si>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</si>
  <si>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</si>
  <si>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</si>
  <si>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</si>
  <si>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</si>
  <si>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</si>
  <si>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</si>
  <si>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</si>
  <si>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</si>
  <si>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</si>
  <si>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</si>
  <si>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</si>
  <si>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</si>
  <si>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</si>
  <si>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</si>
  <si>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</si>
  <si>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</si>
  <si>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</si>
  <si>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</si>
  <si>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</si>
  <si>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</si>
  <si>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</si>
  <si>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</si>
  <si>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</si>
  <si>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</si>
  <si>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</si>
  <si>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</si>
  <si>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</si>
  <si>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</si>
  <si>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</si>
  <si>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</si>
  <si>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</si>
  <si>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</si>
  <si>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</si>
  <si>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</si>
  <si>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</si>
  <si>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</si>
  <si>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</si>
  <si>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</si>
  <si>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</si>
  <si>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</si>
  <si>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</si>
  <si>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</si>
  <si>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</si>
  <si>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</si>
  <si>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</si>
  <si>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</si>
  <si>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</si>
  <si>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</si>
  <si>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</si>
  <si>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</si>
  <si>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</si>
  <si>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</si>
  <si>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</si>
  <si>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</si>
  <si>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</si>
  <si>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</si>
  <si>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</si>
  <si>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</si>
  <si>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</si>
  <si>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</si>
  <si>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</si>
  <si>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</si>
  <si>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</si>
  <si>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</si>
  <si>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</si>
  <si>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</si>
  <si>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</si>
  <si>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</si>
  <si>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</si>
  <si>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</si>
  <si>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</si>
  <si>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</si>
  <si>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</si>
  <si>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</si>
  <si>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</si>
  <si>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</si>
  <si>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</si>
  <si>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</si>
  <si>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</si>
  <si>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</si>
  <si>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</si>
  <si>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</si>
  <si>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</si>
  <si>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</si>
  <si>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</si>
  <si>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</si>
  <si>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</si>
  <si>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</si>
  <si>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</si>
  <si>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</si>
  <si>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</si>
  <si>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</si>
  <si>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</si>
  <si>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</si>
  <si>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</si>
  <si>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</si>
  <si>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</si>
  <si>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</si>
  <si>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</si>
  <si>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</si>
  <si>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</si>
  <si>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</si>
  <si>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</si>
  <si>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</si>
  <si>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</si>
  <si>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</si>
  <si>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</si>
  <si>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</si>
  <si>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</si>
  <si>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</si>
  <si>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</si>
  <si>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</si>
  <si>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</si>
  <si>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</si>
  <si>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</si>
  <si>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</si>
  <si>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</si>
  <si>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</si>
  <si>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</si>
  <si>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</si>
  <si>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</si>
  <si>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</si>
  <si>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</si>
  <si>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</si>
  <si>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</si>
  <si>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</si>
  <si>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</si>
  <si>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</si>
  <si>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</si>
  <si>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</si>
  <si>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</si>
  <si>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</si>
  <si>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</si>
  <si>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</si>
  <si>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</si>
  <si>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</si>
  <si>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</si>
  <si>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</si>
  <si>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</si>
  <si>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</si>
  <si>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</si>
  <si>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</si>
  <si>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</si>
  <si>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</si>
  <si>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</si>
  <si>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</si>
  <si>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</si>
  <si>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</si>
  <si>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</si>
  <si>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</si>
  <si>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</si>
  <si>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</si>
  <si>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</si>
  <si>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</si>
  <si>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</si>
  <si>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</si>
  <si>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</si>
  <si>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</si>
  <si>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</si>
  <si>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</si>
  <si>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</si>
  <si>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</si>
  <si>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</si>
  <si>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</si>
  <si>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</si>
  <si>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</si>
  <si>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</si>
  <si>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</si>
  <si>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</si>
  <si>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</si>
  <si>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</si>
  <si>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</si>
  <si>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</si>
  <si>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</si>
  <si>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</si>
  <si>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</si>
  <si>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</si>
  <si>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</si>
  <si>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</si>
  <si>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</si>
  <si>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</si>
  <si>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</si>
  <si>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</si>
  <si>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</si>
  <si>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</si>
  <si>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</si>
  <si>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</si>
  <si>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</si>
  <si>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</si>
  <si>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</si>
  <si>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</si>
  <si>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</si>
  <si>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</si>
  <si>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</si>
  <si>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</si>
  <si>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</si>
  <si>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</si>
  <si>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</si>
  <si>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</si>
  <si>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</si>
  <si>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</si>
  <si>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</si>
  <si>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</si>
  <si>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</si>
  <si>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</si>
  <si>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</si>
  <si>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</si>
  <si>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</si>
  <si>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</si>
  <si>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</si>
  <si>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</si>
  <si>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</si>
  <si>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</si>
  <si>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</si>
  <si>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</si>
  <si>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</si>
  <si>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</si>
  <si>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</si>
  <si>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</si>
  <si>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</si>
  <si>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</si>
  <si>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</si>
  <si>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</si>
  <si>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</si>
  <si>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</si>
  <si>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</si>
  <si>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</si>
  <si>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</si>
  <si>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</si>
  <si>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</si>
  <si>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</si>
  <si>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</si>
  <si>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</si>
  <si>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</si>
  <si>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</si>
  <si>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</si>
  <si>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</si>
  <si>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</si>
  <si>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</si>
  <si>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</si>
  <si>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</si>
  <si>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</si>
  <si>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</si>
  <si>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</si>
  <si>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</si>
  <si>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</si>
  <si>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</si>
  <si>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</si>
  <si>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</si>
  <si>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</si>
  <si>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</si>
  <si>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</si>
  <si>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</si>
  <si>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</si>
  <si>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</si>
  <si>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</si>
  <si>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</si>
  <si>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</si>
  <si>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</si>
  <si>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</si>
  <si>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</si>
  <si>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</si>
  <si>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</si>
  <si>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</si>
  <si>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</si>
  <si>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</si>
  <si>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</si>
  <si>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</si>
  <si>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</si>
  <si>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</si>
  <si>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</si>
  <si>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</si>
  <si>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</si>
  <si>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</si>
  <si>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</si>
  <si>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</si>
  <si>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</si>
  <si>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</si>
  <si>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</si>
  <si>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</si>
  <si>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</si>
  <si>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</si>
  <si>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</si>
  <si>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</si>
  <si>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</si>
  <si>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</si>
  <si>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</si>
  <si>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</si>
  <si>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</si>
  <si>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</si>
  <si>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</si>
  <si>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</si>
  <si>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</si>
  <si>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</si>
  <si>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</si>
  <si>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</si>
  <si>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</si>
  <si>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</si>
  <si>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</si>
  <si>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</si>
  <si>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</si>
  <si>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</si>
  <si>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</si>
  <si>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</si>
  <si>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</si>
  <si>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</si>
  <si>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</si>
  <si>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</si>
  <si>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</si>
  <si>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</si>
  <si>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</si>
  <si>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</si>
  <si>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</si>
  <si>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</si>
  <si>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</si>
  <si>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</si>
  <si>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</si>
  <si>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</si>
  <si>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</si>
  <si>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</si>
  <si>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</si>
  <si>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</si>
  <si>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</si>
  <si>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</si>
  <si>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</si>
  <si>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</si>
  <si>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</si>
  <si>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</si>
  <si>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</si>
  <si>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</si>
  <si>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</si>
  <si>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</si>
  <si>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</si>
  <si>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</si>
  <si>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</si>
  <si>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</si>
  <si>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</si>
  <si>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</si>
  <si>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</si>
  <si>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</si>
  <si>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</si>
  <si>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</si>
  <si>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</si>
  <si>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</si>
  <si>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</si>
  <si>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</si>
  <si>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</si>
  <si>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</si>
  <si>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</si>
  <si>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</si>
  <si>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</si>
  <si>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</si>
  <si>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</si>
  <si>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</si>
  <si>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</si>
  <si>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</si>
  <si>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</si>
  <si>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</si>
  <si>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</si>
  <si>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</si>
  <si>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</si>
  <si>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</si>
  <si>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</si>
  <si>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</si>
  <si>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</si>
  <si>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</si>
  <si>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</si>
  <si>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</si>
  <si>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</si>
  <si>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</si>
  <si>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</si>
  <si>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</si>
  <si>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</si>
  <si>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</si>
  <si>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</si>
  <si>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</si>
  <si>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</si>
  <si>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</si>
  <si>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</si>
  <si>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</si>
  <si>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</si>
  <si>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</si>
  <si>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</si>
  <si>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</si>
  <si>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</si>
  <si>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</si>
  <si>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</si>
  <si>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</si>
  <si>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</si>
  <si>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</si>
  <si>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</si>
  <si>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</si>
  <si>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</si>
  <si>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</si>
  <si>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</si>
  <si>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</si>
  <si>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</si>
  <si>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</si>
  <si>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</si>
  <si>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</si>
  <si>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</si>
  <si>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</si>
  <si>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</si>
  <si>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</si>
  <si>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</si>
  <si>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</si>
  <si>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</si>
  <si>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</si>
  <si>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</si>
  <si>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</si>
  <si>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</si>
  <si>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</si>
  <si>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</si>
  <si>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</si>
  <si>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</si>
  <si>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</si>
  <si>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</si>
  <si>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</si>
  <si>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</si>
  <si>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</si>
  <si>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</si>
  <si>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</si>
  <si>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</si>
  <si>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</si>
  <si>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</si>
  <si>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</si>
  <si>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</si>
  <si>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</si>
  <si>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</si>
  <si>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</si>
  <si>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</si>
  <si>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</si>
  <si>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</si>
  <si>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</si>
  <si>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</si>
  <si>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</si>
  <si>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</si>
  <si>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</si>
  <si>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</si>
  <si>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</si>
  <si>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</si>
  <si>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</si>
  <si>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</si>
  <si>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</si>
  <si>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</si>
  <si>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</si>
  <si>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</si>
  <si>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</si>
  <si>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</si>
  <si>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</si>
  <si>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</si>
  <si>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</si>
  <si>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</si>
  <si>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</si>
  <si>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</si>
  <si>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</si>
  <si>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</si>
  <si>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</si>
  <si>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</si>
  <si>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</si>
  <si>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</si>
  <si>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</si>
  <si>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</si>
  <si>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</si>
  <si>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</si>
  <si>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</si>
  <si>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</si>
  <si>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</si>
  <si>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</si>
  <si>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</si>
  <si>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</si>
  <si>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</si>
  <si>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</si>
  <si>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</si>
  <si>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</si>
  <si>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</si>
  <si>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</si>
  <si>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</si>
  <si>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</si>
  <si>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</si>
  <si>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</si>
  <si>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</si>
  <si>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</si>
  <si>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</si>
  <si>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</si>
  <si>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</si>
  <si>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</si>
  <si>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</si>
  <si>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</si>
  <si>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</si>
  <si>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</si>
  <si>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</si>
  <si>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</si>
  <si>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</si>
  <si>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</si>
  <si>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</si>
  <si>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</si>
  <si>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</si>
  <si>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</si>
  <si>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</si>
  <si>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</si>
  <si>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</si>
  <si>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</si>
  <si>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</si>
  <si>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</si>
  <si>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</si>
  <si>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</si>
  <si>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</si>
  <si>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</si>
  <si>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</si>
  <si>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</si>
  <si>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</si>
  <si>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</si>
  <si>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</si>
  <si>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</si>
  <si>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</si>
  <si>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</si>
  <si>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</si>
  <si>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</si>
  <si>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</si>
  <si>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</si>
  <si>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</si>
  <si>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</si>
  <si>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</si>
  <si>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</si>
  <si>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</si>
  <si>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</si>
  <si>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</si>
  <si>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</si>
  <si>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</si>
  <si>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</si>
  <si>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</si>
  <si>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</si>
  <si>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</si>
  <si>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</si>
  <si>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</si>
  <si>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</si>
  <si>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</si>
  <si>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</si>
  <si>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</si>
  <si>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</si>
  <si>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</si>
  <si>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</si>
  <si>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</si>
  <si>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</si>
  <si>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</si>
  <si>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</si>
  <si>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</si>
  <si>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</si>
  <si>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</si>
  <si>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</si>
  <si>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</si>
  <si>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</si>
  <si>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</si>
  <si>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</si>
  <si>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</si>
  <si>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</si>
  <si>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</si>
  <si>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</si>
  <si>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</si>
  <si>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</si>
  <si>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</si>
  <si>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</si>
  <si>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</si>
  <si>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</si>
  <si>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</si>
  <si>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</si>
  <si>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</si>
  <si>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</si>
  <si>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</si>
  <si>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</si>
  <si>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</si>
  <si>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</si>
  <si>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</si>
  <si>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</si>
  <si>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</si>
  <si>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</si>
  <si>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</si>
  <si>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</si>
  <si>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</si>
  <si>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</si>
  <si>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</si>
  <si>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</si>
  <si>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</si>
  <si>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</si>
  <si>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</si>
  <si>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</si>
  <si>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</si>
  <si>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</si>
  <si>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</si>
  <si>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</si>
  <si>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</si>
  <si>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</si>
  <si>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</si>
  <si>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</si>
  <si>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</si>
  <si>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</si>
  <si>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</si>
  <si>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</si>
  <si>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</si>
  <si>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</si>
  <si>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</si>
  <si>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</si>
  <si>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</si>
  <si>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</si>
  <si>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</si>
  <si>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</si>
  <si>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</si>
  <si>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</si>
  <si>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</si>
  <si>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</si>
  <si>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</si>
  <si>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</si>
  <si>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</si>
  <si>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</si>
  <si>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</si>
  <si>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</si>
  <si>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</si>
  <si>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</si>
  <si>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</si>
  <si>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</si>
  <si>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</si>
  <si>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</si>
  <si>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</si>
  <si>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</si>
  <si>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</si>
  <si>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</si>
  <si>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</si>
  <si>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</si>
  <si>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</si>
  <si>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</si>
  <si>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</si>
  <si>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</si>
  <si>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</si>
  <si>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</si>
  <si>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</si>
  <si>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</si>
  <si>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</si>
  <si>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</si>
  <si>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</si>
  <si>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</si>
  <si>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</si>
  <si>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</si>
  <si>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</si>
  <si>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</si>
  <si>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</si>
  <si>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</si>
  <si>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</si>
  <si>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</si>
  <si>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</si>
  <si>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</si>
  <si>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</si>
  <si>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</si>
  <si>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</si>
  <si>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</si>
  <si>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</si>
  <si>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</si>
  <si>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</si>
  <si>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</si>
  <si>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</si>
  <si>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</si>
  <si>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</si>
  <si>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</si>
  <si>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</si>
  <si>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</si>
  <si>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</si>
  <si>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</si>
  <si>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</si>
  <si>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</si>
  <si>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</si>
  <si>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</si>
  <si>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</si>
  <si>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</si>
  <si>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</si>
  <si>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</si>
  <si>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</si>
  <si>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</si>
  <si>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</si>
  <si>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</si>
  <si>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</si>
  <si>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</si>
  <si>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</si>
  <si>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</si>
  <si>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</si>
  <si>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</si>
  <si>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</si>
  <si>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</si>
  <si>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</si>
  <si>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</si>
  <si>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</si>
  <si>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</si>
  <si>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</si>
  <si>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</si>
  <si>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</si>
  <si>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</si>
  <si>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</si>
  <si>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</si>
  <si>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</si>
  <si>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</si>
  <si>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</si>
  <si>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</si>
  <si>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</si>
  <si>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</si>
  <si>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</si>
  <si>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</si>
  <si>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</si>
  <si>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</si>
  <si>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</si>
  <si>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</si>
  <si>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</si>
  <si>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</si>
  <si>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</si>
  <si>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</si>
  <si>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</si>
  <si>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</si>
  <si>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</si>
  <si>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</si>
  <si>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</si>
  <si>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</si>
  <si>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</si>
  <si>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</si>
  <si>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</si>
  <si>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</si>
  <si>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</si>
  <si>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</si>
  <si>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</si>
  <si>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</si>
  <si>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</si>
  <si>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</si>
  <si>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</si>
  <si>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</si>
  <si>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</si>
  <si>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</si>
  <si>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</si>
  <si>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</si>
  <si>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</si>
  <si>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</si>
  <si>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</si>
  <si>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</si>
  <si>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</si>
  <si>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</si>
  <si>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</si>
  <si>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</si>
  <si>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</si>
  <si>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</si>
  <si>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</si>
  <si>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</si>
  <si>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</si>
  <si>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</si>
  <si>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</si>
  <si>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</si>
  <si>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</si>
  <si>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</si>
  <si>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</si>
  <si>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</si>
  <si>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</si>
  <si>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</si>
  <si>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</si>
  <si>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</si>
  <si>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</si>
  <si>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</si>
  <si>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</si>
  <si>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</si>
  <si>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</si>
  <si>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</si>
  <si>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</si>
  <si>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</si>
  <si>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</si>
  <si>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</si>
  <si>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</si>
  <si>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</si>
  <si>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</si>
  <si>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</si>
  <si>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</si>
  <si>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</si>
  <si>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</si>
  <si>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</si>
  <si>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</si>
  <si>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</si>
  <si>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</si>
  <si>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</si>
  <si>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</si>
  <si>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</si>
  <si>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</si>
  <si>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</si>
  <si>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</si>
  <si>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</si>
  <si>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</si>
  <si>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</si>
  <si>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</si>
  <si>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</si>
  <si>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</si>
  <si>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</si>
  <si>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</si>
  <si>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</si>
  <si>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</si>
  <si>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</si>
  <si>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</si>
  <si>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</si>
  <si>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</si>
  <si>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</si>
  <si>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</si>
  <si>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</si>
  <si>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</si>
  <si>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</si>
  <si>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</si>
  <si>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</si>
  <si>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</si>
  <si>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</si>
  <si>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</si>
  <si>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</si>
  <si>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</si>
  <si>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</si>
  <si>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</si>
  <si>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</si>
  <si>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</si>
  <si>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</si>
  <si>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</si>
  <si>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</si>
  <si>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</si>
  <si>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</si>
  <si>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</si>
  <si>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</si>
  <si>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</si>
  <si>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</si>
  <si>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</si>
  <si>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</si>
  <si>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</si>
  <si>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</si>
  <si>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</si>
  <si>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</si>
  <si>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</si>
  <si>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</si>
  <si>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</si>
  <si>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</si>
  <si>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</si>
  <si>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</si>
  <si>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</si>
  <si>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</si>
  <si>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</si>
  <si>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</si>
  <si>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</si>
  <si>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</si>
  <si>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</si>
  <si>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</si>
  <si>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</si>
  <si>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</si>
  <si>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</si>
  <si>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</si>
  <si>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</si>
  <si>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</si>
  <si>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</si>
  <si>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</si>
  <si>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</si>
  <si>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</si>
  <si>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</si>
  <si>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</si>
  <si>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</si>
  <si>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</si>
  <si>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</si>
  <si>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</si>
  <si>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</si>
  <si>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</si>
  <si>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</si>
  <si>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</si>
  <si>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</si>
  <si>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</si>
  <si>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</si>
  <si>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</si>
  <si>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</si>
  <si>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</si>
  <si>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</si>
  <si>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</si>
  <si>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</si>
  <si>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</si>
  <si>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</si>
  <si>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</si>
  <si>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</si>
  <si>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</si>
  <si>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</si>
  <si>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</si>
  <si>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</si>
  <si>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</si>
  <si>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</si>
  <si>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</si>
  <si>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</si>
  <si>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</si>
  <si>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</si>
  <si>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</si>
  <si>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</si>
  <si>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</si>
  <si>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</si>
  <si>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</si>
  <si>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</si>
  <si>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</si>
  <si>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</si>
  <si>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</si>
  <si>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</si>
  <si>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</si>
  <si>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</si>
  <si>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</si>
  <si>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</si>
  <si>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</si>
  <si>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</si>
  <si>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</si>
  <si>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</si>
  <si>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</si>
  <si>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</si>
  <si>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</si>
  <si>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</si>
  <si>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</si>
  <si>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</si>
  <si>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</si>
  <si>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</si>
  <si>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</si>
  <si>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</si>
  <si>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</si>
  <si>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</si>
  <si>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</si>
  <si>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</si>
  <si>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</si>
  <si>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</si>
  <si>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</si>
  <si>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</si>
  <si>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</si>
  <si>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</si>
  <si>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</si>
  <si>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</si>
  <si>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</si>
  <si>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</si>
  <si>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</si>
  <si>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</si>
  <si>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</si>
  <si>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</si>
  <si>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</si>
  <si>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</si>
  <si>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</si>
  <si>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</si>
  <si>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</si>
  <si>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</si>
  <si>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</si>
  <si>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</si>
  <si>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</si>
  <si>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</si>
  <si>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</si>
  <si>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</si>
  <si>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</si>
  <si>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</si>
  <si>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</si>
  <si>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</si>
  <si>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</si>
  <si>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</si>
  <si>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</si>
  <si>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</si>
  <si>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</si>
  <si>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</si>
  <si>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</si>
  <si>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</si>
  <si>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</si>
  <si>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</si>
  <si>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</si>
  <si>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</si>
  <si>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</si>
  <si>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</si>
  <si>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</si>
  <si>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</si>
  <si>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</si>
  <si>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</si>
  <si>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</si>
  <si>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</si>
  <si>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</si>
  <si>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</si>
  <si>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</si>
  <si>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</si>
  <si>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</si>
  <si>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</si>
  <si>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</si>
  <si>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</si>
  <si>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</si>
  <si>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</si>
  <si>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</si>
  <si>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</si>
  <si>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</si>
  <si>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</si>
  <si>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</si>
  <si>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</si>
  <si>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</si>
  <si>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</si>
  <si>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</si>
  <si>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</si>
  <si>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</si>
  <si>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</si>
  <si>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</si>
  <si>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</si>
  <si>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</si>
  <si>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</si>
  <si>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</si>
  <si>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</si>
  <si>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</si>
  <si>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</si>
  <si>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</si>
  <si>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</si>
  <si>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</si>
  <si>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</si>
  <si>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</si>
  <si>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</si>
  <si>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</si>
  <si>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</si>
  <si>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</si>
  <si>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</si>
  <si>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</si>
  <si>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</si>
  <si>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</si>
  <si>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</si>
  <si>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</si>
  <si>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</si>
  <si>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</si>
  <si>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</si>
  <si>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</si>
  <si>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</si>
  <si>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</si>
  <si>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</si>
  <si>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</si>
  <si>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</si>
  <si>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</si>
  <si>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</si>
  <si>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</si>
  <si>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</si>
  <si>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</si>
  <si>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</si>
  <si>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</si>
  <si>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</si>
  <si>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</si>
  <si>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</si>
  <si>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</si>
  <si>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</si>
  <si>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</si>
  <si>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</si>
  <si>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</si>
  <si>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</si>
  <si>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</si>
  <si>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</si>
  <si>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</si>
  <si>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</si>
  <si>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</si>
  <si>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</si>
  <si>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</si>
  <si>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</si>
  <si>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</si>
  <si>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</si>
  <si>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</si>
  <si>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</si>
  <si>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</si>
  <si>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</si>
  <si>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</si>
  <si>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</si>
  <si>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</si>
  <si>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</si>
  <si>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</si>
  <si>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</si>
  <si>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</si>
  <si>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</si>
  <si>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</si>
  <si>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</si>
  <si>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</si>
  <si>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</si>
  <si>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</si>
  <si>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</si>
  <si>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</si>
  <si>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</si>
  <si>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</si>
  <si>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</si>
  <si>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</si>
  <si>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</si>
  <si>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</si>
  <si>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</si>
  <si>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</si>
  <si>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</si>
  <si>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</si>
  <si>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</si>
  <si>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</si>
  <si>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</si>
  <si>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</si>
  <si>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</si>
  <si>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</si>
  <si>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</si>
  <si>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</si>
  <si>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</si>
  <si>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</si>
  <si>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</si>
  <si>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</si>
  <si>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</si>
  <si>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</si>
  <si>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</si>
  <si>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</si>
  <si>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</si>
  <si>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</si>
  <si>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</si>
  <si>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</si>
  <si>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</si>
  <si>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</si>
  <si>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</si>
  <si>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</si>
  <si>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</si>
  <si>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</si>
  <si>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</si>
  <si>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</si>
  <si>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</si>
  <si>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</si>
  <si>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</si>
  <si>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</si>
  <si>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</si>
  <si>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</si>
  <si>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</si>
  <si>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</si>
  <si>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</si>
  <si>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</si>
  <si>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</si>
  <si>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</si>
  <si>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</si>
  <si>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</si>
  <si>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</si>
  <si>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</si>
  <si>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</si>
  <si>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</si>
  <si>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</si>
  <si>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</si>
  <si>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</si>
  <si>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</si>
  <si>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</si>
  <si>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</si>
  <si>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</si>
  <si>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</si>
  <si>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</si>
  <si>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</si>
  <si>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</si>
  <si>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</si>
  <si>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</si>
  <si>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</si>
  <si>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</si>
  <si>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</si>
  <si>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</si>
  <si>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</si>
  <si>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</si>
  <si>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</si>
  <si>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</si>
  <si>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</si>
  <si>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</si>
  <si>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</si>
  <si>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</si>
  <si>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</si>
  <si>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</si>
  <si>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</si>
  <si>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</si>
  <si>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</si>
  <si>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</si>
  <si>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</si>
  <si>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</si>
  <si>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</si>
  <si>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</si>
  <si>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</si>
  <si>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</si>
  <si>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</si>
  <si>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</si>
  <si>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</si>
  <si>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</si>
  <si>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</si>
  <si>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</si>
  <si>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</si>
  <si>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</si>
  <si>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</si>
  <si>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</si>
  <si>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</si>
  <si>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</si>
  <si>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</si>
  <si>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</si>
  <si>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</si>
  <si>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</si>
  <si>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</si>
  <si>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</si>
  <si>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</si>
  <si>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</si>
  <si>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</si>
  <si>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</si>
  <si>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</si>
  <si>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</si>
  <si>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</si>
  <si>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</si>
  <si>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</si>
  <si>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</si>
  <si>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</si>
  <si>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</si>
  <si>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</si>
  <si>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</si>
  <si>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</si>
  <si>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</si>
  <si>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</si>
  <si>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</si>
  <si>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</si>
  <si>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</si>
  <si>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</si>
  <si>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</si>
  <si>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</si>
  <si>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</si>
  <si>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</si>
  <si>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</si>
  <si>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</si>
  <si>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</si>
  <si>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</si>
  <si>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</si>
  <si>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</si>
  <si>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</si>
  <si>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</si>
  <si>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</si>
  <si>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</si>
  <si>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</si>
  <si>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</si>
  <si>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</si>
  <si>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</si>
  <si>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</si>
  <si>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</si>
  <si>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</si>
  <si>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</si>
  <si>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</si>
  <si>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</si>
  <si>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</si>
  <si>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</si>
  <si>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</si>
  <si>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</si>
  <si>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</si>
  <si>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</si>
  <si>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</si>
  <si>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</si>
  <si>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</si>
  <si>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</si>
  <si>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</si>
  <si>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</si>
  <si>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</si>
  <si>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</si>
  <si>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</si>
  <si>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</si>
  <si>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</si>
  <si>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</si>
  <si>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</si>
  <si>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</si>
  <si>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</si>
  <si>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</si>
  <si>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</si>
  <si>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</si>
  <si>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</si>
  <si>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</si>
  <si>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</si>
  <si>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</si>
  <si>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</si>
  <si>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</si>
  <si>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</si>
  <si>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</si>
  <si>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</si>
  <si>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</si>
  <si>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</si>
  <si>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</si>
  <si>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</si>
  <si>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</si>
  <si>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</si>
  <si>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</si>
  <si>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</si>
  <si>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</si>
  <si>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</si>
  <si>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</si>
  <si>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</si>
  <si>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</si>
  <si>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</si>
  <si>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</si>
  <si>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</si>
  <si>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</si>
  <si>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</si>
  <si>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</si>
  <si>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</si>
  <si>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</si>
  <si>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</si>
  <si>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</si>
  <si>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</si>
  <si>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</si>
  <si>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</si>
  <si>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</si>
  <si>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</si>
  <si>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</si>
  <si>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</si>
  <si>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</si>
  <si>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</si>
  <si>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</si>
  <si>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</si>
  <si>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</si>
  <si>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</si>
  <si>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</si>
  <si>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</si>
  <si>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</si>
  <si>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</si>
  <si>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</si>
  <si>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</si>
  <si>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</si>
  <si>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</si>
  <si>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</si>
  <si>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</si>
  <si>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</si>
  <si>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</si>
  <si>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</si>
  <si>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</si>
  <si>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</si>
  <si>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</si>
  <si>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</si>
  <si>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</si>
  <si>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</si>
  <si>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</si>
  <si>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</si>
  <si>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</si>
  <si>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</si>
  <si>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</si>
  <si>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</si>
  <si>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</si>
  <si>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</si>
  <si>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</si>
  <si>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</si>
  <si>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</si>
  <si>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</si>
  <si>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</si>
  <si>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</si>
  <si>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</si>
  <si>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</si>
  <si>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</si>
  <si>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</si>
  <si>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</si>
  <si>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</si>
  <si>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</si>
  <si>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</si>
  <si>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</si>
  <si>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</si>
  <si>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</si>
  <si>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</si>
  <si>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</si>
  <si>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</si>
  <si>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</si>
  <si>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</si>
  <si>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</si>
  <si>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</si>
  <si>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</si>
  <si>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</si>
  <si>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</si>
  <si>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</si>
  <si>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</si>
  <si>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</si>
  <si>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</si>
  <si>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</si>
  <si>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</si>
  <si>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</si>
  <si>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</si>
  <si>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</si>
  <si>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</si>
  <si>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</si>
  <si>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</si>
  <si>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</si>
  <si>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</si>
  <si>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</si>
  <si>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</si>
  <si>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</si>
  <si>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</si>
  <si>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</si>
  <si>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</si>
  <si>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</si>
  <si>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</si>
  <si>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</si>
  <si>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</si>
  <si>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</si>
  <si>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</si>
  <si>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</si>
  <si>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</si>
  <si>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</si>
  <si>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</si>
  <si>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</si>
  <si>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</si>
  <si>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</si>
  <si>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</si>
  <si>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</si>
  <si>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</si>
  <si>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</si>
  <si>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</si>
  <si>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</si>
  <si>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</si>
  <si>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</si>
  <si>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</si>
  <si>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</si>
  <si>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</si>
  <si>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</si>
  <si>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</si>
  <si>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</si>
  <si>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</si>
  <si>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</si>
  <si>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</si>
  <si>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</si>
  <si>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</si>
  <si>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</si>
  <si>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</si>
  <si>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</si>
  <si>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</si>
  <si>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</si>
  <si>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</si>
  <si>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</si>
  <si>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</si>
  <si>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</si>
  <si>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</si>
  <si>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</si>
  <si>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</si>
  <si>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</si>
  <si>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</si>
  <si>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</si>
  <si>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</si>
  <si>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</si>
  <si>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</si>
  <si>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</si>
  <si>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</si>
  <si>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</si>
  <si>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</si>
  <si>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</si>
  <si>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</si>
  <si>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</si>
  <si>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</si>
  <si>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</si>
  <si>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</si>
  <si>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</si>
  <si>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</si>
  <si>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</si>
  <si>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</si>
  <si>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</si>
  <si>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</si>
  <si>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</si>
  <si>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</si>
  <si>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</si>
  <si>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</si>
  <si>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</si>
  <si>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</si>
  <si>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</si>
  <si>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</si>
  <si>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</si>
  <si>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</si>
  <si>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</si>
  <si>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</si>
  <si>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</si>
  <si>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</si>
  <si>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</si>
  <si>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</si>
  <si>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</si>
  <si>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</si>
  <si>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</si>
  <si>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</si>
  <si>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</si>
  <si>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</si>
  <si>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</si>
  <si>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</si>
  <si>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</si>
  <si>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</si>
  <si>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</si>
  <si>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</si>
  <si>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</si>
  <si>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</si>
  <si>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</si>
  <si>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</si>
  <si>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</si>
  <si>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</si>
  <si>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</si>
  <si>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</si>
  <si>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</si>
  <si>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</si>
  <si>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</si>
  <si>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</si>
  <si>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</si>
  <si>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</si>
  <si>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</si>
  <si>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</si>
  <si>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</si>
  <si>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</si>
  <si>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</si>
  <si>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</si>
  <si>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</si>
  <si>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</si>
  <si>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</si>
  <si>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</si>
  <si>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</si>
  <si>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</si>
  <si>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</si>
  <si>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</si>
  <si>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</si>
  <si>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</si>
  <si>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</si>
  <si>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</si>
  <si>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</si>
  <si>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</si>
  <si>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</si>
  <si>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</si>
  <si>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</si>
  <si>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</si>
  <si>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</si>
  <si>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</si>
  <si>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</si>
  <si>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</si>
  <si>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</si>
  <si>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</si>
  <si>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</si>
  <si>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</si>
  <si>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</si>
  <si>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</si>
  <si>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</si>
  <si>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</si>
  <si>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</si>
  <si>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</si>
  <si>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</si>
  <si>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</si>
  <si>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</si>
  <si>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</si>
  <si>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</si>
  <si>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</si>
  <si>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</si>
  <si>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</si>
  <si>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</si>
  <si>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</si>
  <si>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</si>
  <si>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</si>
  <si>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</si>
  <si>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</si>
  <si>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</si>
  <si>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</si>
  <si>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</si>
  <si>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</si>
  <si>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</si>
  <si>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</si>
  <si>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</si>
  <si>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</si>
  <si>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</si>
  <si>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</si>
  <si>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</si>
  <si>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</si>
  <si>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</si>
  <si>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</si>
  <si>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</si>
  <si>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</si>
  <si>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</si>
  <si>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</si>
  <si>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</si>
  <si>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</si>
  <si>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</si>
  <si>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</si>
  <si>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</si>
  <si>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</si>
  <si>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</si>
  <si>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</si>
  <si>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</si>
  <si>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</si>
  <si>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</si>
  <si>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</si>
  <si>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</si>
  <si>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</si>
  <si>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</si>
  <si>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</si>
  <si>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</si>
  <si>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</si>
  <si>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</si>
  <si>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</si>
  <si>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</si>
  <si>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</si>
  <si>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</si>
  <si>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</si>
  <si>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</si>
  <si>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</si>
  <si>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</si>
  <si>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</si>
  <si>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</si>
  <si>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</si>
  <si>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</si>
  <si>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</si>
  <si>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</si>
  <si>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</si>
  <si>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</si>
  <si>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</si>
  <si>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</si>
  <si>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</si>
  <si>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</si>
  <si>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</si>
  <si>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</si>
  <si>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</si>
  <si>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</si>
  <si>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</si>
  <si>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</si>
  <si>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</si>
  <si>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</si>
  <si>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</si>
  <si>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</si>
  <si>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</si>
  <si>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</si>
  <si>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</si>
  <si>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</si>
  <si>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</si>
  <si>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</si>
  <si>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</si>
  <si>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</si>
  <si>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</si>
  <si>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</si>
  <si>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</si>
  <si>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</si>
  <si>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</si>
  <si>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</si>
  <si>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</si>
  <si>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</si>
  <si>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</si>
  <si>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</si>
  <si>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</si>
  <si>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</si>
  <si>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</si>
  <si>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</si>
  <si>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</si>
  <si>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</si>
  <si>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</si>
  <si>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</si>
  <si>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</si>
  <si>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</si>
  <si>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</si>
  <si>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</si>
  <si>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</si>
  <si>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</si>
  <si>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</si>
  <si>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</si>
  <si>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</si>
  <si>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</si>
  <si>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</si>
  <si>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</si>
  <si>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</si>
  <si>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</si>
  <si>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</si>
  <si>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</si>
  <si>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</si>
  <si>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</si>
  <si>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</si>
  <si>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</si>
  <si>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</si>
  <si>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</si>
  <si>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</si>
  <si>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</si>
  <si>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</si>
  <si>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</si>
  <si>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</si>
  <si>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</si>
  <si>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</si>
  <si>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</si>
  <si>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</si>
  <si>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</si>
  <si>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</si>
  <si>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</si>
  <si>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</si>
  <si>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</si>
  <si>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</si>
  <si>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</si>
  <si>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</si>
  <si>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</si>
  <si>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</si>
  <si>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</si>
  <si>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</si>
  <si>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</si>
  <si>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</si>
  <si>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</si>
  <si>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</si>
  <si>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</si>
  <si>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</si>
  <si>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</si>
  <si>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</si>
  <si>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</si>
  <si>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</si>
  <si>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</si>
  <si>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</si>
  <si>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</si>
  <si>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</si>
  <si>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</si>
  <si>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</si>
  <si>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</si>
  <si>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</si>
  <si>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</si>
  <si>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</si>
  <si>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</si>
  <si>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</si>
  <si>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</si>
  <si>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</si>
  <si>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</si>
  <si>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</si>
  <si>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</si>
  <si>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</si>
  <si>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</si>
  <si>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</si>
  <si>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</si>
  <si>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</si>
  <si>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</si>
  <si>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</si>
  <si>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</si>
  <si>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</si>
  <si>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</si>
  <si>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</si>
  <si>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</si>
  <si>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</si>
  <si>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</si>
  <si>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</si>
  <si>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</si>
  <si>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</si>
  <si>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</si>
  <si>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</si>
  <si>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</si>
  <si>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</si>
  <si>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</si>
  <si>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</si>
  <si>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</si>
  <si>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</si>
  <si>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</si>
  <si>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</si>
  <si>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</si>
  <si>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</si>
  <si>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</si>
  <si>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</si>
  <si>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</si>
  <si>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</si>
  <si>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</si>
  <si>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</si>
  <si>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</si>
  <si>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</si>
  <si>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</si>
  <si>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</si>
  <si>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</si>
  <si>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</si>
  <si>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</si>
  <si>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</si>
  <si>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</si>
  <si>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</si>
  <si>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</si>
  <si>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</si>
  <si>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</si>
  <si>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</si>
  <si>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</si>
  <si>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</si>
  <si>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</si>
  <si>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</si>
  <si>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</si>
  <si>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</si>
  <si>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</si>
  <si>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</si>
  <si>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</si>
  <si>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</si>
  <si>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</si>
  <si>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</si>
  <si>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</si>
  <si>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</si>
  <si>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</si>
  <si>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</si>
  <si>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</si>
  <si>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</si>
  <si>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</si>
  <si>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</si>
  <si>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</si>
  <si>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</si>
  <si>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</si>
  <si>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</si>
  <si>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</si>
  <si>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</si>
  <si>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</si>
  <si>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</si>
  <si>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</si>
  <si>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</si>
  <si>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</si>
  <si>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</si>
  <si>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</si>
  <si>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</si>
  <si>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</si>
  <si>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</si>
  <si>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</si>
  <si>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</si>
  <si>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</si>
  <si>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</si>
  <si>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</si>
  <si>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</si>
  <si>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</si>
  <si>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</si>
  <si>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</si>
  <si>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</si>
  <si>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</si>
  <si>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</si>
  <si>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</si>
  <si>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</si>
  <si>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</si>
  <si>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</si>
  <si>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</si>
  <si>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</si>
  <si>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</si>
  <si>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</si>
  <si>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</si>
  <si>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</si>
  <si>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</si>
  <si>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</si>
  <si>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</si>
  <si>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</si>
  <si>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</si>
  <si>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</si>
  <si>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</si>
  <si>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</si>
  <si>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</si>
  <si>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</si>
  <si>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</si>
  <si>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</si>
  <si>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</si>
  <si>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</si>
  <si>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</si>
  <si>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</si>
  <si>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</si>
  <si>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</si>
  <si>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</si>
  <si>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</si>
  <si>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</si>
  <si>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</si>
  <si>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</si>
  <si>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</si>
  <si>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</si>
  <si>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</si>
  <si>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</si>
  <si>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</si>
  <si>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</si>
  <si>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</si>
  <si>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</si>
  <si>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</si>
  <si>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</si>
  <si>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</si>
  <si>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</si>
  <si>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</si>
  <si>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</si>
  <si>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</si>
  <si>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</si>
  <si>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</si>
  <si>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</si>
  <si>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</si>
  <si>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</si>
  <si>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</si>
  <si>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</si>
  <si>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</si>
  <si>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</si>
  <si>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</si>
  <si>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</si>
  <si>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</si>
  <si>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</si>
  <si>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</si>
  <si>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</si>
  <si>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</si>
  <si>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</si>
  <si>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</si>
  <si>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</si>
  <si>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</si>
  <si>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</si>
  <si>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</si>
  <si>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</si>
  <si>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</si>
  <si>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</si>
  <si>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</si>
  <si>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</si>
  <si>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</si>
  <si>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</si>
  <si>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</si>
  <si>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</si>
  <si>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</si>
  <si>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</si>
  <si>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</si>
  <si>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</si>
  <si>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</si>
  <si>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</si>
  <si>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</si>
  <si>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</si>
  <si>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</si>
  <si>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</si>
  <si>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</si>
  <si>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</si>
  <si>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</si>
  <si>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</si>
  <si>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</si>
  <si>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</si>
  <si>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</si>
  <si>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</si>
  <si>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</si>
  <si>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</si>
  <si>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</si>
  <si>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</si>
  <si>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</si>
  <si>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</si>
  <si>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</si>
  <si>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</si>
  <si>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</si>
  <si>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</si>
  <si>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</si>
  <si>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</si>
  <si>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</si>
  <si>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</si>
  <si>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</si>
  <si>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</si>
  <si>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</si>
  <si>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</si>
  <si>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</si>
  <si>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</si>
  <si>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</si>
  <si>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</si>
  <si>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</si>
  <si>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</si>
  <si>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</si>
  <si>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</si>
  <si>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</si>
  <si>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</si>
  <si>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</si>
  <si>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</si>
  <si>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</si>
  <si>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</si>
  <si>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</si>
  <si>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</si>
  <si>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</si>
  <si>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</si>
  <si>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</si>
  <si>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</si>
  <si>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</si>
  <si>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</si>
  <si>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</si>
  <si>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</si>
  <si>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</si>
  <si>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</si>
  <si>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</si>
  <si>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</si>
  <si>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</si>
  <si>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</si>
  <si>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</si>
  <si>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</si>
  <si>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</si>
  <si>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</si>
  <si>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</si>
  <si>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</si>
  <si>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</si>
  <si>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</si>
  <si>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</si>
  <si>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</si>
  <si>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</si>
  <si>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</si>
  <si>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</si>
  <si>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</si>
  <si>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</si>
  <si>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</si>
  <si>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</si>
  <si>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</si>
  <si>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</si>
  <si>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</si>
  <si>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</si>
  <si>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</si>
  <si>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</si>
  <si>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</si>
  <si>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</si>
  <si>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</si>
  <si>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</si>
  <si>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</si>
  <si>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</si>
  <si>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</si>
  <si>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</si>
  <si>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</si>
  <si>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</si>
  <si>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</si>
  <si>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</si>
  <si>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</si>
  <si>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</si>
  <si>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</si>
  <si>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</si>
  <si>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</si>
  <si>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</si>
  <si>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</si>
  <si>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</si>
  <si>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</si>
  <si>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</si>
  <si>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</si>
  <si>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</si>
  <si>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</si>
  <si>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</si>
  <si>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</si>
  <si>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</si>
  <si>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</si>
  <si>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</si>
  <si>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</si>
  <si>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</si>
  <si>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</si>
  <si>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</si>
  <si>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</si>
  <si>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</si>
  <si>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</si>
  <si>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</si>
  <si>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</si>
  <si>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</si>
  <si>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</si>
  <si>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</si>
  <si>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</si>
  <si>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</si>
  <si>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</si>
  <si>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</si>
  <si>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</si>
  <si>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</si>
  <si>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</si>
  <si>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</si>
  <si>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</si>
  <si>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</si>
  <si>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</si>
  <si>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</si>
  <si>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</si>
  <si>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</si>
  <si>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</si>
  <si>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</si>
  <si>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</si>
  <si>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</si>
  <si>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</si>
  <si>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</si>
  <si>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</si>
  <si>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</si>
  <si>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</si>
  <si>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</si>
  <si>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</si>
  <si>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</si>
  <si>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</si>
  <si>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</si>
  <si>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</si>
  <si>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</si>
  <si>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</si>
  <si>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</si>
  <si>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</si>
  <si>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</si>
  <si>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</si>
  <si>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</si>
  <si>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</si>
  <si>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</si>
  <si>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</si>
  <si>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</si>
  <si>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</si>
  <si>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</si>
  <si>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</si>
  <si>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</si>
  <si>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</si>
  <si>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</si>
  <si>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</si>
  <si>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</si>
  <si>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</si>
  <si>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</si>
  <si>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</si>
  <si>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</si>
  <si>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</si>
  <si>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</si>
  <si>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</si>
  <si>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</si>
  <si>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</si>
  <si>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</si>
  <si>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</si>
  <si>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</si>
  <si>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</si>
  <si>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</si>
  <si>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</si>
  <si>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</si>
  <si>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</si>
  <si>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</si>
  <si>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</si>
  <si>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</si>
  <si>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</si>
  <si>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</si>
  <si>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</si>
  <si>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</si>
  <si>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</si>
  <si>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</si>
  <si>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</si>
  <si>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</si>
  <si>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</si>
  <si>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</si>
  <si>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</si>
  <si>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</si>
  <si>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</si>
  <si>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</si>
  <si>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</si>
  <si>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</si>
  <si>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</si>
  <si>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</si>
  <si>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</si>
  <si>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</si>
  <si>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</si>
  <si>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</si>
  <si>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</si>
  <si>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</si>
  <si>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</si>
  <si>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</si>
  <si>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</si>
  <si>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</si>
  <si>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</si>
  <si>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</si>
  <si>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</si>
  <si>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</si>
  <si>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</si>
  <si>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</si>
  <si>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</si>
  <si>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</si>
  <si>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</si>
  <si>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</si>
  <si>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</si>
  <si>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</si>
  <si>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</si>
  <si>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</si>
  <si>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</si>
  <si>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</si>
  <si>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</si>
  <si>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</si>
  <si>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</si>
  <si>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</si>
  <si>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</si>
  <si>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</si>
  <si>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</si>
  <si>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</si>
  <si>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</si>
  <si>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</si>
  <si>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</si>
  <si>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</si>
  <si>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</si>
  <si>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</si>
  <si>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</si>
  <si>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</si>
  <si>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</si>
  <si>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</si>
  <si>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</si>
  <si>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</si>
  <si>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</si>
  <si>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</si>
  <si>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</si>
  <si>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</si>
  <si>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</si>
  <si>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</si>
  <si>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</si>
  <si>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</si>
  <si>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</si>
  <si>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</si>
  <si>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</si>
  <si>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</si>
  <si>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</si>
  <si>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</si>
  <si>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</si>
  <si>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</si>
  <si>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</si>
  <si>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</si>
  <si>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</si>
  <si>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</si>
  <si>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</si>
  <si>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</si>
  <si>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</si>
  <si>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</si>
  <si>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</si>
  <si>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</si>
  <si>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</si>
  <si>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</si>
  <si>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</si>
  <si>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</si>
  <si>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</si>
  <si>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</si>
  <si>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</si>
  <si>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</si>
  <si>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</si>
  <si>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</si>
  <si>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</si>
  <si>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</si>
  <si>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</si>
  <si>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</si>
  <si>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</si>
  <si>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</si>
  <si>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</si>
  <si>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</si>
  <si>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</si>
  <si>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</si>
  <si>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</si>
  <si>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</si>
  <si>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</si>
  <si>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</si>
  <si>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</si>
  <si>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</si>
  <si>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</si>
  <si>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</si>
  <si>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</si>
  <si>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</si>
  <si>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</si>
  <si>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</si>
  <si>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</si>
  <si>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</si>
  <si>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</si>
  <si>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</si>
  <si>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</si>
  <si>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</si>
  <si>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</si>
  <si>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</si>
  <si>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</si>
  <si>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</si>
  <si>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</si>
  <si>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</si>
  <si>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</si>
  <si>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</si>
  <si>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</si>
  <si>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</si>
  <si>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</si>
  <si>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</si>
  <si>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</si>
  <si>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</si>
  <si>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</si>
  <si>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</si>
  <si>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</si>
  <si>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</si>
  <si>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</si>
  <si>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</si>
  <si>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</si>
  <si>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</si>
  <si>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</si>
  <si>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</si>
  <si>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</si>
  <si>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</si>
  <si>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</si>
  <si>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</si>
  <si>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</si>
  <si>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</si>
  <si>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</si>
  <si>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</si>
  <si>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</si>
  <si>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</si>
  <si>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</si>
  <si>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</si>
  <si>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</si>
  <si>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</si>
  <si>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</si>
  <si>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</si>
  <si>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</si>
  <si>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</si>
  <si>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</si>
  <si>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</si>
  <si>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</si>
  <si>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</si>
  <si>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</si>
  <si>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</si>
  <si>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</si>
  <si>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</si>
  <si>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</si>
  <si>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</si>
  <si>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</si>
  <si>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</si>
  <si>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欧红伟</t>
  </si>
  <si>
    <t>梁津</t>
  </si>
  <si>
    <t>恒大</t>
    <phoneticPr fontId="7" type="noConversion"/>
  </si>
  <si>
    <t>中信信托</t>
    <phoneticPr fontId="7" type="noConversion"/>
  </si>
  <si>
    <t>抵押</t>
  </si>
  <si>
    <t>抵押价格</t>
  </si>
  <si>
    <t>其他：</t>
  </si>
  <si>
    <t>贵州省</t>
    <phoneticPr fontId="7" type="noConversion"/>
  </si>
  <si>
    <t>企业</t>
  </si>
  <si>
    <t>城镇住宅用地</t>
    <phoneticPr fontId="7" type="noConversion"/>
  </si>
  <si>
    <t>《不动产权证书》</t>
    <phoneticPr fontId="7" type="noConversion"/>
  </si>
  <si>
    <t>住宅</t>
    <phoneticPr fontId="7" type="noConversion"/>
  </si>
  <si>
    <t>一致</t>
  </si>
  <si>
    <t>商业</t>
  </si>
  <si>
    <t>住宅70年、商业40年</t>
    <phoneticPr fontId="7" type="noConversion"/>
  </si>
  <si>
    <t>他项权证</t>
    <phoneticPr fontId="4" type="noConversion"/>
  </si>
  <si>
    <t>居住项目</t>
  </si>
  <si>
    <t>无</t>
  </si>
  <si>
    <t>否</t>
  </si>
  <si>
    <t>场地未平整</t>
  </si>
  <si>
    <t>未平整</t>
  </si>
  <si>
    <t>地上</t>
  </si>
  <si>
    <t>普通住宅</t>
  </si>
  <si>
    <t>底商</t>
  </si>
  <si>
    <t>住宅</t>
    <phoneticPr fontId="8" type="noConversion"/>
  </si>
  <si>
    <t>商业</t>
    <phoneticPr fontId="8" type="noConversion"/>
  </si>
  <si>
    <t>不动产收益法</t>
  </si>
  <si>
    <t>押一</t>
  </si>
  <si>
    <t>钢混</t>
  </si>
  <si>
    <t>较差</t>
  </si>
  <si>
    <t>较差</t>
    <phoneticPr fontId="4" type="noConversion"/>
  </si>
  <si>
    <t xml:space="preserve"> </t>
    <phoneticPr fontId="4" type="noConversion"/>
  </si>
  <si>
    <t>售价</t>
  </si>
  <si>
    <t>住宅</t>
    <phoneticPr fontId="27" type="noConversion"/>
  </si>
  <si>
    <t>有</t>
    <phoneticPr fontId="27" type="noConversion"/>
  </si>
  <si>
    <t>无</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</si>
  <si>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</si>
  <si>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</si>
  <si>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</si>
  <si>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</si>
  <si>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</si>
  <si>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</si>
  <si>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规则</t>
    <phoneticPr fontId="27" type="noConversion"/>
  </si>
  <si>
    <t>较规则</t>
  </si>
  <si>
    <t>较规则</t>
    <phoneticPr fontId="27" type="noConversion"/>
  </si>
  <si>
    <t>一般</t>
  </si>
  <si>
    <t>一般</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</si>
  <si>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</si>
  <si>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</si>
  <si>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</si>
  <si>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</si>
  <si>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</si>
  <si>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</si>
  <si>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</si>
  <si>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</si>
  <si>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</si>
  <si>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</si>
  <si>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</si>
  <si>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</si>
  <si>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</si>
  <si>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</si>
  <si>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好</t>
    <phoneticPr fontId="27" type="noConversion"/>
  </si>
  <si>
    <t>较好</t>
  </si>
  <si>
    <t>较好</t>
    <phoneticPr fontId="27" type="noConversion"/>
  </si>
  <si>
    <t>较差</t>
    <phoneticPr fontId="27" type="noConversion"/>
  </si>
  <si>
    <t>差</t>
    <phoneticPr fontId="27" type="noConversion"/>
  </si>
  <si>
    <t>花溪区贵筑社区云上村</t>
    <phoneticPr fontId="4" type="noConversion"/>
  </si>
  <si>
    <t>不通</t>
  </si>
  <si>
    <t>不临街</t>
  </si>
  <si>
    <t>双面临街</t>
  </si>
  <si>
    <t>花溪区清溪社区桐木林村</t>
    <phoneticPr fontId="4" type="noConversion"/>
  </si>
  <si>
    <t>单面临街</t>
  </si>
  <si>
    <t>楼面地价</t>
  </si>
  <si>
    <t>住宅</t>
    <phoneticPr fontId="22" type="noConversion"/>
  </si>
  <si>
    <t>钢混</t>
    <phoneticPr fontId="22" type="noConversion"/>
  </si>
  <si>
    <t>高档</t>
  </si>
  <si>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</si>
  <si>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</si>
  <si>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</si>
  <si>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</si>
  <si>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</si>
  <si>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</si>
  <si>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</si>
  <si>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</si>
  <si>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专业物业管理</t>
  </si>
  <si>
    <t>专业物业管理</t>
    <phoneticPr fontId="22" type="noConversion"/>
  </si>
  <si>
    <t>普通物业管理</t>
    <phoneticPr fontId="22" type="noConversion"/>
  </si>
  <si>
    <t>小户型</t>
    <phoneticPr fontId="22" type="noConversion"/>
  </si>
  <si>
    <t>正常</t>
  </si>
  <si>
    <t>正常</t>
    <phoneticPr fontId="22" type="noConversion"/>
  </si>
  <si>
    <t>60-70（含）</t>
  </si>
  <si>
    <t>城市次干道</t>
    <phoneticPr fontId="22" type="noConversion"/>
  </si>
  <si>
    <t>碧桂园花溪1号</t>
    <phoneticPr fontId="4" type="noConversion"/>
  </si>
  <si>
    <t>48-59</t>
    <phoneticPr fontId="22" type="noConversion"/>
  </si>
  <si>
    <t>二通</t>
    <phoneticPr fontId="22" type="noConversion"/>
  </si>
  <si>
    <t>一通</t>
    <phoneticPr fontId="22" type="noConversion"/>
  </si>
  <si>
    <t>不通</t>
    <phoneticPr fontId="22" type="noConversion"/>
  </si>
  <si>
    <t>美的国宾府</t>
    <phoneticPr fontId="4" type="noConversion"/>
  </si>
  <si>
    <t>http://huaxiyihaobgy.fang.com/house/3314139582/housedetail.htm</t>
    <phoneticPr fontId="234" type="noConversion"/>
  </si>
  <si>
    <t>http://huaxidaduhuiwk.fang.com/house/3314140092/housedetail.htm</t>
    <phoneticPr fontId="234" type="noConversion"/>
  </si>
  <si>
    <t>135-210</t>
    <phoneticPr fontId="22" type="noConversion"/>
  </si>
  <si>
    <t>95-118</t>
    <phoneticPr fontId="22" type="noConversion"/>
  </si>
  <si>
    <t>比较法-住宅、综合</t>
  </si>
  <si>
    <t>剩余法-待开发</t>
  </si>
  <si>
    <t>项目全部</t>
  </si>
  <si>
    <t>已全部缴纳</t>
  </si>
  <si>
    <t>容积率</t>
    <phoneticPr fontId="4" type="noConversion"/>
  </si>
  <si>
    <t>配建</t>
    <phoneticPr fontId="4" type="noConversion"/>
  </si>
  <si>
    <t>临街状况</t>
    <phoneticPr fontId="4" type="noConversion"/>
  </si>
  <si>
    <t>宗地面积</t>
    <phoneticPr fontId="4" type="noConversion"/>
  </si>
  <si>
    <t>宗地形状</t>
    <phoneticPr fontId="4" type="noConversion"/>
  </si>
  <si>
    <t>开发程度</t>
    <phoneticPr fontId="4" type="noConversion"/>
  </si>
  <si>
    <t>无</t>
    <phoneticPr fontId="22" type="noConversion"/>
  </si>
  <si>
    <t>有</t>
    <phoneticPr fontId="22" type="noConversion"/>
  </si>
  <si>
    <t>多面临街</t>
    <phoneticPr fontId="22" type="noConversion"/>
  </si>
  <si>
    <t>双面临街</t>
    <phoneticPr fontId="22" type="noConversion"/>
  </si>
  <si>
    <t>单面临街</t>
    <phoneticPr fontId="22" type="noConversion"/>
  </si>
  <si>
    <t>不临街</t>
    <phoneticPr fontId="22" type="noConversion"/>
  </si>
  <si>
    <t>0-1</t>
  </si>
  <si>
    <t>0-1</t>
    <phoneticPr fontId="22" type="noConversion"/>
  </si>
  <si>
    <t>1-2</t>
    <phoneticPr fontId="22" type="noConversion"/>
  </si>
  <si>
    <t>2-4</t>
  </si>
  <si>
    <t>2-4</t>
    <phoneticPr fontId="22" type="noConversion"/>
  </si>
  <si>
    <t>4-8</t>
  </si>
  <si>
    <t>4-8</t>
    <phoneticPr fontId="22" type="noConversion"/>
  </si>
  <si>
    <t>8-16</t>
  </si>
  <si>
    <t>8-16</t>
    <phoneticPr fontId="22" type="noConversion"/>
  </si>
  <si>
    <t>16-32</t>
  </si>
  <si>
    <t>16-32</t>
    <phoneticPr fontId="22" type="noConversion"/>
  </si>
  <si>
    <t>32-64</t>
    <phoneticPr fontId="22" type="noConversion"/>
  </si>
  <si>
    <t>土地面积</t>
    <phoneticPr fontId="22" type="noConversion"/>
  </si>
  <si>
    <t>容积率</t>
    <phoneticPr fontId="22" type="noConversion"/>
  </si>
  <si>
    <t>建筑面积</t>
    <phoneticPr fontId="22" type="noConversion"/>
  </si>
  <si>
    <t>亩数</t>
    <phoneticPr fontId="22" type="noConversion"/>
  </si>
  <si>
    <t>2（含）-3</t>
  </si>
  <si>
    <t>G(17)021\0001683</t>
    <phoneticPr fontId="22" type="noConversion"/>
  </si>
  <si>
    <t>G(17)015\0001499</t>
    <phoneticPr fontId="22" type="noConversion"/>
  </si>
  <si>
    <t>G(17)015\0001500</t>
    <phoneticPr fontId="22" type="noConversion"/>
  </si>
  <si>
    <t>G(17)0150001501</t>
    <phoneticPr fontId="22" type="noConversion"/>
  </si>
  <si>
    <t>G(17)018\0001685</t>
    <phoneticPr fontId="22" type="noConversion"/>
  </si>
  <si>
    <t>G(17)018\0001686</t>
    <phoneticPr fontId="22" type="noConversion"/>
  </si>
  <si>
    <t>G(17)019\0002163</t>
    <phoneticPr fontId="22" type="noConversion"/>
  </si>
  <si>
    <t>G(17)019\0002164</t>
    <phoneticPr fontId="22" type="noConversion"/>
  </si>
  <si>
    <t>G(17)019\0002165</t>
    <phoneticPr fontId="22" type="noConversion"/>
  </si>
  <si>
    <t>G(17)020\0001688</t>
    <phoneticPr fontId="22" type="noConversion"/>
  </si>
  <si>
    <t>G(17)020\0001751</t>
    <phoneticPr fontId="22" type="noConversion"/>
  </si>
  <si>
    <t>G(17)023\0002162</t>
    <phoneticPr fontId="22" type="noConversion"/>
  </si>
  <si>
    <t>G(17)024\0002167</t>
    <phoneticPr fontId="22" type="noConversion"/>
  </si>
  <si>
    <t>恒大花溪童世界</t>
    <phoneticPr fontId="4" type="noConversion"/>
  </si>
  <si>
    <t>花溪区</t>
    <phoneticPr fontId="4" type="noConversion"/>
  </si>
  <si>
    <t>花溪区贵筑社区云上村</t>
    <phoneticPr fontId="4" type="noConversion"/>
  </si>
  <si>
    <t>咨询对象本身所属项目较大，本地块周边为本项目其他地块，尚未开发建设，综合评价居住社区成熟度较差。</t>
    <phoneticPr fontId="4" type="noConversion"/>
  </si>
  <si>
    <t>咨询对象本身所属项目较大，本地块周边道路尚未建设完善，综合评价交通便捷度较差。</t>
    <phoneticPr fontId="4" type="noConversion"/>
  </si>
  <si>
    <t>咨询对象本身所属项目较大，公共配套设施尚未建设，综合评价公共配套设施较差。</t>
    <phoneticPr fontId="4" type="noConversion"/>
  </si>
  <si>
    <t>咨询对象本身所属项目较大，周边尚无自然及人文环境，综合评价自然及人文环境较差。</t>
    <phoneticPr fontId="4" type="noConversion"/>
  </si>
  <si>
    <t>区域土地利用方向一致。</t>
  </si>
  <si>
    <t>区域土地利用方向一致。</t>
    <phoneticPr fontId="22"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</si>
  <si>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路等公交线路经过，综合评价交通便捷度较好</t>
    </r>
    <phoneticPr fontId="27" type="noConversion"/>
  </si>
  <si>
    <r>
      <rPr>
        <sz val="11"/>
        <rFont val="宋体"/>
        <family val="3"/>
        <charset val="134"/>
      </rPr>
      <t>周边有</t>
    </r>
    <r>
      <rPr>
        <sz val="11"/>
        <rFont val="Arial"/>
        <family val="2"/>
      </rPr>
      <t>3537</t>
    </r>
    <r>
      <rPr>
        <sz val="11"/>
        <rFont val="宋体"/>
        <family val="3"/>
        <charset val="134"/>
      </rPr>
      <t>厂生活小区、险峰苑、印象花溪等项目，综合评价居住社区成熟度较好</t>
    </r>
    <phoneticPr fontId="27" type="noConversion"/>
  </si>
  <si>
    <t>周边有贵州大学、花溪区政府、花溪公园等，综合评价自然及人文环境较好</t>
  </si>
  <si>
    <t>周边有中国农业银行、友谊佳便利店、盘县牛肉馆、云上之星幼儿园、花溪第三小学、贵阳西南医院等，综合评价公共配套设施较好</t>
  </si>
  <si>
    <t>周边有桐木岭村、南溪苑、云上小区等项目，综合评价居住社区成熟度较好</t>
    <phoneticPr fontId="27" type="noConversion"/>
  </si>
  <si>
    <t>周边有203、205路等公交线路经过，综合评价交通便捷度一般</t>
    <phoneticPr fontId="27" type="noConversion"/>
  </si>
  <si>
    <t>周边有贵州省电子工业学院、山王庙、桐宝寺等，综合评价自然及人文环境较好</t>
    <phoneticPr fontId="27" type="noConversion"/>
  </si>
  <si>
    <t>周边有中国邮政储蓄银行、易捷便利店、顺丰小餐馆、花溪民族中学、桐兴医院等，综合评价公共配套设施较好</t>
    <phoneticPr fontId="27" type="noConversion"/>
  </si>
  <si>
    <t>周边有龙祥苑、茶园幸福小区、龙吉苑等项目，综合评价居住社区成熟度较好</t>
    <phoneticPr fontId="27" type="noConversion"/>
  </si>
  <si>
    <t>周边有101、291、311、观山4路等公交线路经过，综合评价交通便捷度较好</t>
    <phoneticPr fontId="27" type="noConversion"/>
  </si>
  <si>
    <t>周边有锦绣公园、贵州省化工学校、思亲园等，综合评价自然及人文环境较好</t>
    <phoneticPr fontId="27" type="noConversion"/>
  </si>
  <si>
    <t>周边有中国民生银行、居然之家、恒晖综合农贸市场、华福海鲜排档、贵阳市第一实验中学、西城医院等，综合评价公共配套设施好</t>
    <phoneticPr fontId="27" type="noConversion"/>
  </si>
  <si>
    <t>好</t>
  </si>
  <si>
    <t>G17-018</t>
    <phoneticPr fontId="4" type="noConversion"/>
  </si>
  <si>
    <t>3-4地块总平面规划方案</t>
    <phoneticPr fontId="4" type="noConversion"/>
  </si>
  <si>
    <t>3#1</t>
    <phoneticPr fontId="4" type="noConversion"/>
  </si>
  <si>
    <t>3#2</t>
    <phoneticPr fontId="4" type="noConversion"/>
  </si>
  <si>
    <t>3#3</t>
  </si>
  <si>
    <t>3#4</t>
  </si>
  <si>
    <t>3#5</t>
  </si>
  <si>
    <t>3#6</t>
  </si>
  <si>
    <t>3#7</t>
  </si>
  <si>
    <t>3#8</t>
  </si>
  <si>
    <t>3#9</t>
  </si>
  <si>
    <t>3#10</t>
  </si>
  <si>
    <t>4#1</t>
    <phoneticPr fontId="4" type="noConversion"/>
  </si>
  <si>
    <t>4#2</t>
    <phoneticPr fontId="4" type="noConversion"/>
  </si>
  <si>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</si>
  <si>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</si>
  <si>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</si>
  <si>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</si>
  <si>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</si>
  <si>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</si>
  <si>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</si>
  <si>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</si>
  <si>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</si>
  <si>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</si>
  <si>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</si>
  <si>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</si>
  <si>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</si>
  <si>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</si>
  <si>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</si>
  <si>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</si>
  <si>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</si>
  <si>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</si>
  <si>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</si>
  <si>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</si>
  <si>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</si>
  <si>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</si>
  <si>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</si>
  <si>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</si>
  <si>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</si>
  <si>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</si>
  <si>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</si>
  <si>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</si>
  <si>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</si>
  <si>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</si>
  <si>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4#S1</t>
    <phoneticPr fontId="4" type="noConversion"/>
  </si>
  <si>
    <t>4#S2</t>
    <phoneticPr fontId="4" type="noConversion"/>
  </si>
  <si>
    <t>地下</t>
  </si>
  <si>
    <t>车库</t>
  </si>
  <si>
    <t>4#地下室</t>
    <phoneticPr fontId="4" type="noConversion"/>
  </si>
  <si>
    <t>3#地下室</t>
    <phoneticPr fontId="4" type="noConversion"/>
  </si>
  <si>
    <t>地面单价</t>
    <phoneticPr fontId="234" type="noConversion"/>
  </si>
  <si>
    <t>证号</t>
    <phoneticPr fontId="234" type="noConversion"/>
  </si>
  <si>
    <t>G(17)018</t>
    <phoneticPr fontId="22" type="noConversion"/>
  </si>
  <si>
    <t>0001685</t>
    <phoneticPr fontId="234" type="noConversion"/>
  </si>
  <si>
    <t>0001686</t>
    <phoneticPr fontId="234" type="noConversion"/>
  </si>
  <si>
    <t>土地面积</t>
    <phoneticPr fontId="234" type="noConversion"/>
  </si>
  <si>
    <t>0001499</t>
    <phoneticPr fontId="234" type="noConversion"/>
  </si>
  <si>
    <t>0001500</t>
    <phoneticPr fontId="234" type="noConversion"/>
  </si>
  <si>
    <t>0002163</t>
    <phoneticPr fontId="234" type="noConversion"/>
  </si>
  <si>
    <t>0002162</t>
    <phoneticPr fontId="234" type="noConversion"/>
  </si>
  <si>
    <t>0002167</t>
    <phoneticPr fontId="234" type="noConversion"/>
  </si>
  <si>
    <t>G(17)024</t>
    <phoneticPr fontId="22" type="noConversion"/>
  </si>
  <si>
    <t>G(17)023</t>
    <phoneticPr fontId="22" type="noConversion"/>
  </si>
  <si>
    <t>G(17)020</t>
    <phoneticPr fontId="22" type="noConversion"/>
  </si>
  <si>
    <t>G(17)019</t>
    <phoneticPr fontId="22" type="noConversion"/>
  </si>
  <si>
    <t>G(17)019</t>
    <phoneticPr fontId="22" type="noConversion"/>
  </si>
  <si>
    <t>G(17)015</t>
    <phoneticPr fontId="22" type="noConversion"/>
  </si>
  <si>
    <t>G(17)021</t>
    <phoneticPr fontId="22" type="noConversion"/>
  </si>
  <si>
    <t>0001751</t>
    <phoneticPr fontId="234" type="noConversion"/>
  </si>
  <si>
    <t>0001683</t>
    <phoneticPr fontId="234" type="noConversion"/>
  </si>
  <si>
    <t>A</t>
    <phoneticPr fontId="234" type="noConversion"/>
  </si>
  <si>
    <r>
      <t>B</t>
    </r>
    <r>
      <rPr>
        <sz val="11"/>
        <color theme="1"/>
        <rFont val="宋体"/>
        <family val="3"/>
        <charset val="134"/>
        <scheme val="minor"/>
      </rPr>
      <t xml:space="preserve"> </t>
    </r>
    <phoneticPr fontId="234" type="noConversion"/>
  </si>
  <si>
    <t>C</t>
    <phoneticPr fontId="234" type="noConversion"/>
  </si>
  <si>
    <t>D</t>
    <phoneticPr fontId="234" type="noConversion"/>
  </si>
  <si>
    <t>E</t>
    <phoneticPr fontId="234" type="noConversion"/>
  </si>
  <si>
    <t>F</t>
    <phoneticPr fontId="234" type="noConversion"/>
  </si>
  <si>
    <t>G</t>
    <phoneticPr fontId="234" type="noConversion"/>
  </si>
  <si>
    <t>H</t>
    <phoneticPr fontId="234" type="noConversion"/>
  </si>
  <si>
    <t>I</t>
    <phoneticPr fontId="234" type="noConversion"/>
  </si>
  <si>
    <t>J</t>
    <phoneticPr fontId="234" type="noConversion"/>
  </si>
  <si>
    <t>K</t>
    <phoneticPr fontId="234" type="noConversion"/>
  </si>
  <si>
    <t>L</t>
    <phoneticPr fontId="234" type="noConversion"/>
  </si>
  <si>
    <t>M</t>
    <phoneticPr fontId="234" type="noConversion"/>
  </si>
  <si>
    <t>N</t>
    <phoneticPr fontId="234" type="noConversion"/>
  </si>
  <si>
    <t>O</t>
    <phoneticPr fontId="234" type="noConversion"/>
  </si>
  <si>
    <t>P</t>
    <phoneticPr fontId="234" type="noConversion"/>
  </si>
  <si>
    <t>土地价格</t>
    <phoneticPr fontId="234" type="noConversion"/>
  </si>
  <si>
    <t>合计</t>
    <phoneticPr fontId="234" type="noConversion"/>
  </si>
  <si>
    <t>贵阳市恒大童世界</t>
    <phoneticPr fontId="7" type="noConversion"/>
  </si>
  <si>
    <t>《总平面规划方案》</t>
    <phoneticPr fontId="4" type="noConversion"/>
  </si>
  <si>
    <t>周边有思源溪谷、锦花溪等项目，综合评价居住社区成熟度一般</t>
    <phoneticPr fontId="22" type="noConversion"/>
  </si>
  <si>
    <t>周边有203、204、205、花溪13路等公交线路经过，综合评价交通便捷度较好</t>
  </si>
  <si>
    <r>
      <rPr>
        <sz val="11"/>
        <rFont val="宋体"/>
        <family val="3"/>
        <charset val="134"/>
      </rPr>
      <t>周边有</t>
    </r>
    <r>
      <rPr>
        <sz val="11"/>
        <rFont val="Arial"/>
        <family val="2"/>
      </rPr>
      <t>206</t>
    </r>
    <r>
      <rPr>
        <sz val="11"/>
        <rFont val="宋体"/>
        <family val="3"/>
        <charset val="134"/>
      </rPr>
      <t>、</t>
    </r>
    <r>
      <rPr>
        <sz val="11"/>
        <rFont val="Arial"/>
        <family val="2"/>
      </rPr>
      <t>207</t>
    </r>
    <r>
      <rPr>
        <sz val="11"/>
        <rFont val="宋体"/>
        <family val="3"/>
        <charset val="134"/>
      </rPr>
      <t>、</t>
    </r>
    <r>
      <rPr>
        <sz val="11"/>
        <rFont val="Arial"/>
        <family val="2"/>
      </rPr>
      <t>255</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</si>
  <si>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周边尚未开发完善，公共配套设施较少，综合评价公共配套设施一般</t>
    <phoneticPr fontId="22" type="noConversion"/>
  </si>
  <si>
    <t>周边有贵州大学、花溪区政府、花溪公园等，综合评价自然及人文环境较好</t>
    <phoneticPr fontId="27" type="noConversion"/>
  </si>
  <si>
    <t>周边有贵阳春江生态园等，综合评价自然及人文环境一般</t>
    <phoneticPr fontId="22" type="noConversion"/>
  </si>
  <si>
    <t>周边有藏珑、羊昌坝小区、保利溪湖等项目，综合评价居住社区成熟度较好</t>
    <phoneticPr fontId="22" type="noConversion"/>
  </si>
  <si>
    <r>
      <rPr>
        <sz val="11"/>
        <rFont val="宋体"/>
        <family val="3"/>
        <charset val="134"/>
      </rPr>
      <t>周边有</t>
    </r>
    <r>
      <rPr>
        <sz val="11"/>
        <rFont val="Arial"/>
        <family val="2"/>
      </rPr>
      <t>80</t>
    </r>
    <r>
      <rPr>
        <sz val="11"/>
        <rFont val="宋体"/>
        <family val="3"/>
        <charset val="134"/>
      </rPr>
      <t>、</t>
    </r>
    <r>
      <rPr>
        <sz val="11"/>
        <rFont val="Arial"/>
        <family val="2"/>
      </rPr>
      <t>201</t>
    </r>
    <r>
      <rPr>
        <sz val="11"/>
        <rFont val="宋体"/>
        <family val="3"/>
        <charset val="134"/>
      </rPr>
      <t>、</t>
    </r>
    <r>
      <rPr>
        <sz val="11"/>
        <rFont val="Arial"/>
        <family val="2"/>
      </rPr>
      <t>202</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</si>
  <si>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周边有红兴便利店、家乐福、锦程乡土菜馆、新世纪实验中学、溪湖国际幼儿园等，综合评价公共配套设施较好</t>
    <phoneticPr fontId="22" type="noConversion"/>
  </si>
  <si>
    <t>周边有贵州大学、花溪区政府等，综合评价自然及人文环境较好</t>
    <phoneticPr fontId="22" type="noConversion"/>
  </si>
  <si>
    <t>周边有3537厂生活小区、险峰苑、印象花溪等项目，综合评价居住社区成熟度较好</t>
  </si>
  <si>
    <t>周边有中国农业银行、友谊佳便利店、盘县牛肉馆、云上之星幼儿园、花溪第三小学、贵阳西南医院等，综合评价公共配套设施较好</t>
    <phoneticPr fontId="27" type="noConversion"/>
  </si>
  <si>
    <t>高层73%</t>
    <phoneticPr fontId="4" type="noConversion"/>
  </si>
  <si>
    <t>1</t>
    <phoneticPr fontId="4" type="noConversion"/>
  </si>
  <si>
    <t>0001501</t>
    <phoneticPr fontId="234" type="noConversion"/>
  </si>
  <si>
    <t>0002164</t>
    <phoneticPr fontId="234" type="noConversion"/>
  </si>
  <si>
    <t>0002165</t>
    <phoneticPr fontId="234" type="noConversion"/>
  </si>
  <si>
    <t>0001688</t>
    <phoneticPr fontId="234" type="noConversion"/>
  </si>
  <si>
    <t>总亩数</t>
    <phoneticPr fontId="234" type="noConversion"/>
  </si>
  <si>
    <t>总面积</t>
    <phoneticPr fontId="234" type="noConversion"/>
  </si>
  <si>
    <t>序号</t>
    <phoneticPr fontId="234" type="noConversion"/>
  </si>
  <si>
    <t>地块名称</t>
    <phoneticPr fontId="234" type="noConversion"/>
  </si>
  <si>
    <t>建筑面积</t>
    <phoneticPr fontId="234" type="noConversion"/>
  </si>
  <si>
    <t>容积率</t>
    <phoneticPr fontId="234" type="noConversion"/>
  </si>
  <si>
    <t>出让</t>
  </si>
  <si>
    <t>临时道路</t>
  </si>
  <si>
    <t>临时道路</t>
    <phoneticPr fontId="27" type="noConversion"/>
  </si>
  <si>
    <t>高层、小高层</t>
  </si>
  <si>
    <t>高层、小高层</t>
    <phoneticPr fontId="22" type="noConversion"/>
  </si>
  <si>
    <t>高层</t>
  </si>
  <si>
    <t>高层</t>
    <phoneticPr fontId="22"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</si>
  <si>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</si>
  <si>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住宅、商业</t>
  </si>
  <si>
    <t>住宅、商业</t>
    <phoneticPr fontId="27" type="noConversion"/>
  </si>
  <si>
    <t>云岩区三马片区</t>
    <phoneticPr fontId="4" type="noConversion"/>
  </si>
  <si>
    <t>万科花溪大都会</t>
    <phoneticPr fontId="4" type="noConversion"/>
  </si>
  <si>
    <t>临时道路</t>
    <phoneticPr fontId="22" type="noConversion"/>
  </si>
  <si>
    <t>土方单价</t>
    <phoneticPr fontId="234" type="noConversion"/>
  </si>
  <si>
    <t>平整费用</t>
    <phoneticPr fontId="234" type="noConversion"/>
  </si>
  <si>
    <t>HC-08-02</t>
    <phoneticPr fontId="234" type="noConversion"/>
  </si>
  <si>
    <t>HC-09-03</t>
    <phoneticPr fontId="234" type="noConversion"/>
  </si>
  <si>
    <t>HC-07-06</t>
    <phoneticPr fontId="234" type="noConversion"/>
  </si>
  <si>
    <t>HC-06-02</t>
    <phoneticPr fontId="234" type="noConversion"/>
  </si>
  <si>
    <t>6868.0149平方米</t>
    <phoneticPr fontId="234" type="noConversion"/>
  </si>
  <si>
    <t>拿地价格</t>
    <phoneticPr fontId="234" type="noConversion"/>
  </si>
  <si>
    <t>拿地楼面单价</t>
    <phoneticPr fontId="234" type="noConversion"/>
  </si>
  <si>
    <t>三通</t>
  </si>
  <si>
    <t>住宅地块4</t>
  </si>
  <si>
    <t>住宅地块6</t>
  </si>
  <si>
    <t>住宅地块8</t>
  </si>
  <si>
    <t>住宅地块10</t>
  </si>
  <si>
    <t>住宅地块12</t>
  </si>
  <si>
    <t>住宅地块14</t>
  </si>
  <si>
    <t>住宅地块16</t>
  </si>
  <si>
    <t>住宅地块18</t>
  </si>
  <si>
    <t>住宅地块20</t>
  </si>
  <si>
    <t>序号</t>
    <phoneticPr fontId="234" type="noConversion"/>
  </si>
  <si>
    <t>地块名称</t>
    <phoneticPr fontId="234" type="noConversion"/>
  </si>
  <si>
    <t>《不动产权证书》证号</t>
    <phoneticPr fontId="234" type="noConversion"/>
  </si>
  <si>
    <t>地面单价</t>
    <phoneticPr fontId="234" type="noConversion"/>
  </si>
  <si>
    <t>土地面积</t>
    <phoneticPr fontId="234" type="noConversion"/>
  </si>
  <si>
    <t>土地价格</t>
    <phoneticPr fontId="234" type="noConversion"/>
  </si>
  <si>
    <t>G(17)018</t>
    <phoneticPr fontId="22" type="noConversion"/>
  </si>
  <si>
    <t>0001685</t>
    <phoneticPr fontId="234" type="noConversion"/>
  </si>
  <si>
    <t>0001686</t>
    <phoneticPr fontId="234" type="noConversion"/>
  </si>
  <si>
    <t>G(17)015</t>
    <phoneticPr fontId="22" type="noConversion"/>
  </si>
  <si>
    <t>0001499</t>
    <phoneticPr fontId="234" type="noConversion"/>
  </si>
  <si>
    <t>0001500</t>
    <phoneticPr fontId="234" type="noConversion"/>
  </si>
  <si>
    <t>0001501</t>
    <phoneticPr fontId="234" type="noConversion"/>
  </si>
  <si>
    <t>G(17)019</t>
    <phoneticPr fontId="22" type="noConversion"/>
  </si>
  <si>
    <t>0002163</t>
    <phoneticPr fontId="234" type="noConversion"/>
  </si>
  <si>
    <t>0002164</t>
    <phoneticPr fontId="234" type="noConversion"/>
  </si>
  <si>
    <t>0002165</t>
    <phoneticPr fontId="234" type="noConversion"/>
  </si>
  <si>
    <t>G(17)020</t>
    <phoneticPr fontId="22" type="noConversion"/>
  </si>
  <si>
    <t>0001688</t>
    <phoneticPr fontId="234" type="noConversion"/>
  </si>
  <si>
    <t>0001751</t>
    <phoneticPr fontId="234" type="noConversion"/>
  </si>
  <si>
    <t>G(17)021</t>
    <phoneticPr fontId="22" type="noConversion"/>
  </si>
  <si>
    <t>0001683</t>
    <phoneticPr fontId="234" type="noConversion"/>
  </si>
  <si>
    <t>G(17)023</t>
    <phoneticPr fontId="22" type="noConversion"/>
  </si>
  <si>
    <t>0002162</t>
    <phoneticPr fontId="234" type="noConversion"/>
  </si>
  <si>
    <t>G(17)024</t>
    <phoneticPr fontId="22" type="noConversion"/>
  </si>
  <si>
    <t>0002167</t>
    <phoneticPr fontId="234" type="noConversion"/>
  </si>
  <si>
    <t>HC-08-02</t>
    <phoneticPr fontId="234" type="noConversion"/>
  </si>
  <si>
    <t>——</t>
    <phoneticPr fontId="234" type="noConversion"/>
  </si>
  <si>
    <t>HC-09-03</t>
    <phoneticPr fontId="234" type="noConversion"/>
  </si>
  <si>
    <t>HC-07-06</t>
    <phoneticPr fontId="234" type="noConversion"/>
  </si>
  <si>
    <t>HC-06-02</t>
    <phoneticPr fontId="234" type="noConversion"/>
  </si>
  <si>
    <r>
      <rPr>
        <sz val="10"/>
        <color theme="1"/>
        <rFont val="宋体"/>
        <family val="3"/>
        <charset val="134"/>
      </rPr>
      <t>住宅地块</t>
    </r>
    <r>
      <rPr>
        <sz val="10"/>
        <color theme="1"/>
        <rFont val="Arial"/>
        <family val="2"/>
      </rPr>
      <t>1</t>
    </r>
    <phoneticPr fontId="234" type="noConversion"/>
  </si>
  <si>
    <t>住宅地块2</t>
    <phoneticPr fontId="234" type="noConversion"/>
  </si>
  <si>
    <r>
      <rPr>
        <sz val="10"/>
        <color theme="1"/>
        <rFont val="宋体"/>
        <family val="3"/>
        <charset val="134"/>
      </rPr>
      <t>住宅地块</t>
    </r>
    <r>
      <rPr>
        <sz val="10"/>
        <color theme="1"/>
        <rFont val="Arial"/>
        <family val="2"/>
      </rPr>
      <t>3</t>
    </r>
    <r>
      <rPr>
        <sz val="11"/>
        <color theme="1"/>
        <rFont val="宋体"/>
        <family val="2"/>
        <charset val="134"/>
        <scheme val="minor"/>
      </rPr>
      <t/>
    </r>
  </si>
  <si>
    <r>
      <rPr>
        <sz val="10"/>
        <color theme="1"/>
        <rFont val="宋体"/>
        <family val="3"/>
        <charset val="134"/>
      </rPr>
      <t>住宅地块</t>
    </r>
    <r>
      <rPr>
        <sz val="10"/>
        <color theme="1"/>
        <rFont val="Arial"/>
        <family val="2"/>
      </rPr>
      <t>5</t>
    </r>
    <r>
      <rPr>
        <sz val="11"/>
        <color theme="1"/>
        <rFont val="宋体"/>
        <family val="2"/>
        <charset val="134"/>
        <scheme val="minor"/>
      </rPr>
      <t/>
    </r>
  </si>
  <si>
    <r>
      <rPr>
        <sz val="10"/>
        <color theme="1"/>
        <rFont val="宋体"/>
        <family val="3"/>
        <charset val="134"/>
      </rPr>
      <t>住宅地块</t>
    </r>
    <r>
      <rPr>
        <sz val="10"/>
        <color theme="1"/>
        <rFont val="Arial"/>
        <family val="2"/>
      </rPr>
      <t>7</t>
    </r>
    <r>
      <rPr>
        <sz val="11"/>
        <color theme="1"/>
        <rFont val="宋体"/>
        <family val="2"/>
        <charset val="134"/>
        <scheme val="minor"/>
      </rPr>
      <t/>
    </r>
  </si>
  <si>
    <r>
      <rPr>
        <sz val="10"/>
        <color theme="1"/>
        <rFont val="宋体"/>
        <family val="3"/>
        <charset val="134"/>
      </rPr>
      <t>住宅地块</t>
    </r>
    <r>
      <rPr>
        <sz val="10"/>
        <color theme="1"/>
        <rFont val="Arial"/>
        <family val="2"/>
      </rPr>
      <t>9</t>
    </r>
    <r>
      <rPr>
        <sz val="11"/>
        <color theme="1"/>
        <rFont val="宋体"/>
        <family val="2"/>
        <charset val="134"/>
        <scheme val="minor"/>
      </rPr>
      <t/>
    </r>
  </si>
  <si>
    <r>
      <rPr>
        <sz val="10"/>
        <color theme="1"/>
        <rFont val="宋体"/>
        <family val="3"/>
        <charset val="134"/>
      </rPr>
      <t>住宅地块</t>
    </r>
    <r>
      <rPr>
        <sz val="10"/>
        <color theme="1"/>
        <rFont val="Arial"/>
        <family val="2"/>
      </rPr>
      <t>11</t>
    </r>
    <r>
      <rPr>
        <sz val="11"/>
        <color theme="1"/>
        <rFont val="宋体"/>
        <family val="2"/>
        <charset val="134"/>
        <scheme val="minor"/>
      </rPr>
      <t/>
    </r>
  </si>
  <si>
    <r>
      <rPr>
        <sz val="10"/>
        <color theme="1"/>
        <rFont val="宋体"/>
        <family val="3"/>
        <charset val="134"/>
      </rPr>
      <t>住宅地块</t>
    </r>
    <r>
      <rPr>
        <sz val="10"/>
        <color theme="1"/>
        <rFont val="Arial"/>
        <family val="2"/>
      </rPr>
      <t>13</t>
    </r>
    <r>
      <rPr>
        <sz val="11"/>
        <color theme="1"/>
        <rFont val="宋体"/>
        <family val="2"/>
        <charset val="134"/>
        <scheme val="minor"/>
      </rPr>
      <t/>
    </r>
  </si>
  <si>
    <r>
      <rPr>
        <sz val="10"/>
        <color theme="1"/>
        <rFont val="宋体"/>
        <family val="3"/>
        <charset val="134"/>
      </rPr>
      <t>住宅地块</t>
    </r>
    <r>
      <rPr>
        <sz val="10"/>
        <color theme="1"/>
        <rFont val="Arial"/>
        <family val="2"/>
      </rPr>
      <t>15</t>
    </r>
    <r>
      <rPr>
        <sz val="11"/>
        <color theme="1"/>
        <rFont val="宋体"/>
        <family val="2"/>
        <charset val="134"/>
        <scheme val="minor"/>
      </rPr>
      <t/>
    </r>
  </si>
  <si>
    <r>
      <rPr>
        <sz val="10"/>
        <color theme="1"/>
        <rFont val="宋体"/>
        <family val="3"/>
        <charset val="134"/>
      </rPr>
      <t>住宅地块</t>
    </r>
    <r>
      <rPr>
        <sz val="10"/>
        <color theme="1"/>
        <rFont val="Arial"/>
        <family val="2"/>
      </rPr>
      <t>17</t>
    </r>
    <r>
      <rPr>
        <sz val="11"/>
        <color theme="1"/>
        <rFont val="宋体"/>
        <family val="2"/>
        <charset val="134"/>
        <scheme val="minor"/>
      </rPr>
      <t/>
    </r>
  </si>
  <si>
    <r>
      <rPr>
        <sz val="10"/>
        <color theme="1"/>
        <rFont val="宋体"/>
        <family val="3"/>
        <charset val="134"/>
      </rPr>
      <t>住宅地块</t>
    </r>
    <r>
      <rPr>
        <sz val="10"/>
        <color theme="1"/>
        <rFont val="Arial"/>
        <family val="2"/>
      </rPr>
      <t>19</t>
    </r>
    <r>
      <rPr>
        <sz val="11"/>
        <color theme="1"/>
        <rFont val="宋体"/>
        <family val="2"/>
        <charset val="134"/>
        <scheme val="minor"/>
      </rPr>
      <t/>
    </r>
  </si>
  <si>
    <r>
      <rPr>
        <sz val="10"/>
        <color theme="1"/>
        <rFont val="宋体"/>
        <family val="3"/>
        <charset val="134"/>
      </rPr>
      <t>住宅地块</t>
    </r>
    <r>
      <rPr>
        <sz val="10"/>
        <color theme="1"/>
        <rFont val="Arial"/>
        <family val="2"/>
      </rPr>
      <t>21</t>
    </r>
    <r>
      <rPr>
        <sz val="11"/>
        <color theme="1"/>
        <rFont val="宋体"/>
        <family val="2"/>
        <charset val="134"/>
        <scheme val="minor"/>
      </rPr>
      <t/>
    </r>
  </si>
  <si>
    <t>合计</t>
    <phoneticPr fontId="234" type="noConversion"/>
  </si>
  <si>
    <t>用地6868.0149平方米</t>
    <phoneticPr fontId="234" type="noConversion"/>
  </si>
  <si>
    <t>科教面积</t>
    <phoneticPr fontId="234" type="noConversion"/>
  </si>
  <si>
    <t>花溪配建公租房7.5万㎡，是建在贵安新区的一块地上，现在还未取得土地</t>
    <phoneticPr fontId="234" type="noConversion"/>
  </si>
  <si>
    <t>就是住宅09（兼容20%后勤服务配套）</t>
    <phoneticPr fontId="234" type="noConversion"/>
  </si>
  <si>
    <t>土地面积</t>
    <phoneticPr fontId="234" type="noConversion"/>
  </si>
  <si>
    <t>修改前</t>
    <phoneticPr fontId="234" type="noConversion"/>
  </si>
  <si>
    <t>差额</t>
    <phoneticPr fontId="234" type="noConversion"/>
  </si>
  <si>
    <t>平整土地</t>
    <phoneticPr fontId="234" type="noConversion"/>
  </si>
  <si>
    <t>平整价格</t>
    <phoneticPr fontId="234" type="noConversion"/>
  </si>
  <si>
    <t>平整单价</t>
    <phoneticPr fontId="234" type="noConversion"/>
  </si>
  <si>
    <t>不扣平整费用</t>
    <phoneticPr fontId="234" type="noConversion"/>
  </si>
  <si>
    <t>已注销</t>
  </si>
  <si>
    <t>不计科教</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</si>
</sst>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279" fillId="0" borderId="0" applyNumberFormat="0" applyFill="0" applyBorder="0" applyAlignment="0" applyProtection="0">
      <alignment vertical="center"/>
    </xf>
  </cellStyleXfs>
  <cellXfs count="355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5" borderId="31"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49" fontId="12" fillId="0" borderId="2" xfId="0" applyNumberFormat="1" applyFont="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279" fillId="0" borderId="0" xfId="15">
      <alignment vertical="center"/>
    </xf>
    <xf numFmtId="0" fontId="271" fillId="0" borderId="105" xfId="0" applyNumberFormat="1" applyFont="1" applyFill="1" applyBorder="1" applyAlignment="1" applyProtection="1">
      <alignment horizontal="center" vertical="center" wrapText="1"/>
      <protection locked="0"/>
    </xf>
    <xf numFmtId="0" fontId="271" fillId="0" borderId="31"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49" fontId="77" fillId="0" borderId="107"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0" fillId="0" borderId="0" xfId="0" applyNumberFormat="1">
      <alignment vertical="center"/>
    </xf>
    <xf numFmtId="179" fontId="0" fillId="0" borderId="0" xfId="0" applyNumberFormat="1">
      <alignment vertical="center"/>
    </xf>
    <xf numFmtId="0" fontId="146" fillId="0" borderId="7" xfId="0" applyFont="1" applyBorder="1" applyAlignment="1">
      <alignment horizontal="center" vertical="center"/>
    </xf>
    <xf numFmtId="0" fontId="0" fillId="0" borderId="12" xfId="0"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07" fillId="7" borderId="16" xfId="0" applyNumberFormat="1" applyFont="1" applyFill="1" applyBorder="1" applyAlignment="1" applyProtection="1">
      <alignment horizontal="center" vertical="center" wrapText="1"/>
      <protection locked="0"/>
    </xf>
    <xf numFmtId="0" fontId="0" fillId="6" borderId="52" xfId="0" applyFill="1" applyBorder="1" applyAlignment="1">
      <alignment horizontal="center" vertical="center"/>
    </xf>
    <xf numFmtId="0" fontId="0" fillId="6" borderId="46" xfId="0" applyFill="1" applyBorder="1" applyAlignment="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lignment vertical="center"/>
    </xf>
    <xf numFmtId="0" fontId="146" fillId="0" borderId="0" xfId="0" applyFont="1" applyBorder="1" applyAlignment="1">
      <alignment horizontal="center" vertical="center"/>
    </xf>
    <xf numFmtId="0" fontId="0" fillId="0" borderId="0" xfId="0" applyBorder="1" applyAlignment="1">
      <alignment horizontal="center" vertical="center"/>
    </xf>
    <xf numFmtId="0" fontId="0" fillId="6" borderId="0" xfId="0" applyFill="1" applyBorder="1" applyAlignment="1">
      <alignment horizontal="center" vertical="center"/>
    </xf>
    <xf numFmtId="183" fontId="79" fillId="10" borderId="2" xfId="0" applyNumberFormat="1" applyFont="1" applyFill="1" applyBorder="1" applyAlignment="1" applyProtection="1">
      <alignment horizontal="center" vertical="center" shrinkToFit="1"/>
      <protection locked="0"/>
    </xf>
    <xf numFmtId="0" fontId="72" fillId="10" borderId="30" xfId="0" applyNumberFormat="1" applyFont="1" applyFill="1" applyBorder="1" applyAlignment="1" applyProtection="1">
      <alignment horizontal="center" vertical="center" wrapText="1"/>
      <protection locked="0"/>
    </xf>
    <xf numFmtId="49" fontId="85" fillId="10" borderId="11" xfId="0" applyNumberFormat="1" applyFont="1" applyFill="1" applyBorder="1" applyAlignment="1" applyProtection="1">
      <alignment horizontal="center" vertical="center" wrapText="1"/>
      <protection locked="0"/>
    </xf>
    <xf numFmtId="0" fontId="146" fillId="0" borderId="1" xfId="0" applyFont="1" applyFill="1" applyBorder="1" applyAlignment="1">
      <alignment horizontal="center" vertical="center"/>
    </xf>
    <xf numFmtId="49" fontId="146" fillId="0" borderId="6" xfId="0" applyNumberFormat="1" applyFont="1" applyFill="1" applyBorder="1" applyAlignment="1">
      <alignment horizontal="center" vertical="center"/>
    </xf>
    <xf numFmtId="0" fontId="146" fillId="0" borderId="6" xfId="0" applyFont="1" applyFill="1" applyBorder="1" applyAlignment="1">
      <alignment horizontal="center" vertical="center"/>
    </xf>
    <xf numFmtId="179" fontId="146" fillId="0" borderId="6" xfId="0" applyNumberFormat="1" applyFont="1" applyFill="1" applyBorder="1" applyAlignment="1">
      <alignment horizontal="center" vertical="center"/>
    </xf>
    <xf numFmtId="179" fontId="146" fillId="0" borderId="29" xfId="0" applyNumberFormat="1" applyFont="1" applyFill="1" applyBorder="1" applyAlignment="1">
      <alignment horizontal="center" vertical="center"/>
    </xf>
    <xf numFmtId="0" fontId="158" fillId="0" borderId="11" xfId="0" applyFont="1" applyFill="1" applyBorder="1" applyAlignment="1" applyProtection="1">
      <alignment horizontal="center" vertical="center"/>
      <protection locked="0"/>
    </xf>
    <xf numFmtId="49" fontId="158" fillId="0" borderId="2"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79" fontId="0" fillId="0" borderId="2" xfId="0" applyNumberFormat="1" applyFill="1" applyBorder="1" applyAlignment="1">
      <alignment horizontal="center" vertical="center"/>
    </xf>
    <xf numFmtId="179" fontId="0" fillId="0" borderId="5" xfId="0" applyNumberFormat="1" applyFill="1" applyBorder="1" applyAlignment="1">
      <alignment horizontal="center" vertical="center"/>
    </xf>
    <xf numFmtId="0" fontId="0" fillId="0" borderId="11" xfId="0" applyFill="1" applyBorder="1" applyAlignment="1">
      <alignment horizontal="center" vertical="center"/>
    </xf>
    <xf numFmtId="49" fontId="0" fillId="0" borderId="2" xfId="0" applyNumberFormat="1" applyFill="1" applyBorder="1" applyAlignment="1">
      <alignment horizontal="center" vertical="center"/>
    </xf>
    <xf numFmtId="0" fontId="146" fillId="0" borderId="11" xfId="0" applyFont="1" applyFill="1" applyBorder="1" applyAlignment="1">
      <alignment horizontal="center" vertical="center"/>
    </xf>
    <xf numFmtId="0" fontId="0" fillId="0" borderId="43" xfId="0" applyFill="1" applyBorder="1" applyAlignment="1">
      <alignment horizontal="center" vertical="center"/>
    </xf>
    <xf numFmtId="49" fontId="0" fillId="0" borderId="44" xfId="0" applyNumberFormat="1" applyFill="1" applyBorder="1" applyAlignment="1">
      <alignment horizontal="center" vertical="center"/>
    </xf>
    <xf numFmtId="179" fontId="146" fillId="0" borderId="44" xfId="0" applyNumberFormat="1" applyFont="1" applyFill="1" applyBorder="1" applyAlignment="1">
      <alignment horizontal="center" vertical="center"/>
    </xf>
    <xf numFmtId="179" fontId="146" fillId="0" borderId="45" xfId="0" applyNumberFormat="1" applyFont="1" applyFill="1" applyBorder="1" applyAlignment="1">
      <alignment horizontal="center" vertical="center"/>
    </xf>
    <xf numFmtId="0" fontId="146" fillId="0" borderId="0" xfId="0" applyFont="1" applyFill="1" applyBorder="1">
      <alignment vertical="center"/>
    </xf>
    <xf numFmtId="0" fontId="0" fillId="0" borderId="0" xfId="0" applyFill="1" applyBorder="1" applyAlignment="1">
      <alignment horizontal="center" vertical="center"/>
    </xf>
    <xf numFmtId="0" fontId="0" fillId="0" borderId="0" xfId="0" applyFill="1">
      <alignment vertical="center"/>
    </xf>
    <xf numFmtId="0" fontId="146" fillId="0" borderId="2" xfId="0" applyFont="1" applyBorder="1">
      <alignment vertical="center"/>
    </xf>
    <xf numFmtId="0" fontId="146" fillId="0" borderId="2" xfId="0" applyFont="1" applyFill="1" applyBorder="1" applyAlignment="1">
      <alignment horizontal="center" vertical="center"/>
    </xf>
    <xf numFmtId="49" fontId="146" fillId="0" borderId="2" xfId="0" applyNumberFormat="1" applyFont="1" applyFill="1" applyBorder="1" applyAlignment="1">
      <alignment horizontal="center" vertical="center"/>
    </xf>
    <xf numFmtId="179" fontId="146" fillId="0" borderId="2" xfId="0" applyNumberFormat="1" applyFont="1" applyFill="1" applyBorder="1" applyAlignment="1">
      <alignment horizontal="center" vertical="center"/>
    </xf>
    <xf numFmtId="0" fontId="146" fillId="0" borderId="2" xfId="0" applyFont="1" applyBorder="1" applyAlignment="1">
      <alignment horizontal="center" vertical="center"/>
    </xf>
    <xf numFmtId="49" fontId="153" fillId="0" borderId="2" xfId="0" applyNumberFormat="1" applyFont="1" applyFill="1" applyBorder="1" applyAlignment="1" applyProtection="1">
      <alignment horizontal="center" vertical="center"/>
      <protection locked="0"/>
    </xf>
    <xf numFmtId="0" fontId="146" fillId="0" borderId="0" xfId="0" applyFont="1" applyBorder="1">
      <alignment vertical="center"/>
    </xf>
    <xf numFmtId="0" fontId="280" fillId="0" borderId="0" xfId="0" applyFont="1" applyBorder="1" applyAlignment="1">
      <alignment horizontal="center" vertical="center" wrapText="1"/>
    </xf>
    <xf numFmtId="0" fontId="146" fillId="0" borderId="0" xfId="0" applyFont="1" applyFill="1">
      <alignment vertical="center"/>
    </xf>
    <xf numFmtId="49" fontId="146" fillId="0" borderId="0" xfId="0" applyNumberFormat="1" applyFont="1">
      <alignment vertical="center"/>
    </xf>
    <xf numFmtId="179" fontId="146" fillId="0" borderId="0" xfId="0" applyNumberFormat="1" applyFont="1">
      <alignment vertical="center"/>
    </xf>
    <xf numFmtId="0" fontId="146" fillId="0" borderId="0" xfId="0" applyFont="1" applyFill="1" applyBorder="1" applyAlignment="1">
      <alignment horizontal="center" vertical="center"/>
    </xf>
    <xf numFmtId="0" fontId="0" fillId="0" borderId="12" xfId="0" applyFill="1" applyBorder="1" applyAlignment="1">
      <alignment horizontal="center" vertical="center"/>
    </xf>
    <xf numFmtId="0" fontId="146" fillId="6" borderId="11" xfId="0" applyFont="1" applyFill="1" applyBorder="1" applyAlignment="1">
      <alignment horizontal="center" vertical="center"/>
    </xf>
    <xf numFmtId="49" fontId="0" fillId="6" borderId="2" xfId="0" applyNumberFormat="1" applyFill="1" applyBorder="1" applyAlignment="1">
      <alignment horizontal="center" vertical="center"/>
    </xf>
    <xf numFmtId="0" fontId="0" fillId="6" borderId="2" xfId="0" applyFill="1" applyBorder="1" applyAlignment="1">
      <alignment horizontal="center" vertical="center"/>
    </xf>
    <xf numFmtId="179" fontId="0" fillId="6" borderId="2" xfId="0" applyNumberFormat="1" applyFill="1" applyBorder="1" applyAlignment="1">
      <alignment horizontal="center" vertical="center"/>
    </xf>
    <xf numFmtId="0" fontId="0" fillId="6" borderId="11" xfId="0" applyFill="1" applyBorder="1" applyAlignment="1">
      <alignment horizontal="center" vertical="center"/>
    </xf>
    <xf numFmtId="179" fontId="0" fillId="6" borderId="5" xfId="0" applyNumberFormat="1" applyFill="1" applyBorder="1" applyAlignment="1">
      <alignment horizontal="center" vertical="center"/>
    </xf>
    <xf numFmtId="0" fontId="146" fillId="6" borderId="0" xfId="0" applyFont="1" applyFill="1">
      <alignment vertical="center"/>
    </xf>
    <xf numFmtId="0" fontId="0" fillId="6" borderId="0" xfId="0" applyFill="1">
      <alignment vertical="center"/>
    </xf>
    <xf numFmtId="0" fontId="148" fillId="0" borderId="0" xfId="0" applyFont="1">
      <alignment vertical="center"/>
    </xf>
    <xf numFmtId="179" fontId="148" fillId="0" borderId="0" xfId="0" applyNumberFormat="1" applyFont="1">
      <alignment vertical="center"/>
    </xf>
    <xf numFmtId="0" fontId="148" fillId="0" borderId="0" xfId="0" applyFont="1" applyFill="1" applyBorder="1">
      <alignment vertical="center"/>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179" fontId="146" fillId="0" borderId="2" xfId="0" applyNumberFormat="1" applyFont="1" applyFill="1" applyBorder="1" applyAlignment="1">
      <alignment horizontal="center" vertical="center"/>
    </xf>
    <xf numFmtId="0" fontId="153" fillId="0" borderId="2" xfId="0" applyFont="1" applyFill="1" applyBorder="1" applyAlignment="1" applyProtection="1">
      <alignment horizontal="center" vertical="center"/>
      <protection locked="0"/>
    </xf>
    <xf numFmtId="0" fontId="146" fillId="0" borderId="2" xfId="0" applyFont="1" applyFill="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179" fontId="0" fillId="16" borderId="10" xfId="0" applyNumberFormat="1" applyFill="1" applyBorder="1" applyAlignment="1">
      <alignment horizontal="center" vertical="center"/>
    </xf>
    <xf numFmtId="179" fontId="0" fillId="16" borderId="21" xfId="0" applyNumberFormat="1" applyFill="1" applyBorder="1" applyAlignment="1">
      <alignment horizontal="center" vertical="center"/>
    </xf>
    <xf numFmtId="179" fontId="0" fillId="16" borderId="3" xfId="0" applyNumberFormat="1" applyFill="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9"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6" borderId="2" xfId="0" applyFont="1" applyFill="1" applyBorder="1" applyAlignment="1">
      <alignment horizontal="center" vertical="center"/>
    </xf>
    <xf numFmtId="0" fontId="146" fillId="6" borderId="2" xfId="0" applyFont="1" applyFill="1" applyBorder="1">
      <alignment vertical="center"/>
    </xf>
    <xf numFmtId="0" fontId="153" fillId="6" borderId="2" xfId="0" applyFont="1" applyFill="1" applyBorder="1" applyAlignment="1" applyProtection="1">
      <alignment horizontal="center" vertical="center"/>
      <protection locked="0"/>
    </xf>
    <xf numFmtId="49" fontId="153" fillId="6" borderId="2" xfId="0" applyNumberFormat="1" applyFont="1" applyFill="1" applyBorder="1" applyAlignment="1" applyProtection="1">
      <alignment horizontal="center" vertical="center"/>
      <protection locked="0"/>
    </xf>
    <xf numFmtId="179" fontId="146" fillId="6" borderId="2" xfId="0" applyNumberFormat="1" applyFont="1"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23</xdr:row>
      <xdr:rowOff>0</xdr:rowOff>
    </xdr:from>
    <xdr:to>
      <xdr:col>24</xdr:col>
      <xdr:colOff>151182</xdr:colOff>
      <xdr:row>49</xdr:row>
      <xdr:rowOff>113728</xdr:rowOff>
    </xdr:to>
    <xdr:pic>
      <xdr:nvPicPr>
        <xdr:cNvPr id="2" name="图片 1"/>
        <xdr:cNvPicPr>
          <a:picLocks noChangeAspect="1"/>
        </xdr:cNvPicPr>
      </xdr:nvPicPr>
      <xdr:blipFill>
        <a:blip xmlns:r="http://schemas.openxmlformats.org/officeDocument/2006/relationships" r:embed="rId1"/>
        <a:stretch>
          <a:fillRect/>
        </a:stretch>
      </xdr:blipFill>
      <xdr:spPr>
        <a:xfrm>
          <a:off x="8943975" y="3943350"/>
          <a:ext cx="9752382" cy="4580953"/>
        </a:xfrm>
        <a:prstGeom prst="rect">
          <a:avLst/>
        </a:prstGeom>
      </xdr:spPr>
    </xdr:pic>
    <xdr:clientData/>
  </xdr:twoCellAnchor>
  <xdr:twoCellAnchor editAs="oneCell">
    <xdr:from>
      <xdr:col>10</xdr:col>
      <xdr:colOff>0</xdr:colOff>
      <xdr:row>52</xdr:row>
      <xdr:rowOff>0</xdr:rowOff>
    </xdr:from>
    <xdr:to>
      <xdr:col>20</xdr:col>
      <xdr:colOff>103905</xdr:colOff>
      <xdr:row>81</xdr:row>
      <xdr:rowOff>56522</xdr:rowOff>
    </xdr:to>
    <xdr:pic>
      <xdr:nvPicPr>
        <xdr:cNvPr id="3" name="图片 2"/>
        <xdr:cNvPicPr>
          <a:picLocks noChangeAspect="1"/>
        </xdr:cNvPicPr>
      </xdr:nvPicPr>
      <xdr:blipFill>
        <a:blip xmlns:r="http://schemas.openxmlformats.org/officeDocument/2006/relationships" r:embed="rId2"/>
        <a:stretch>
          <a:fillRect/>
        </a:stretch>
      </xdr:blipFill>
      <xdr:spPr>
        <a:xfrm>
          <a:off x="8943975" y="8924925"/>
          <a:ext cx="6961905" cy="5028572"/>
        </a:xfrm>
        <a:prstGeom prst="rect">
          <a:avLst/>
        </a:prstGeom>
      </xdr:spPr>
    </xdr:pic>
    <xdr:clientData/>
  </xdr:twoCellAnchor>
  <xdr:twoCellAnchor editAs="oneCell">
    <xdr:from>
      <xdr:col>10</xdr:col>
      <xdr:colOff>0</xdr:colOff>
      <xdr:row>85</xdr:row>
      <xdr:rowOff>0</xdr:rowOff>
    </xdr:from>
    <xdr:to>
      <xdr:col>17</xdr:col>
      <xdr:colOff>370829</xdr:colOff>
      <xdr:row>107</xdr:row>
      <xdr:rowOff>142386</xdr:rowOff>
    </xdr:to>
    <xdr:pic>
      <xdr:nvPicPr>
        <xdr:cNvPr id="4" name="图片 3"/>
        <xdr:cNvPicPr>
          <a:picLocks noChangeAspect="1"/>
        </xdr:cNvPicPr>
      </xdr:nvPicPr>
      <xdr:blipFill>
        <a:blip xmlns:r="http://schemas.openxmlformats.org/officeDocument/2006/relationships" r:embed="rId3"/>
        <a:stretch>
          <a:fillRect/>
        </a:stretch>
      </xdr:blipFill>
      <xdr:spPr>
        <a:xfrm>
          <a:off x="8943975" y="14582775"/>
          <a:ext cx="5171429"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19048" cy="4809524"/>
        </a:xfrm>
        <a:prstGeom prst="rect">
          <a:avLst/>
        </a:prstGeom>
      </xdr:spPr>
    </xdr:pic>
    <xdr:clientData/>
  </xdr:twoCellAnchor>
  <xdr:twoCellAnchor editAs="oneCell">
    <xdr:from>
      <xdr:col>0</xdr:col>
      <xdr:colOff>0</xdr:colOff>
      <xdr:row>28</xdr:row>
      <xdr:rowOff>0</xdr:rowOff>
    </xdr:from>
    <xdr:to>
      <xdr:col>10</xdr:col>
      <xdr:colOff>199143</xdr:colOff>
      <xdr:row>46</xdr:row>
      <xdr:rowOff>151995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057143" cy="3238095"/>
        </a:xfrm>
        <a:prstGeom prst="rect">
          <a:avLst/>
        </a:prstGeom>
      </xdr:spPr>
    </xdr:pic>
    <xdr:clientData/>
  </xdr:twoCellAnchor>
  <xdr:twoCellAnchor editAs="oneCell">
    <xdr:from>
      <xdr:col>0</xdr:col>
      <xdr:colOff>0</xdr:colOff>
      <xdr:row>47</xdr:row>
      <xdr:rowOff>0</xdr:rowOff>
    </xdr:from>
    <xdr:to>
      <xdr:col>10</xdr:col>
      <xdr:colOff>675334</xdr:colOff>
      <xdr:row>72</xdr:row>
      <xdr:rowOff>142322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7533334" cy="4428572"/>
        </a:xfrm>
        <a:prstGeom prst="rect">
          <a:avLst/>
        </a:prstGeom>
      </xdr:spPr>
    </xdr:pic>
    <xdr:clientData/>
  </xdr:twoCellAnchor>
  <xdr:twoCellAnchor editAs="oneCell">
    <xdr:from>
      <xdr:col>0</xdr:col>
      <xdr:colOff>0</xdr:colOff>
      <xdr:row>73</xdr:row>
      <xdr:rowOff>0</xdr:rowOff>
    </xdr:from>
    <xdr:to>
      <xdr:col>11</xdr:col>
      <xdr:colOff>465724</xdr:colOff>
      <xdr:row>97</xdr:row>
      <xdr:rowOff>66153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8009524" cy="4180953"/>
        </a:xfrm>
        <a:prstGeom prst="rect">
          <a:avLst/>
        </a:prstGeom>
      </xdr:spPr>
    </xdr:pic>
    <xdr:clientData/>
  </xdr:twoCellAnchor>
  <xdr:twoCellAnchor editAs="oneCell">
    <xdr:from>
      <xdr:col>0</xdr:col>
      <xdr:colOff>0</xdr:colOff>
      <xdr:row>98</xdr:row>
      <xdr:rowOff>0</xdr:rowOff>
    </xdr:from>
    <xdr:to>
      <xdr:col>11</xdr:col>
      <xdr:colOff>684772</xdr:colOff>
      <xdr:row>106</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228572" cy="1485714"/>
        </a:xfrm>
        <a:prstGeom prst="rect">
          <a:avLst/>
        </a:prstGeom>
      </xdr:spPr>
    </xdr:pic>
    <xdr:clientData/>
  </xdr:twoCellAnchor>
  <xdr:twoCellAnchor editAs="oneCell">
    <xdr:from>
      <xdr:col>0</xdr:col>
      <xdr:colOff>0</xdr:colOff>
      <xdr:row>109</xdr:row>
      <xdr:rowOff>0</xdr:rowOff>
    </xdr:from>
    <xdr:to>
      <xdr:col>8</xdr:col>
      <xdr:colOff>523124</xdr:colOff>
      <xdr:row>135</xdr:row>
      <xdr:rowOff>8967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688050"/>
          <a:ext cx="6009524" cy="4466667"/>
        </a:xfrm>
        <a:prstGeom prst="rect">
          <a:avLst/>
        </a:prstGeom>
      </xdr:spPr>
    </xdr:pic>
    <xdr:clientData/>
  </xdr:twoCellAnchor>
  <xdr:twoCellAnchor editAs="oneCell">
    <xdr:from>
      <xdr:col>0</xdr:col>
      <xdr:colOff>0</xdr:colOff>
      <xdr:row>134</xdr:row>
      <xdr:rowOff>161925</xdr:rowOff>
    </xdr:from>
    <xdr:to>
      <xdr:col>9</xdr:col>
      <xdr:colOff>665896</xdr:colOff>
      <xdr:row>153</xdr:row>
      <xdr:rowOff>85328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136225"/>
          <a:ext cx="6838096" cy="3180953"/>
        </a:xfrm>
        <a:prstGeom prst="rect">
          <a:avLst/>
        </a:prstGeom>
      </xdr:spPr>
    </xdr:pic>
    <xdr:clientData/>
  </xdr:twoCellAnchor>
  <xdr:twoCellAnchor editAs="oneCell">
    <xdr:from>
      <xdr:col>0</xdr:col>
      <xdr:colOff>0</xdr:colOff>
      <xdr:row>154</xdr:row>
      <xdr:rowOff>0</xdr:rowOff>
    </xdr:from>
    <xdr:to>
      <xdr:col>9</xdr:col>
      <xdr:colOff>103991</xdr:colOff>
      <xdr:row>180</xdr:row>
      <xdr:rowOff>85157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403300"/>
          <a:ext cx="6276191" cy="4542857"/>
        </a:xfrm>
        <a:prstGeom prst="rect">
          <a:avLst/>
        </a:prstGeom>
      </xdr:spPr>
    </xdr:pic>
    <xdr:clientData/>
  </xdr:twoCellAnchor>
  <xdr:twoCellAnchor editAs="oneCell">
    <xdr:from>
      <xdr:col>0</xdr:col>
      <xdr:colOff>0</xdr:colOff>
      <xdr:row>181</xdr:row>
      <xdr:rowOff>0</xdr:rowOff>
    </xdr:from>
    <xdr:to>
      <xdr:col>11</xdr:col>
      <xdr:colOff>656201</xdr:colOff>
      <xdr:row>203</xdr:row>
      <xdr:rowOff>47148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8200001" cy="3819048"/>
        </a:xfrm>
        <a:prstGeom prst="rect">
          <a:avLst/>
        </a:prstGeom>
      </xdr:spPr>
    </xdr:pic>
    <xdr:clientData/>
  </xdr:twoCellAnchor>
  <xdr:twoCellAnchor editAs="oneCell">
    <xdr:from>
      <xdr:col>0</xdr:col>
      <xdr:colOff>0</xdr:colOff>
      <xdr:row>204</xdr:row>
      <xdr:rowOff>0</xdr:rowOff>
    </xdr:from>
    <xdr:to>
      <xdr:col>12</xdr:col>
      <xdr:colOff>56115</xdr:colOff>
      <xdr:row>217</xdr:row>
      <xdr:rowOff>28293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975800"/>
          <a:ext cx="8285715" cy="2257143"/>
        </a:xfrm>
        <a:prstGeom prst="rect">
          <a:avLst/>
        </a:prstGeom>
      </xdr:spPr>
    </xdr:pic>
    <xdr:clientData/>
  </xdr:twoCellAnchor>
  <xdr:twoCellAnchor editAs="oneCell">
    <xdr:from>
      <xdr:col>0</xdr:col>
      <xdr:colOff>0</xdr:colOff>
      <xdr:row>218</xdr:row>
      <xdr:rowOff>0</xdr:rowOff>
    </xdr:from>
    <xdr:to>
      <xdr:col>10</xdr:col>
      <xdr:colOff>56286</xdr:colOff>
      <xdr:row>243</xdr:row>
      <xdr:rowOff>113750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376100"/>
          <a:ext cx="6914286" cy="4400000"/>
        </a:xfrm>
        <a:prstGeom prst="rect">
          <a:avLst/>
        </a:prstGeom>
      </xdr:spPr>
    </xdr:pic>
    <xdr:clientData/>
  </xdr:twoCellAnchor>
  <xdr:twoCellAnchor editAs="oneCell">
    <xdr:from>
      <xdr:col>0</xdr:col>
      <xdr:colOff>0</xdr:colOff>
      <xdr:row>244</xdr:row>
      <xdr:rowOff>0</xdr:rowOff>
    </xdr:from>
    <xdr:to>
      <xdr:col>12</xdr:col>
      <xdr:colOff>8496</xdr:colOff>
      <xdr:row>278</xdr:row>
      <xdr:rowOff>113558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833800"/>
          <a:ext cx="8238096" cy="5942858"/>
        </a:xfrm>
        <a:prstGeom prst="rect">
          <a:avLst/>
        </a:prstGeom>
      </xdr:spPr>
    </xdr:pic>
    <xdr:clientData/>
  </xdr:twoCellAnchor>
  <xdr:twoCellAnchor editAs="oneCell">
    <xdr:from>
      <xdr:col>0</xdr:col>
      <xdr:colOff>0</xdr:colOff>
      <xdr:row>279</xdr:row>
      <xdr:rowOff>0</xdr:rowOff>
    </xdr:from>
    <xdr:to>
      <xdr:col>11</xdr:col>
      <xdr:colOff>637153</xdr:colOff>
      <xdr:row>311</xdr:row>
      <xdr:rowOff>65981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834550"/>
          <a:ext cx="8180953" cy="5552381"/>
        </a:xfrm>
        <a:prstGeom prst="rect">
          <a:avLst/>
        </a:prstGeom>
      </xdr:spPr>
    </xdr:pic>
    <xdr:clientData/>
  </xdr:twoCellAnchor>
  <xdr:twoCellAnchor editAs="oneCell">
    <xdr:from>
      <xdr:col>0</xdr:col>
      <xdr:colOff>0</xdr:colOff>
      <xdr:row>312</xdr:row>
      <xdr:rowOff>0</xdr:rowOff>
    </xdr:from>
    <xdr:to>
      <xdr:col>12</xdr:col>
      <xdr:colOff>179924</xdr:colOff>
      <xdr:row>327</xdr:row>
      <xdr:rowOff>123488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3492400"/>
          <a:ext cx="8409524" cy="2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84515</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5"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10-28&#36149;&#38451;&#33457;&#28330;-&#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28&#36149;&#38451;&#33457;&#28330;-&#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H19">
            <v>460374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D18">
            <v>1007521.57</v>
          </cell>
          <cell r="E18">
            <v>1172347.24</v>
          </cell>
        </row>
        <row r="19">
          <cell r="D19">
            <v>1511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huaxidaduhuiwk.fang.com/house/3314140092/housedetail.htm" TargetMode="External"/><Relationship Id="rId1" Type="http://schemas.openxmlformats.org/officeDocument/2006/relationships/hyperlink" Target="http://huaxiyihaobgy.fang.com/house/3314139582/housedetail.htm" TargetMode="External"/><Relationship Id="rId4"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2662</v>
      </c>
      <c r="B1" s="2914" t="s">
        <v>2759</v>
      </c>
    </row>
    <row r="2" spans="1:55" s="2918" customFormat="1" ht="15" thickTop="1">
      <c r="A2" s="2916" t="s">
        <v>2666</v>
      </c>
      <c r="B2" s="2917" t="str">
        <f>'预评函-封皮'!B37</f>
        <v>贵州省贵阳市恒大童世界出让国有建设用地使用权抵押价格预评估</v>
      </c>
      <c r="AX2" s="2919"/>
      <c r="AZ2" s="2919"/>
      <c r="BA2" s="2920"/>
      <c r="BC2" s="2920"/>
    </row>
    <row r="3" spans="1:55" s="2921" customFormat="1">
      <c r="A3" s="2900" t="s">
        <v>2667</v>
      </c>
      <c r="B3" s="2903" t="str">
        <f>'预评函-封皮'!B40</f>
        <v>恒大</v>
      </c>
    </row>
    <row r="4" spans="1:55" s="2902" customFormat="1">
      <c r="A4" s="2900" t="s">
        <v>2668</v>
      </c>
      <c r="B4" s="2901" t="str">
        <f>'预评函-封皮'!B46</f>
        <v>欧红伟、梁津</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2669</v>
      </c>
      <c r="B5" s="2923" t="str">
        <f>'预评函-封皮'!B49</f>
        <v>康正预评字号</v>
      </c>
    </row>
    <row r="6" spans="1:55" s="2924" customFormat="1" ht="15" thickTop="1">
      <c r="A6" s="2916" t="s">
        <v>2711</v>
      </c>
      <c r="B6" s="2917" t="str">
        <f>'预评函-1'!A4</f>
        <v>受贵公司委托，我公司对贵州省贵阳市恒大童世界出让国有建设用地使用权抵押价格进行了预评估。</v>
      </c>
      <c r="AM6" s="2925"/>
    </row>
    <row r="7" spans="1:55" s="2899" customFormat="1">
      <c r="A7" s="2900" t="s">
        <v>2663</v>
      </c>
      <c r="B7" s="2901" t="str">
        <f>'预评函-1'!A6</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8" spans="1:55" s="2899" customFormat="1">
      <c r="A8" s="2900" t="s">
        <v>2664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2714</v>
      </c>
      <c r="B9" s="2901"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2665</v>
      </c>
      <c r="B10" s="2901" t="str">
        <f>'预评函-1'!A11</f>
        <v>2017年10月23日（评估专业人员勘察现场之日）</v>
      </c>
    </row>
    <row r="11" spans="1:55" s="2899" customFormat="1">
      <c r="A11" s="2900" t="s">
        <v>2671</v>
      </c>
      <c r="B11" s="2901" t="str">
        <f>'预评函-1'!A14</f>
        <v>根据《不动产权证书》，本次评估估价对象证载（地类）用途为城镇住宅用地。</v>
      </c>
    </row>
    <row r="12" spans="1:55" s="2899" customFormat="1">
      <c r="A12" s="2900" t="s">
        <v>2672</v>
      </c>
      <c r="B12" s="2901" t="str">
        <f>'预评函-1'!A15</f>
        <v>本次评估设定用途即为证载用途住宅。</v>
      </c>
    </row>
    <row r="13" spans="1:55" s="2899" customFormat="1">
      <c r="A13" s="2900" t="s">
        <v>2673</v>
      </c>
      <c r="B13" s="2901" t="str">
        <f>'预评函-1'!A17</f>
        <v>根据委托估价方介绍及评估专业人员现场勘查，本次评估估价对象实际土地开发程度为红线外市政基础设施达“七通”（即、、、、、、）、宗地红线内场地未平整，。</v>
      </c>
    </row>
    <row r="14" spans="1:55" s="2899" customFormat="1">
      <c r="A14" s="2900" t="s">
        <v>2674</v>
      </c>
      <c r="B14" s="2901" t="str">
        <f>'预评函-1'!A18</f>
        <v>本次评估设定土地开发程度为红线外市政基础设施达“七通”、宗地红线内场地未平整。</v>
      </c>
    </row>
    <row r="15" spans="1:55" s="2899" customFormat="1">
      <c r="A15" s="2900" t="s">
        <v>2670</v>
      </c>
      <c r="B15" s="2901" t="str">
        <f>'预评函-1'!A20</f>
        <v>根据《不动产权证书》，估价对象（分摊）出让国有建设用地使用权面积为158684平方米。根据《总平面规划方案》，估价对象规划建筑面积为457656.18平方米。</v>
      </c>
    </row>
    <row r="16" spans="1:55" s="2899" customFormat="1">
      <c r="A16" s="2900" t="s">
        <v>2675</v>
      </c>
      <c r="B16" s="2901" t="str">
        <f>'预评函-1'!A22</f>
        <v>本次估价对象为出让国有建设用地使用权，《不动产权证书》证载土地终止日期为住宅2087年6月12日、商业2057年6月12日。截至估价期日，出让国有建设用地使用权剩余土地使用年限为住宅70年、商业40年。</v>
      </c>
    </row>
    <row r="17" spans="1:48" s="2899" customFormat="1">
      <c r="A17" s="2900" t="s">
        <v>2676</v>
      </c>
      <c r="B17" s="2901" t="str">
        <f>'预评函-1'!A23</f>
        <v>本次评估设定估价对象剩余土地使用年限为住宅70年、商业40年。</v>
      </c>
    </row>
    <row r="18" spans="1:48" s="2899" customFormat="1">
      <c r="A18" s="2900" t="s">
        <v>2677</v>
      </c>
      <c r="B18" s="2901" t="str">
        <f>'预评函-1'!A25</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19" spans="1:48" s="2899" customFormat="1">
      <c r="A19" s="2900" t="s">
        <v>2678</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2681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2682</v>
      </c>
      <c r="B23" s="2901" t="str">
        <f>'预评函-2'!K2</f>
        <v>估价期日：2017年10月23日</v>
      </c>
    </row>
    <row r="24" spans="1:48">
      <c r="A24" s="2900" t="s">
        <v>2683</v>
      </c>
      <c r="B24" s="2901" t="str">
        <f>'预评函-2'!R2</f>
        <v>估价期日的国有建设用地使用权性质：出让</v>
      </c>
    </row>
    <row r="25" spans="1:48">
      <c r="A25" s="2900" t="s">
        <v>2739</v>
      </c>
      <c r="B25" s="2901" t="str">
        <f>'预评函-2'!A3</f>
        <v>估价期日土地使用者</v>
      </c>
    </row>
    <row r="26" spans="1:48">
      <c r="A26" s="2900" t="s">
        <v>2715</v>
      </c>
      <c r="B26" s="2901" t="str">
        <f>'预评函-2'!A5</f>
        <v>中信开发</v>
      </c>
    </row>
    <row r="27" spans="1:48">
      <c r="A27" s="2900" t="s">
        <v>2740</v>
      </c>
      <c r="B27" s="2901" t="str">
        <f>'预评函-2'!B3</f>
        <v>宗地编号/不动产单元号</v>
      </c>
    </row>
    <row r="28" spans="1:48">
      <c r="A28" s="2900" t="s">
        <v>2716</v>
      </c>
      <c r="B28" s="2901" t="str">
        <f>'预评函-2'!B5</f>
        <v>11111111111</v>
      </c>
    </row>
    <row r="29" spans="1:48">
      <c r="A29" s="2900" t="s">
        <v>2742</v>
      </c>
      <c r="B29" s="2901">
        <f>'预评函-2'!C5</f>
        <v>22</v>
      </c>
    </row>
    <row r="30" spans="1:48">
      <c r="A30" s="2900" t="s">
        <v>2743</v>
      </c>
      <c r="B30" s="2901" t="str">
        <f>'预评函-2'!D3</f>
        <v>土地使用证编号/不动产权证书编号</v>
      </c>
    </row>
    <row r="31" spans="1:48">
      <c r="A31" s="2900" t="s">
        <v>2717</v>
      </c>
      <c r="B31" s="2901" t="str">
        <f>'预评函-2'!D5</f>
        <v>京国土字第111号</v>
      </c>
    </row>
    <row r="32" spans="1:48">
      <c r="A32" s="2900" t="s">
        <v>2718</v>
      </c>
      <c r="B32" s="2901" t="str">
        <f>'预评函-2'!E5</f>
        <v>城镇住宅用地</v>
      </c>
      <c r="AV32" s="2905"/>
    </row>
    <row r="33" spans="1:2">
      <c r="A33" s="2900" t="s">
        <v>2719</v>
      </c>
      <c r="B33" s="2901">
        <f>'预评函-2'!F5</f>
        <v>258</v>
      </c>
    </row>
    <row r="34" spans="1:2">
      <c r="A34" s="2900" t="s">
        <v>2720</v>
      </c>
      <c r="B34" s="2901" t="str">
        <f>'预评函-2'!G5</f>
        <v>住宅</v>
      </c>
    </row>
    <row r="35" spans="1:2">
      <c r="A35" s="2900" t="s">
        <v>2721</v>
      </c>
      <c r="B35" s="2901">
        <f>'预评函-2'!H5</f>
        <v>1.5</v>
      </c>
    </row>
    <row r="36" spans="1:2">
      <c r="A36" s="2900" t="s">
        <v>2722</v>
      </c>
      <c r="B36" s="2901">
        <f>'预评函-2'!I5</f>
        <v>1.5</v>
      </c>
    </row>
    <row r="37" spans="1:2">
      <c r="A37" s="2900" t="s">
        <v>2723</v>
      </c>
      <c r="B37" s="2901">
        <f>'预评函-2'!J5</f>
        <v>1.5</v>
      </c>
    </row>
    <row r="38" spans="1:2">
      <c r="A38" s="2900" t="s">
        <v>2724</v>
      </c>
      <c r="B38" s="2901" t="str">
        <f>'预评函-2'!K5</f>
        <v>红线外七通、宗地红线内场地未平整</v>
      </c>
    </row>
    <row r="39" spans="1:2">
      <c r="A39" s="2900" t="s">
        <v>2725</v>
      </c>
      <c r="B39" s="2901" t="str">
        <f>'预评函-2'!L5</f>
        <v>红线外七通、宗地红线内场地未平整</v>
      </c>
    </row>
    <row r="40" spans="1:2">
      <c r="A40" s="2900" t="s">
        <v>2744</v>
      </c>
      <c r="B40" s="2901" t="str">
        <f>'预评函-2'!M3</f>
        <v>（剩余）土地使用年限/年</v>
      </c>
    </row>
    <row r="41" spans="1:2">
      <c r="A41" s="2900" t="s">
        <v>2726</v>
      </c>
      <c r="B41" s="2901" t="str">
        <f>'预评函-2'!M5</f>
        <v>住宅70年、商业40年</v>
      </c>
    </row>
    <row r="42" spans="1:2">
      <c r="A42" s="2900" t="s">
        <v>2745</v>
      </c>
      <c r="B42" s="2901" t="str">
        <f>'预评函-2'!N3</f>
        <v>（分摊）出让国有建设用地使用权面积/㎡</v>
      </c>
    </row>
    <row r="43" spans="1:2">
      <c r="A43" s="2900" t="s">
        <v>2727</v>
      </c>
      <c r="B43" s="2901">
        <f>'预评函-2'!N5</f>
        <v>158684</v>
      </c>
    </row>
    <row r="44" spans="1:2">
      <c r="A44" s="2900" t="s">
        <v>2746</v>
      </c>
      <c r="B44" s="2901" t="str">
        <f>'预评函-2'!O3</f>
        <v>规划建筑面积/㎡</v>
      </c>
    </row>
    <row r="45" spans="1:2">
      <c r="A45" s="2900" t="s">
        <v>2728</v>
      </c>
      <c r="B45" s="2901">
        <f>'预评函-2'!O5</f>
        <v>457656.17999999993</v>
      </c>
    </row>
    <row r="46" spans="1:2">
      <c r="A46" s="2900" t="s">
        <v>2729</v>
      </c>
      <c r="B46" s="2901">
        <f ca="1">'预评函-2'!P5</f>
        <v>3649</v>
      </c>
    </row>
    <row r="47" spans="1:2">
      <c r="A47" s="2900" t="s">
        <v>2730</v>
      </c>
      <c r="B47" s="2901">
        <f ca="1">'预评函-2'!Q5</f>
        <v>1265</v>
      </c>
    </row>
    <row r="48" spans="1:2">
      <c r="A48" s="2900" t="s">
        <v>2731</v>
      </c>
      <c r="B48" s="2901">
        <f ca="1">'预评函-2'!R5</f>
        <v>57911</v>
      </c>
    </row>
    <row r="49" spans="1:2">
      <c r="A49" s="2900" t="s">
        <v>2747</v>
      </c>
      <c r="B49" s="2901" t="str">
        <f>'预评函-2'!A6</f>
        <v>抵押价格</v>
      </c>
    </row>
    <row r="50" spans="1:2">
      <c r="A50" s="2900" t="s">
        <v>2732</v>
      </c>
      <c r="B50" s="2901" t="str">
        <f>'预评函-2'!R6</f>
        <v>——</v>
      </c>
    </row>
    <row r="51" spans="1:2">
      <c r="A51" s="2900" t="s">
        <v>2748</v>
      </c>
      <c r="B51" s="2901" t="str">
        <f>'预评函-2'!A7</f>
        <v>——</v>
      </c>
    </row>
    <row r="52" spans="1:2">
      <c r="A52" s="2900" t="s">
        <v>2733</v>
      </c>
      <c r="B52" s="2901">
        <f ca="1">'预评函-2'!R7</f>
        <v>57911</v>
      </c>
    </row>
    <row r="53" spans="1:2">
      <c r="A53" s="2900" t="s">
        <v>2749</v>
      </c>
      <c r="B53" s="2901">
        <f>'预评函-2'!A8</f>
        <v>0</v>
      </c>
    </row>
    <row r="54" spans="1:2" s="2915" customFormat="1" ht="15" thickBot="1">
      <c r="A54" s="2922" t="s">
        <v>2734</v>
      </c>
      <c r="B54" s="2923" t="str">
        <f>'预评函-2'!R8</f>
        <v>——</v>
      </c>
    </row>
    <row r="55" spans="1:2" ht="15" thickTop="1">
      <c r="A55" s="2911" t="s">
        <v>2684</v>
      </c>
      <c r="B55" s="2912" t="str">
        <f>'预评函-3'!A2</f>
        <v>1.权利限制：根据估价对象《不动产权证书》复印件、，截至估价期日，估价对象已设定抵押。未设定租赁等其他他项权利。</v>
      </c>
    </row>
    <row r="56" spans="1:2">
      <c r="A56" s="2900" t="s">
        <v>2685</v>
      </c>
      <c r="B56" s="2901" t="str">
        <f>'预评函-3'!A3</f>
        <v>2.基础设施条件：估价对象实际开发程度为红线外七通、宗地红线内场地未平整；本次评估设定开发程度为红线外七通、宗地红线内场地未平整。</v>
      </c>
    </row>
    <row r="57" spans="1:2">
      <c r="A57" s="2900" t="s">
        <v>2686</v>
      </c>
      <c r="B57" s="2901" t="str">
        <f>'预评函-3'!A4</f>
        <v>3.估价规划限制条件：详见《总平面规划方案》。</v>
      </c>
    </row>
    <row r="58" spans="1:2" s="2915" customFormat="1" ht="15" thickBot="1">
      <c r="A58" s="2922" t="s">
        <v>2735</v>
      </c>
      <c r="B58" s="2923" t="str">
        <f>'预评函-3'!A5</f>
        <v>4.影响价格的其他限定条件：无。</v>
      </c>
    </row>
    <row r="59" spans="1:2" ht="15" thickTop="1">
      <c r="A59" s="2911" t="s">
        <v>2687</v>
      </c>
      <c r="B59" s="2912" t="str">
        <f>'预评函-3'!A8</f>
        <v>2.本《评估意见函》仅供金融机构进行内部审核使用，不做其他目的之用。</v>
      </c>
    </row>
    <row r="60" spans="1:2">
      <c r="A60" s="2900" t="s">
        <v>2688</v>
      </c>
      <c r="B60" s="2901" t="str">
        <f>'预评函-3'!A9</f>
        <v>3.抵押双方在办理抵押登记手续时，应使用本公司出具的正式《土地估价报告》，特提请报告使用者注意。</v>
      </c>
    </row>
    <row r="61" spans="1:2">
      <c r="A61" s="2900" t="s">
        <v>2690</v>
      </c>
      <c r="B61" s="2901" t="str">
        <f>'预评函-3'!A10</f>
        <v>4.估价师所知悉的法定优先受偿款情况为：</v>
      </c>
    </row>
    <row r="62" spans="1:2">
      <c r="A62" s="2900" t="s">
        <v>2689</v>
      </c>
      <c r="B62" s="2901" t="str">
        <f>'预评函-3'!A11</f>
        <v>（1）根据估价对象《不动产权证书》复印件、，截至估价期日，估价对象已设定抵押。上述抵押权设定日期为，权利人为，权利范围为，权利价值为。</v>
      </c>
    </row>
    <row r="63" spans="1:2">
      <c r="A63" s="2900" t="s">
        <v>2691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2692</v>
      </c>
      <c r="B64" s="2906" t="str">
        <f>'预评函-3'!A13</f>
        <v>（3）。</v>
      </c>
    </row>
    <row r="65" spans="1:2">
      <c r="A65" s="2900" t="s">
        <v>2693</v>
      </c>
      <c r="B65" s="2907" t="str">
        <f>'预评函-3'!A14</f>
        <v>综上，本次评估不存在估价师知悉的法定优先受偿款</v>
      </c>
    </row>
    <row r="66" spans="1:2">
      <c r="A66" s="2900" t="s">
        <v>2694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2698</v>
      </c>
      <c r="B68" s="2926">
        <f>'预评函-3'!D30</f>
        <v>42558</v>
      </c>
    </row>
    <row r="69" spans="1:2" ht="15" thickTop="1">
      <c r="A69" s="2911" t="s">
        <v>2696</v>
      </c>
      <c r="B69" s="2912" t="str">
        <f>'预评函-3'!A20</f>
        <v>欧红伟</v>
      </c>
    </row>
    <row r="70" spans="1:2">
      <c r="A70" s="2900" t="s">
        <v>2696</v>
      </c>
      <c r="B70" s="2907">
        <f ca="1">'预评函-3'!B20</f>
        <v>2000110082</v>
      </c>
    </row>
    <row r="71" spans="1:2">
      <c r="A71" s="2900" t="s">
        <v>2697</v>
      </c>
      <c r="B71" s="2901" t="str">
        <f>'预评函-3'!A21</f>
        <v>梁津</v>
      </c>
    </row>
    <row r="72" spans="1:2" s="2915" customFormat="1" ht="15" thickBot="1">
      <c r="A72" s="2922" t="s">
        <v>2697</v>
      </c>
      <c r="B72" s="2928">
        <f ca="1">'预评函-3'!B21</f>
        <v>96010014</v>
      </c>
    </row>
    <row r="73" spans="1:2" ht="15" thickTop="1">
      <c r="A73" s="2911" t="s">
        <v>2756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2793</v>
      </c>
      <c r="B76" s="291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0"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5" t="s">
        <v>2947</v>
      </c>
      <c r="C18" s="1553"/>
    </row>
    <row r="19" spans="1:3">
      <c r="A19" s="8" t="s">
        <v>120</v>
      </c>
      <c r="B19" s="3135" t="s">
        <v>2955</v>
      </c>
      <c r="C19" s="1553"/>
    </row>
    <row r="20" spans="1:3">
      <c r="A20" s="8" t="s">
        <v>121</v>
      </c>
      <c r="B20" s="8" t="s">
        <v>3252</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拟使用贵州省贵阳市恒大童世界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77"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c r="D53" s="1767"/>
      <c r="E53" s="1767"/>
    </row>
    <row r="54" spans="1:5">
      <c r="A54" s="3277"/>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7"/>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7"/>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7"/>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9" sqref="B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80" t="str">
        <f>IF(B10="北京市","北京市",C10)&amp;F10&amp;B16&amp;"国有建设用地使用权"&amp;B9&amp;"预评估"</f>
        <v>贵州省贵阳市恒大童世界出让国有建设用地使用权抵押价格预评估</v>
      </c>
      <c r="C1" s="3281"/>
      <c r="D1" s="3281"/>
      <c r="E1" s="3281"/>
      <c r="F1" s="3281"/>
      <c r="G1" s="3281"/>
      <c r="H1" s="3281"/>
      <c r="I1" s="3282"/>
      <c r="J1" s="1692"/>
      <c r="K1" s="2475" t="str">
        <f>IF(B10="北京市","北京市",C10)&amp;F10&amp;B16&amp;"国有建设用地使用权"&amp;B9</f>
        <v>贵州省贵阳市恒大童世界出让国有建设用地使用权抵押价格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5" t="str">
        <f>IF(B10="北京市","北京市",C10)&amp;F10&amp;B16&amp;"国有建设用地使用权"</f>
        <v>贵州省贵阳市恒大童世界出让国有建设用地使用权</v>
      </c>
      <c r="L2" s="1721"/>
      <c r="M2" s="1721"/>
      <c r="N2" s="1692"/>
      <c r="O2" s="1693"/>
      <c r="P2" s="1692"/>
      <c r="Q2" s="1692"/>
      <c r="R2" s="1692"/>
      <c r="S2" s="1692"/>
      <c r="T2" s="1692"/>
      <c r="U2" s="1692"/>
    </row>
    <row r="3" spans="1:21">
      <c r="A3" s="1659" t="s">
        <v>1943</v>
      </c>
      <c r="B3" s="1660">
        <v>43031</v>
      </c>
      <c r="C3" s="1661" t="s">
        <v>1997</v>
      </c>
      <c r="D3" s="1660">
        <f>B3</f>
        <v>43031</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2961</v>
      </c>
      <c r="C4" s="1844">
        <f ca="1">SUMIF(土地估价师,B4,估价师及机构信息!E3:E24)</f>
        <v>2000110082</v>
      </c>
      <c r="D4" s="1841" t="s">
        <v>2962</v>
      </c>
      <c r="E4" s="1844">
        <f ca="1">SUMIF(土地估价师,D4,估价师及机构信息!E3:E24)</f>
        <v>96010014</v>
      </c>
      <c r="F4" s="1841" t="s">
        <v>953</v>
      </c>
      <c r="G4" s="1844">
        <f>SUMIF(土地估价师,F4,估价师及机构信息!E3:E24)</f>
        <v>0</v>
      </c>
      <c r="H4" s="1841" t="s">
        <v>953</v>
      </c>
      <c r="I4" s="1844">
        <f>SUMIF(土地估价师,H4,估价师及机构信息!E3:E24)</f>
        <v>0</v>
      </c>
      <c r="J4" s="1692"/>
      <c r="K4" s="2475" t="str">
        <f>IF(AND(F4="——",H4="——"),B4&amp;"、"&amp;D4,IF(AND(F4&lt;&gt;"——",H4="——"),B4&amp;"、"&amp;D4&amp;"、"&amp;F4,B4&amp;"、"&amp;D4&amp;"、"&amp;F4&amp;"、"&amp;H4))</f>
        <v>欧红伟、梁津</v>
      </c>
      <c r="L4" s="1721"/>
      <c r="M4" s="1721"/>
      <c r="N4" s="1692"/>
      <c r="O4" s="1693"/>
      <c r="P4" s="1692"/>
      <c r="Q4" s="1692"/>
      <c r="R4" s="1692"/>
      <c r="S4" s="1692"/>
      <c r="T4" s="1692"/>
      <c r="U4" s="1692"/>
    </row>
    <row r="5" spans="1:21" ht="15" thickTop="1">
      <c r="A5" s="1663" t="s">
        <v>1945</v>
      </c>
      <c r="B5" s="1787" t="s">
        <v>2963</v>
      </c>
      <c r="C5" s="1664"/>
      <c r="D5" s="1665"/>
      <c r="E5" s="1692"/>
      <c r="F5" s="1692"/>
      <c r="G5" s="1692"/>
      <c r="H5" s="1658"/>
      <c r="I5" s="1693"/>
      <c r="J5" s="1692"/>
      <c r="K5" s="1772"/>
      <c r="L5" s="1721"/>
      <c r="M5" s="1721"/>
      <c r="N5" s="1692"/>
      <c r="O5" s="1693"/>
      <c r="P5" s="1692"/>
      <c r="Q5" s="1692"/>
      <c r="R5" s="1692"/>
      <c r="S5" s="1692"/>
      <c r="T5" s="1692"/>
      <c r="U5" s="1692"/>
    </row>
    <row r="6" spans="1:21" ht="26.25">
      <c r="A6" s="1661" t="s">
        <v>2712</v>
      </c>
      <c r="B6" s="1787" t="s">
        <v>2964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2713</v>
      </c>
      <c r="B7" s="1787" t="s">
        <v>2963</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2965</v>
      </c>
      <c r="C8" s="1669"/>
      <c r="D8" s="3286" t="s">
        <v>1948</v>
      </c>
      <c r="E8" s="1842" t="s">
        <v>3332</v>
      </c>
      <c r="F8" s="1670"/>
      <c r="G8" s="1658"/>
      <c r="H8" s="1658"/>
      <c r="I8" s="1705"/>
      <c r="J8" s="1692"/>
      <c r="K8" s="1772"/>
      <c r="L8" s="1721"/>
      <c r="M8" s="1721"/>
      <c r="N8" s="1692"/>
      <c r="O8" s="1693"/>
      <c r="P8" s="1692"/>
      <c r="Q8" s="1692"/>
      <c r="R8" s="1692"/>
      <c r="S8" s="1692"/>
      <c r="T8" s="1692"/>
      <c r="U8" s="1692"/>
    </row>
    <row r="9" spans="1:21" ht="15" thickBot="1">
      <c r="A9" s="1671" t="s">
        <v>1947</v>
      </c>
      <c r="B9" s="1672" t="s">
        <v>2966</v>
      </c>
      <c r="C9" s="1673"/>
      <c r="D9" s="3287"/>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2967</v>
      </c>
      <c r="C10" s="1674" t="s">
        <v>2968</v>
      </c>
      <c r="D10" s="1665"/>
      <c r="E10" s="1675" t="s">
        <v>1950</v>
      </c>
      <c r="F10" s="1676" t="s">
        <v>3219</v>
      </c>
      <c r="G10" s="1743"/>
      <c r="H10" s="1744"/>
      <c r="I10" s="1665"/>
      <c r="J10" s="1692"/>
      <c r="K10" s="1772"/>
      <c r="L10" s="1721"/>
      <c r="M10" s="1721"/>
      <c r="N10" s="1692"/>
      <c r="O10" s="1693"/>
      <c r="P10" s="1692"/>
      <c r="Q10" s="1692"/>
      <c r="R10" s="1692"/>
      <c r="S10" s="1692"/>
      <c r="T10" s="1692"/>
      <c r="U10" s="1692"/>
    </row>
    <row r="11" spans="1:21">
      <c r="A11" s="1695" t="s">
        <v>2001</v>
      </c>
      <c r="B11" s="1696" t="s">
        <v>2969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83" t="s">
        <v>2970</v>
      </c>
      <c r="C12" s="3284"/>
      <c r="D12" s="3285"/>
      <c r="E12" s="1697" t="s">
        <v>2062</v>
      </c>
      <c r="F12" s="3301" t="s">
        <v>2971</v>
      </c>
      <c r="G12" s="3302"/>
      <c r="H12" s="3302"/>
      <c r="I12" s="3303"/>
      <c r="J12" s="1692"/>
      <c r="K12" s="1772"/>
      <c r="L12" s="1721"/>
      <c r="M12" s="1721"/>
      <c r="N12" s="1692"/>
      <c r="O12" s="1693"/>
      <c r="P12" s="1692"/>
      <c r="Q12" s="1692"/>
      <c r="R12" s="1692"/>
      <c r="S12" s="1692"/>
      <c r="T12" s="1692"/>
      <c r="U12" s="1692"/>
    </row>
    <row r="13" spans="1:21">
      <c r="A13" s="1685" t="s">
        <v>2060</v>
      </c>
      <c r="B13" s="3283" t="s">
        <v>2972</v>
      </c>
      <c r="C13" s="3284"/>
      <c r="D13" s="3285"/>
      <c r="E13" s="1697" t="s">
        <v>2062</v>
      </c>
      <c r="F13" s="3301" t="str">
        <f>F12</f>
        <v>《不动产权证书》</v>
      </c>
      <c r="G13" s="3302"/>
      <c r="H13" s="3302"/>
      <c r="I13" s="3303"/>
      <c r="J13" s="1692"/>
      <c r="K13" s="1772"/>
      <c r="L13" s="1721"/>
      <c r="M13" s="1721"/>
      <c r="N13" s="1692"/>
      <c r="O13" s="1693"/>
      <c r="P13" s="1692"/>
      <c r="Q13" s="1692"/>
      <c r="R13" s="1692"/>
      <c r="S13" s="1692"/>
      <c r="T13" s="1692"/>
      <c r="U13" s="1692"/>
    </row>
    <row r="14" spans="1:21">
      <c r="A14" s="1659" t="s">
        <v>2063</v>
      </c>
      <c r="B14" s="1697"/>
      <c r="C14" s="1843" t="s">
        <v>2973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3245</v>
      </c>
      <c r="C16" s="1697" t="s">
        <v>1952</v>
      </c>
      <c r="D16" s="2667" t="s">
        <v>1953</v>
      </c>
      <c r="E16" s="1720" t="s">
        <v>2974</v>
      </c>
      <c r="F16" s="1720"/>
      <c r="G16" s="1720"/>
      <c r="H16" s="1720"/>
      <c r="I16" s="1684" t="s">
        <v>1958</v>
      </c>
      <c r="J16" s="1692"/>
      <c r="K16" s="2476" t="str">
        <f>IF(D17="","",D16&amp;TEXT(D17,"yyyy年m月d日;;"))</f>
        <v>住宅2087年6月12日</v>
      </c>
      <c r="L16" s="1697" t="str">
        <f>IF(OR(K16="",M16=""),"","、")</f>
        <v>、</v>
      </c>
      <c r="M16" s="2476" t="str">
        <f>IF(E17="","",E16&amp;TEXT(E17,"yyyy年m月d日;;"))</f>
        <v>商业2057年6月12日</v>
      </c>
      <c r="N16" s="1697" t="str">
        <f>IF(OR(M16="",O16=""),"","、")</f>
        <v/>
      </c>
      <c r="O16" s="2476" t="str">
        <f>IF(F17="","",F16&amp;TEXT(F17,"yyyy年m月d日;;"))</f>
        <v/>
      </c>
      <c r="P16" s="1697" t="str">
        <f>IF(OR(O16="",Q16=""),"","、")</f>
        <v/>
      </c>
      <c r="Q16" s="2476" t="str">
        <f>IF(G17="","",G16&amp;TEXT(G17,"yyyy年m月d日;;"))</f>
        <v/>
      </c>
      <c r="R16" s="1697" t="str">
        <f>IF(OR(Q16="",S16=""),"","、")</f>
        <v/>
      </c>
      <c r="S16" s="2476" t="str">
        <f>IF(H17="","",H16&amp;TEXT(H17,"yyyy年m月d日;;"))</f>
        <v/>
      </c>
      <c r="T16" s="1697" t="str">
        <f>IF(OR(S16="",U16=""),"","、")</f>
        <v/>
      </c>
      <c r="U16" s="2476" t="str">
        <f>IF(I17="","",I16&amp;TEXT(I17,"yyyy年m月d日;;"))</f>
        <v/>
      </c>
    </row>
    <row r="17" spans="1:21">
      <c r="A17" s="1761"/>
      <c r="B17" s="1680"/>
      <c r="C17" s="1681" t="s">
        <v>1959</v>
      </c>
      <c r="D17" s="3200">
        <v>68465</v>
      </c>
      <c r="E17" s="3200">
        <v>57508</v>
      </c>
      <c r="F17" s="3200"/>
      <c r="G17" s="3200"/>
      <c r="H17" s="1698"/>
      <c r="I17" s="1698"/>
      <c r="J17" s="1692"/>
      <c r="K17" s="2475" t="str">
        <f>CONCATENATE(K16,L16,M16,N16,O16,P16,Q16,R16,S16,T16,,U16)</f>
        <v>住宅2087年6月12日、商业2057年6月12日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69.680000000000007</v>
      </c>
      <c r="E19" s="1683">
        <f>IF(B16="出让",IF(E17="","",ROUNDDOWN(MIN((E17-$D$3)/365,E18),2)),E18)</f>
        <v>39.659999999999997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98" t="s">
        <v>2975</v>
      </c>
      <c r="E20" s="3299"/>
      <c r="F20" s="3299"/>
      <c r="G20" s="3299"/>
      <c r="H20" s="3299"/>
      <c r="I20" s="3300"/>
      <c r="J20" s="1692"/>
      <c r="K20" s="1772"/>
      <c r="L20" s="1721"/>
      <c r="M20" s="1721"/>
      <c r="N20" s="1692"/>
      <c r="O20" s="1693"/>
      <c r="P20" s="1692"/>
      <c r="Q20" s="1692"/>
      <c r="R20" s="1692"/>
      <c r="S20" s="1692"/>
      <c r="T20" s="1692"/>
      <c r="U20" s="1692"/>
    </row>
    <row r="21" spans="1:21">
      <c r="A21" s="1761" t="s">
        <v>1962</v>
      </c>
      <c r="B21" s="1762" t="s">
        <v>1963</v>
      </c>
      <c r="C21" s="1757">
        <f>'数据-汇总表'!E3</f>
        <v>457656.17999999993</v>
      </c>
      <c r="D21" s="1758" t="s">
        <v>1964</v>
      </c>
      <c r="E21" s="3288" t="s">
        <v>3220</v>
      </c>
      <c r="F21" s="3289"/>
      <c r="G21" s="3289"/>
      <c r="H21" s="3289"/>
      <c r="I21" s="3290"/>
      <c r="J21" s="1692"/>
      <c r="K21" s="1772"/>
      <c r="L21" s="1721"/>
      <c r="M21" s="1721"/>
      <c r="N21" s="1692"/>
      <c r="O21" s="1693"/>
      <c r="P21" s="1692"/>
      <c r="Q21" s="1692"/>
      <c r="R21" s="1692"/>
      <c r="S21" s="1692"/>
      <c r="T21" s="1692"/>
      <c r="U21" s="1692"/>
    </row>
    <row r="22" spans="1:21">
      <c r="A22" s="2658" t="s">
        <v>953</v>
      </c>
      <c r="B22" s="1659" t="s">
        <v>1965</v>
      </c>
      <c r="C22" s="1684">
        <f>'数据-汇总表'!D3</f>
        <v>158684</v>
      </c>
      <c r="D22" s="1685" t="s">
        <v>1964</v>
      </c>
      <c r="E22" s="3288" t="s">
        <v>2326</v>
      </c>
      <c r="F22" s="3289"/>
      <c r="G22" s="3289"/>
      <c r="H22" s="3289"/>
      <c r="I22" s="3290"/>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291" t="s">
        <v>1970</v>
      </c>
      <c r="C24" s="3292"/>
      <c r="D24" s="3293" t="s">
        <v>1971</v>
      </c>
      <c r="E24" s="3294"/>
      <c r="F24" s="1706" t="s">
        <v>1972</v>
      </c>
      <c r="G24" s="1692"/>
      <c r="H24" s="1692"/>
      <c r="I24" s="1705"/>
      <c r="J24" s="1692"/>
      <c r="K24" s="3279" t="s">
        <v>1973</v>
      </c>
      <c r="L24" s="247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2"/>
      <c r="O24" s="1693"/>
      <c r="P24" s="1692"/>
      <c r="Q24" s="1692"/>
      <c r="R24" s="1692"/>
      <c r="S24" s="1692"/>
      <c r="T24" s="1692"/>
      <c r="U24" s="1692"/>
    </row>
    <row r="25" spans="1:21" ht="28.5">
      <c r="A25" s="1749"/>
      <c r="B25" s="1746" t="s">
        <v>2326</v>
      </c>
      <c r="C25" s="1707" t="s">
        <v>2327</v>
      </c>
      <c r="D25" s="1708" t="s">
        <v>2976</v>
      </c>
      <c r="E25" s="1709" t="s">
        <v>2327</v>
      </c>
      <c r="F25" s="1710"/>
      <c r="G25" s="1692"/>
      <c r="H25" s="1692"/>
      <c r="I25" s="1705"/>
      <c r="J25" s="1692"/>
      <c r="K25" s="3279"/>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79"/>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2"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3"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3"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4" t="s">
        <v>1978</v>
      </c>
      <c r="E30" s="1716"/>
      <c r="F30" s="1687"/>
      <c r="G30" s="1740"/>
      <c r="H30" s="1740"/>
      <c r="I30" s="1741"/>
      <c r="J30" s="1692"/>
      <c r="K30" s="1772"/>
      <c r="L30" s="1721"/>
      <c r="M30" s="1721"/>
      <c r="N30" s="1692"/>
      <c r="O30" s="1693"/>
      <c r="P30" s="1692"/>
      <c r="Q30" s="1692"/>
      <c r="R30" s="1692"/>
      <c r="S30" s="1692"/>
      <c r="T30" s="1692"/>
      <c r="U30" s="1692"/>
    </row>
    <row r="31" spans="1:21" ht="15" thickTop="1">
      <c r="A31" s="3306" t="s">
        <v>2002</v>
      </c>
      <c r="B31" s="1762" t="s">
        <v>2003</v>
      </c>
      <c r="C31" s="3304" t="s">
        <v>2977</v>
      </c>
      <c r="D31" s="3305"/>
      <c r="E31" s="1692"/>
      <c r="F31" s="1692"/>
      <c r="G31" s="1692"/>
      <c r="H31" s="1692"/>
      <c r="I31" s="1705"/>
      <c r="J31" s="1692"/>
      <c r="K31" s="2478"/>
      <c r="L31" s="1692"/>
      <c r="M31" s="1692"/>
      <c r="N31" s="1692"/>
      <c r="O31" s="1692"/>
      <c r="P31" s="1692"/>
      <c r="Q31" s="1692"/>
      <c r="R31" s="1692"/>
      <c r="S31" s="1692"/>
      <c r="T31" s="1692"/>
      <c r="U31" s="1692"/>
    </row>
    <row r="32" spans="1:21">
      <c r="A32" s="3306"/>
      <c r="B32" s="1659" t="s">
        <v>2004</v>
      </c>
      <c r="C32" s="1717" t="s">
        <v>2978</v>
      </c>
      <c r="D32" s="1718"/>
      <c r="E32" s="1692"/>
      <c r="F32" s="1692"/>
      <c r="G32" s="1692"/>
      <c r="H32" s="1692"/>
      <c r="I32" s="1705"/>
      <c r="J32" s="1692"/>
      <c r="K32" s="2478"/>
      <c r="L32" s="1692"/>
      <c r="M32" s="1692"/>
      <c r="N32" s="1692"/>
      <c r="O32" s="1692"/>
      <c r="P32" s="1692"/>
      <c r="Q32" s="1692"/>
      <c r="R32" s="1692"/>
      <c r="S32" s="1692"/>
      <c r="T32" s="1692"/>
      <c r="U32" s="1692"/>
    </row>
    <row r="33" spans="1:21">
      <c r="A33" s="3306"/>
      <c r="B33" s="1659" t="s">
        <v>2005</v>
      </c>
      <c r="C33" s="1719" t="s">
        <v>2979</v>
      </c>
      <c r="D33" s="1836"/>
      <c r="E33" s="1692"/>
      <c r="F33" s="1692"/>
      <c r="G33" s="1692"/>
      <c r="H33" s="1692"/>
      <c r="I33" s="1705"/>
      <c r="J33" s="1692"/>
      <c r="K33" s="2478"/>
      <c r="L33" s="1692"/>
      <c r="M33" s="1692"/>
      <c r="N33" s="1692"/>
      <c r="O33" s="1692"/>
      <c r="P33" s="1692"/>
      <c r="Q33" s="1692"/>
      <c r="R33" s="1692"/>
      <c r="S33" s="1692"/>
      <c r="T33" s="1692"/>
      <c r="U33" s="1692"/>
    </row>
    <row r="34" spans="1:21">
      <c r="A34" s="3307"/>
      <c r="B34" s="1659" t="s">
        <v>2006</v>
      </c>
      <c r="C34" s="3308"/>
      <c r="D34" s="3309"/>
      <c r="E34" s="1692"/>
      <c r="F34" s="1692"/>
      <c r="G34" s="1692"/>
      <c r="H34" s="1692"/>
      <c r="I34" s="1705"/>
      <c r="J34" s="1692"/>
      <c r="K34" s="2478"/>
      <c r="L34" s="1692"/>
      <c r="M34" s="1692"/>
      <c r="N34" s="1692"/>
      <c r="O34" s="1692"/>
      <c r="P34" s="1692"/>
      <c r="Q34" s="1692"/>
      <c r="R34" s="1692"/>
      <c r="S34" s="1692"/>
      <c r="T34" s="1692"/>
      <c r="U34" s="1692"/>
    </row>
    <row r="35" spans="1:21">
      <c r="A35" s="3310" t="s">
        <v>848</v>
      </c>
      <c r="B35" s="1720" t="s">
        <v>2980</v>
      </c>
      <c r="C35" s="1774" t="str">
        <f>IF(B35="场地平整","——","具体情况：")</f>
        <v>具体情况：</v>
      </c>
      <c r="D35" s="3312"/>
      <c r="E35" s="3313"/>
      <c r="F35" s="3313"/>
      <c r="G35" s="3313"/>
      <c r="H35" s="3313"/>
      <c r="I35" s="3314"/>
      <c r="J35" s="1692"/>
      <c r="K35" s="1773"/>
      <c r="L35" s="1721"/>
      <c r="M35" s="1721"/>
      <c r="N35" s="1692"/>
      <c r="O35" s="1693"/>
      <c r="P35" s="1692"/>
      <c r="Q35" s="1692"/>
      <c r="R35" s="1692"/>
      <c r="S35" s="1692"/>
      <c r="T35" s="1692"/>
      <c r="U35" s="1692"/>
    </row>
    <row r="36" spans="1:21" ht="28.5">
      <c r="A36" s="3306"/>
      <c r="B36" s="3315" t="s">
        <v>2055</v>
      </c>
      <c r="C36" s="3316"/>
      <c r="D36" s="1790" t="s">
        <v>2981</v>
      </c>
      <c r="E36" s="3317"/>
      <c r="F36" s="3317"/>
      <c r="G36" s="1685" t="str">
        <f>IF(B35="场地未平整","估价结果处理","")</f>
        <v>估价结果处理</v>
      </c>
      <c r="H36" s="3318"/>
      <c r="I36" s="3318"/>
      <c r="J36" s="1692"/>
      <c r="K36" s="1773"/>
      <c r="L36" s="1721"/>
      <c r="M36" s="1721"/>
      <c r="N36" s="1692"/>
      <c r="O36" s="1693"/>
      <c r="P36" s="1692"/>
      <c r="Q36" s="1692"/>
      <c r="R36" s="1692"/>
      <c r="S36" s="1692"/>
      <c r="T36" s="1692"/>
      <c r="U36" s="1692"/>
    </row>
    <row r="37" spans="1:21" ht="28.5">
      <c r="A37" s="3306"/>
      <c r="B37" s="3295"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306"/>
      <c r="B38" s="3296"/>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307"/>
      <c r="B39" s="329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78" t="s">
        <v>1987</v>
      </c>
      <c r="T40" s="1729" t="str">
        <f>NUMBERSTRING(7-K40,1)&amp;"通"</f>
        <v>七通</v>
      </c>
      <c r="U40" s="1692"/>
    </row>
    <row r="41" spans="1:21">
      <c r="A41" s="1661"/>
      <c r="B41" s="3311" t="s">
        <v>1723</v>
      </c>
      <c r="C41" s="3311"/>
      <c r="D41" s="3311"/>
      <c r="E41" s="3311"/>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78"/>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9"/>
  <sheetViews>
    <sheetView view="pageBreakPreview" zoomScaleSheetLayoutView="100" workbookViewId="0">
      <pane xSplit="4" ySplit="12" topLeftCell="AA34" activePane="bottomRight" state="frozen"/>
      <selection pane="topRight" activeCell="E1" sqref="E1"/>
      <selection pane="bottomLeft" activeCell="A12" sqref="A12"/>
      <selection pane="bottomRight" activeCell="AD5" sqref="AD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2334</v>
      </c>
      <c r="BA2" s="235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158684</v>
      </c>
      <c r="B3" s="22">
        <f>IF(C3="否",G5-AT5,G5)</f>
        <v>457656.17999999993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SUM(F13:F573)</f>
        <v>0</v>
      </c>
      <c r="G5" s="27">
        <f>SUM(G13:G573)</f>
        <v>457656.17999999993</v>
      </c>
      <c r="H5" s="27">
        <f t="shared" ref="H5:AT5" si="0">SUM(H13:H642)</f>
        <v>324185.06999999995</v>
      </c>
      <c r="I5" s="27">
        <f t="shared" si="0"/>
        <v>307901.16999999993</v>
      </c>
      <c r="J5" s="27">
        <f t="shared" si="0"/>
        <v>0</v>
      </c>
      <c r="K5" s="27">
        <f t="shared" si="0"/>
        <v>16283.900000000001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133471.10999999999</v>
      </c>
      <c r="AD5" s="27">
        <f t="shared" si="0"/>
        <v>8946.8099999999977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124524.3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SUM(AZ13:AZ642)</f>
        <v>457656.17999999993</v>
      </c>
      <c r="BA5" s="29">
        <f t="shared" si="1"/>
        <v>324185.06999999995</v>
      </c>
      <c r="BB5" s="29">
        <f t="shared" si="1"/>
        <v>307901.16999999993</v>
      </c>
      <c r="BC5" s="29">
        <f t="shared" si="1"/>
        <v>16283.900000000001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133471.10999999999</v>
      </c>
      <c r="BM5" s="29">
        <f t="shared" si="1"/>
        <v>8946.8099999999977</v>
      </c>
      <c r="BN5" s="29">
        <f t="shared" si="1"/>
        <v>0</v>
      </c>
      <c r="BO5" s="29">
        <f t="shared" si="1"/>
        <v>0</v>
      </c>
      <c r="BP5" s="29">
        <f t="shared" si="1"/>
        <v>0</v>
      </c>
      <c r="BQ5" s="29">
        <f t="shared" si="1"/>
        <v>0</v>
      </c>
      <c r="BR5" s="29">
        <f t="shared" si="1"/>
        <v>124524.3</v>
      </c>
      <c r="BS5" s="29">
        <f t="shared" si="1"/>
        <v>0</v>
      </c>
      <c r="BT5" s="30">
        <f t="shared" si="1"/>
        <v>0</v>
      </c>
    </row>
    <row r="6" spans="1:72" s="37" customFormat="1" ht="12.75">
      <c r="A6" s="26" t="s">
        <v>169</v>
      </c>
      <c r="B6" s="31"/>
      <c r="C6" s="31"/>
      <c r="D6" s="32"/>
      <c r="E6" s="27">
        <f>H6+AC6+AT6</f>
        <v>158684</v>
      </c>
      <c r="F6" s="27" t="s">
        <v>1</v>
      </c>
      <c r="G6" s="27" t="s">
        <v>2</v>
      </c>
      <c r="H6" s="33">
        <f>SUMIF(I$12:AB$12,"总值",I6:AB6)</f>
        <v>112405.31</v>
      </c>
      <c r="I6" s="27">
        <f t="shared" ref="I6:AB6" si="2">ROUND($A$3*I5/$B$3,2)</f>
        <v>106759.16</v>
      </c>
      <c r="J6" s="27">
        <f t="shared" si="2"/>
        <v>0</v>
      </c>
      <c r="K6" s="27">
        <f t="shared" si="2"/>
        <v>5646.15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46278.69</v>
      </c>
      <c r="AD6" s="27">
        <f t="shared" ref="AD6:AS6" si="3">ROUND($A$3*AD5/$B$3,2)</f>
        <v>3102.14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43176.55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158684</v>
      </c>
      <c r="AZ6" s="27" t="s">
        <v>3</v>
      </c>
      <c r="BA6" s="27">
        <f>ROUND($AY$6*BA5/$AZ$5,2)</f>
        <v>112405.31</v>
      </c>
      <c r="BB6" s="27">
        <f>ROUND($AY$6*BB5/$AZ$5,2)</f>
        <v>106759.16</v>
      </c>
      <c r="BC6" s="27">
        <f t="shared" ref="BC6:BH6" si="4">ROUND($AY$6*BC5/$AZ$5,2)</f>
        <v>5646.15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46278.69</v>
      </c>
      <c r="BM6" s="27">
        <f t="shared" si="5"/>
        <v>3102.14</v>
      </c>
      <c r="BN6" s="27">
        <f t="shared" si="5"/>
        <v>0</v>
      </c>
      <c r="BO6" s="27">
        <f t="shared" si="5"/>
        <v>0</v>
      </c>
      <c r="BP6" s="27">
        <f t="shared" si="5"/>
        <v>0</v>
      </c>
      <c r="BQ6" s="27">
        <f t="shared" si="5"/>
        <v>0</v>
      </c>
      <c r="BR6" s="27">
        <f t="shared" si="5"/>
        <v>43176.55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2982</v>
      </c>
      <c r="J9" s="51"/>
      <c r="K9" s="3039" t="s">
        <v>2982</v>
      </c>
      <c r="L9" s="51"/>
      <c r="M9" s="3039" t="s">
        <v>3177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924</v>
      </c>
      <c r="J10" s="51"/>
      <c r="K10" s="3041" t="s">
        <v>2974</v>
      </c>
      <c r="L10" s="51"/>
      <c r="M10" s="3041" t="s">
        <v>3178</v>
      </c>
      <c r="N10" s="51"/>
      <c r="O10" s="66"/>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2983</v>
      </c>
      <c r="J11" s="71"/>
      <c r="K11" s="3040" t="s">
        <v>2984</v>
      </c>
      <c r="L11" s="71"/>
      <c r="M11" s="70" t="s">
        <v>3178</v>
      </c>
      <c r="N11" s="71"/>
      <c r="O11" s="70"/>
      <c r="P11" s="71"/>
      <c r="Q11" s="70"/>
      <c r="R11" s="71"/>
      <c r="S11" s="70"/>
      <c r="T11" s="71"/>
      <c r="U11" s="70"/>
      <c r="V11" s="71"/>
      <c r="W11" s="70"/>
      <c r="X11" s="71"/>
      <c r="Y11" s="70"/>
      <c r="Z11" s="71"/>
      <c r="AA11" s="70"/>
      <c r="AB11" s="71"/>
      <c r="AC11" s="55"/>
      <c r="AD11" s="2330" t="s">
        <v>2331</v>
      </c>
      <c r="AE11" s="1001"/>
      <c r="AF11" s="2330" t="s">
        <v>2331</v>
      </c>
      <c r="AG11" s="1001"/>
      <c r="AH11" s="2330" t="s">
        <v>2330</v>
      </c>
      <c r="AI11" s="2331"/>
      <c r="AJ11" s="2330" t="s">
        <v>2330</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158" t="s">
        <v>3131</v>
      </c>
      <c r="B13" s="3035" t="s">
        <v>3132</v>
      </c>
      <c r="C13" s="3035" t="s">
        <v>3133</v>
      </c>
      <c r="D13" s="3036" t="s">
        <v>1680</v>
      </c>
      <c r="E13" s="27">
        <f t="shared" ref="E13:E20" si="6">IF($C$3="是",ROUND($A$3*G13/$B$3,2),ROUND($A$3*(G13-AT13)/$B$3,2))</f>
        <v>3393.4</v>
      </c>
      <c r="F13" s="81"/>
      <c r="G13" s="82">
        <f t="shared" ref="G13:G20" si="7">H13+AC13+AT13</f>
        <v>9786.7999999999993</v>
      </c>
      <c r="H13" s="33">
        <f t="shared" ref="H13:H20" si="8">SUMIF(I$12:AB$12,"总值",I13:AB13)</f>
        <v>9786.7999999999993</v>
      </c>
      <c r="I13" s="3038">
        <v>8803.81</v>
      </c>
      <c r="J13" s="3038"/>
      <c r="K13" s="3038">
        <v>982.99</v>
      </c>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t="str">
        <f t="shared" ref="AV13:AX20" si="10">A13</f>
        <v>G17-018</v>
      </c>
      <c r="AW13" s="17" t="str">
        <f t="shared" si="10"/>
        <v>3-4地块总平面规划方案</v>
      </c>
      <c r="AX13" s="17" t="str">
        <f t="shared" si="10"/>
        <v>3#1</v>
      </c>
      <c r="AY13" s="995">
        <f t="shared" ref="AY13:AY20" si="11">ROUND($AY$6*AZ13/$AZ$5,2)</f>
        <v>3393.4</v>
      </c>
      <c r="AZ13" s="27">
        <f t="shared" ref="AZ13:AZ20" si="12">BA13+BL13</f>
        <v>9786.7999999999993</v>
      </c>
      <c r="BA13" s="27">
        <f t="shared" ref="BA13:BA20" si="13">SUM(BB13:BK13)</f>
        <v>9786.7999999999993</v>
      </c>
      <c r="BB13" s="27">
        <f t="shared" ref="BB13:BB20" si="14">IF($D13="是",I13-J13,0)</f>
        <v>8803.81</v>
      </c>
      <c r="BC13" s="27">
        <f t="shared" ref="BC13:BC20" si="15">IF($D13="是",K13-L13,0)</f>
        <v>982.99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158" t="s">
        <v>3233</v>
      </c>
      <c r="B14" s="3035"/>
      <c r="C14" s="3035" t="s">
        <v>3134</v>
      </c>
      <c r="D14" s="3036" t="s">
        <v>1680</v>
      </c>
      <c r="E14" s="27">
        <f t="shared" si="6"/>
        <v>3333.02</v>
      </c>
      <c r="F14" s="81"/>
      <c r="G14" s="82">
        <f t="shared" si="7"/>
        <v>9612.6799999999985</v>
      </c>
      <c r="H14" s="33">
        <f t="shared" si="8"/>
        <v>9342.7099999999991</v>
      </c>
      <c r="I14" s="3038">
        <v>8511.15</v>
      </c>
      <c r="J14" s="3038"/>
      <c r="K14" s="3038">
        <v>831.56</v>
      </c>
      <c r="L14" s="3038"/>
      <c r="M14" s="3038"/>
      <c r="N14" s="83"/>
      <c r="O14" s="83"/>
      <c r="P14" s="83"/>
      <c r="Q14" s="83"/>
      <c r="R14" s="83"/>
      <c r="S14" s="83"/>
      <c r="T14" s="83"/>
      <c r="U14" s="83"/>
      <c r="V14" s="83"/>
      <c r="W14" s="83"/>
      <c r="X14" s="83"/>
      <c r="Y14" s="83"/>
      <c r="Z14" s="83"/>
      <c r="AA14" s="83"/>
      <c r="AB14" s="83"/>
      <c r="AC14" s="27">
        <f t="shared" si="9"/>
        <v>269.97000000000003</v>
      </c>
      <c r="AD14" s="3042">
        <v>269.97000000000003</v>
      </c>
      <c r="AE14" s="3042"/>
      <c r="AF14" s="3042"/>
      <c r="AG14" s="3042"/>
      <c r="AH14" s="3042"/>
      <c r="AI14" s="3042"/>
      <c r="AJ14" s="3042"/>
      <c r="AK14" s="3042"/>
      <c r="AL14" s="3042"/>
      <c r="AM14" s="3042"/>
      <c r="AN14" s="3042"/>
      <c r="AO14" s="3042"/>
      <c r="AP14" s="3042"/>
      <c r="AQ14" s="3042"/>
      <c r="AR14" s="3042"/>
      <c r="AS14" s="3042"/>
      <c r="AT14" s="3043"/>
      <c r="AU14" s="3044"/>
      <c r="AV14" s="17" t="str">
        <f t="shared" si="10"/>
        <v>高层73%</v>
      </c>
      <c r="AW14" s="17">
        <f t="shared" si="10"/>
        <v>0</v>
      </c>
      <c r="AX14" s="17" t="str">
        <f t="shared" si="10"/>
        <v>3#2</v>
      </c>
      <c r="AY14" s="995">
        <f t="shared" si="11"/>
        <v>3333.02</v>
      </c>
      <c r="AZ14" s="27">
        <f t="shared" si="12"/>
        <v>9612.6799999999985</v>
      </c>
      <c r="BA14" s="27">
        <f t="shared" si="13"/>
        <v>9342.7099999999991</v>
      </c>
      <c r="BB14" s="27">
        <f t="shared" si="14"/>
        <v>8511.15</v>
      </c>
      <c r="BC14" s="27">
        <f t="shared" si="15"/>
        <v>831.56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269.97000000000003</v>
      </c>
      <c r="BM14" s="27">
        <f t="shared" si="25"/>
        <v>269.97000000000003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58" t="s">
        <v>3234</v>
      </c>
      <c r="B15" s="3035">
        <v>73</v>
      </c>
      <c r="C15" s="3035" t="s">
        <v>3135</v>
      </c>
      <c r="D15" s="3036" t="s">
        <v>1680</v>
      </c>
      <c r="E15" s="27">
        <f t="shared" si="6"/>
        <v>3772.4</v>
      </c>
      <c r="F15" s="81"/>
      <c r="G15" s="82">
        <f t="shared" si="7"/>
        <v>10879.869999999999</v>
      </c>
      <c r="H15" s="33">
        <f t="shared" si="8"/>
        <v>10239.31</v>
      </c>
      <c r="I15" s="3038">
        <v>9467.32</v>
      </c>
      <c r="J15" s="3038"/>
      <c r="K15" s="3038">
        <v>771.99</v>
      </c>
      <c r="L15" s="3038"/>
      <c r="M15" s="3038"/>
      <c r="N15" s="83"/>
      <c r="O15" s="83"/>
      <c r="P15" s="83"/>
      <c r="Q15" s="83"/>
      <c r="R15" s="83"/>
      <c r="S15" s="83"/>
      <c r="T15" s="83"/>
      <c r="U15" s="83"/>
      <c r="V15" s="83"/>
      <c r="W15" s="83"/>
      <c r="X15" s="83"/>
      <c r="Y15" s="83"/>
      <c r="Z15" s="83"/>
      <c r="AA15" s="83"/>
      <c r="AB15" s="83"/>
      <c r="AC15" s="27">
        <f t="shared" si="9"/>
        <v>640.55999999999995</v>
      </c>
      <c r="AD15" s="3042">
        <v>640.55999999999995</v>
      </c>
      <c r="AE15" s="3042"/>
      <c r="AF15" s="3042"/>
      <c r="AG15" s="3042"/>
      <c r="AH15" s="3042"/>
      <c r="AI15" s="3042"/>
      <c r="AJ15" s="3042"/>
      <c r="AK15" s="3042"/>
      <c r="AL15" s="3042"/>
      <c r="AM15" s="3042"/>
      <c r="AN15" s="3042"/>
      <c r="AO15" s="3042"/>
      <c r="AP15" s="3042"/>
      <c r="AQ15" s="3042"/>
      <c r="AR15" s="3042"/>
      <c r="AS15" s="3042"/>
      <c r="AT15" s="3043"/>
      <c r="AU15" s="3044"/>
      <c r="AV15" s="17" t="str">
        <f t="shared" si="10"/>
        <v>1</v>
      </c>
      <c r="AW15" s="17">
        <f t="shared" si="10"/>
        <v>73</v>
      </c>
      <c r="AX15" s="17" t="str">
        <f t="shared" si="10"/>
        <v>3#3</v>
      </c>
      <c r="AY15" s="995">
        <f t="shared" si="11"/>
        <v>3772.4</v>
      </c>
      <c r="AZ15" s="27">
        <f t="shared" si="12"/>
        <v>10879.869999999999</v>
      </c>
      <c r="BA15" s="27">
        <f t="shared" si="13"/>
        <v>10239.31</v>
      </c>
      <c r="BB15" s="27">
        <f t="shared" si="14"/>
        <v>9467.32</v>
      </c>
      <c r="BC15" s="27">
        <f t="shared" si="15"/>
        <v>771.99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640.55999999999995</v>
      </c>
      <c r="BM15" s="27">
        <f t="shared" si="25"/>
        <v>640.55999999999995</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v>1.1000000000000001</v>
      </c>
      <c r="B16" s="3035">
        <f>100-B15</f>
        <v>27</v>
      </c>
      <c r="C16" s="3035" t="s">
        <v>3136</v>
      </c>
      <c r="D16" s="3036" t="s">
        <v>1680</v>
      </c>
      <c r="E16" s="27">
        <f t="shared" si="6"/>
        <v>4209.49</v>
      </c>
      <c r="F16" s="81"/>
      <c r="G16" s="82">
        <f t="shared" si="7"/>
        <v>12140.469999999998</v>
      </c>
      <c r="H16" s="33">
        <f t="shared" si="8"/>
        <v>11314.419999999998</v>
      </c>
      <c r="I16" s="3038">
        <v>10666.71</v>
      </c>
      <c r="J16" s="3038"/>
      <c r="K16" s="3038">
        <v>647.71</v>
      </c>
      <c r="L16" s="3038"/>
      <c r="M16" s="3038"/>
      <c r="N16" s="83"/>
      <c r="O16" s="83"/>
      <c r="P16" s="83"/>
      <c r="Q16" s="83"/>
      <c r="R16" s="83"/>
      <c r="S16" s="83"/>
      <c r="T16" s="83"/>
      <c r="U16" s="83"/>
      <c r="V16" s="83"/>
      <c r="W16" s="83"/>
      <c r="X16" s="83"/>
      <c r="Y16" s="83"/>
      <c r="Z16" s="83"/>
      <c r="AA16" s="83"/>
      <c r="AB16" s="83"/>
      <c r="AC16" s="27">
        <f t="shared" si="9"/>
        <v>826.05</v>
      </c>
      <c r="AD16" s="3042">
        <v>826.05</v>
      </c>
      <c r="AE16" s="3042"/>
      <c r="AF16" s="3042"/>
      <c r="AG16" s="3042"/>
      <c r="AH16" s="3042"/>
      <c r="AI16" s="3042"/>
      <c r="AJ16" s="3042"/>
      <c r="AK16" s="3042"/>
      <c r="AL16" s="3042"/>
      <c r="AM16" s="3042"/>
      <c r="AN16" s="3042"/>
      <c r="AO16" s="3042"/>
      <c r="AP16" s="3042"/>
      <c r="AQ16" s="3042"/>
      <c r="AR16" s="3042"/>
      <c r="AS16" s="3042"/>
      <c r="AT16" s="3043"/>
      <c r="AU16" s="3044"/>
      <c r="AV16" s="17">
        <f t="shared" si="10"/>
        <v>1.1000000000000001</v>
      </c>
      <c r="AW16" s="17">
        <f t="shared" si="10"/>
        <v>27</v>
      </c>
      <c r="AX16" s="17" t="str">
        <f t="shared" si="10"/>
        <v>3#4</v>
      </c>
      <c r="AY16" s="995">
        <f t="shared" si="11"/>
        <v>4209.49</v>
      </c>
      <c r="AZ16" s="27">
        <f t="shared" si="12"/>
        <v>12140.469999999998</v>
      </c>
      <c r="BA16" s="27">
        <f t="shared" si="13"/>
        <v>11314.419999999998</v>
      </c>
      <c r="BB16" s="27">
        <f t="shared" si="14"/>
        <v>10666.71</v>
      </c>
      <c r="BC16" s="27">
        <f t="shared" si="15"/>
        <v>647.71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826.05</v>
      </c>
      <c r="BM16" s="27">
        <f t="shared" si="25"/>
        <v>826.05</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3137</v>
      </c>
      <c r="D17" s="3036" t="s">
        <v>1680</v>
      </c>
      <c r="E17" s="27">
        <f t="shared" si="6"/>
        <v>4243.8</v>
      </c>
      <c r="F17" s="81"/>
      <c r="G17" s="82">
        <f t="shared" si="7"/>
        <v>12239.42</v>
      </c>
      <c r="H17" s="33">
        <f t="shared" si="8"/>
        <v>12239.42</v>
      </c>
      <c r="I17" s="3038">
        <v>11710.48</v>
      </c>
      <c r="J17" s="3038"/>
      <c r="K17" s="3038">
        <v>528.94000000000005</v>
      </c>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3#5</v>
      </c>
      <c r="AY17" s="995">
        <f t="shared" si="11"/>
        <v>4243.8</v>
      </c>
      <c r="AZ17" s="27">
        <f t="shared" si="12"/>
        <v>12239.42</v>
      </c>
      <c r="BA17" s="27">
        <f t="shared" si="13"/>
        <v>12239.42</v>
      </c>
      <c r="BB17" s="27">
        <f t="shared" si="14"/>
        <v>11710.48</v>
      </c>
      <c r="BC17" s="27">
        <f t="shared" si="15"/>
        <v>528.94000000000005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3138</v>
      </c>
      <c r="D18" s="3036" t="s">
        <v>1680</v>
      </c>
      <c r="E18" s="87">
        <f t="shared" si="6"/>
        <v>3587.39</v>
      </c>
      <c r="F18" s="88"/>
      <c r="G18" s="89">
        <f t="shared" si="7"/>
        <v>10346.280000000001</v>
      </c>
      <c r="H18" s="90">
        <f t="shared" si="8"/>
        <v>10346.280000000001</v>
      </c>
      <c r="I18" s="1393">
        <v>10346.280000000001</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3#6</v>
      </c>
      <c r="AY18" s="95">
        <f t="shared" si="11"/>
        <v>3587.39</v>
      </c>
      <c r="AZ18" s="87">
        <f t="shared" si="12"/>
        <v>10346.280000000001</v>
      </c>
      <c r="BA18" s="87">
        <f t="shared" si="13"/>
        <v>10346.280000000001</v>
      </c>
      <c r="BB18" s="87">
        <f t="shared" si="14"/>
        <v>10346.280000000001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35" t="s">
        <v>3139</v>
      </c>
      <c r="D19" s="3036" t="s">
        <v>1680</v>
      </c>
      <c r="E19" s="87">
        <f t="shared" si="6"/>
        <v>6928.73</v>
      </c>
      <c r="F19" s="88"/>
      <c r="G19" s="89">
        <f t="shared" si="7"/>
        <v>19982.96</v>
      </c>
      <c r="H19" s="90">
        <f t="shared" si="8"/>
        <v>19982.96</v>
      </c>
      <c r="I19" s="1393">
        <v>19982.96</v>
      </c>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3#7</v>
      </c>
      <c r="AY19" s="95">
        <f t="shared" si="11"/>
        <v>6928.73</v>
      </c>
      <c r="AZ19" s="87">
        <f t="shared" si="12"/>
        <v>19982.96</v>
      </c>
      <c r="BA19" s="87">
        <f t="shared" si="13"/>
        <v>19982.96</v>
      </c>
      <c r="BB19" s="87">
        <f t="shared" si="14"/>
        <v>19982.96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35" t="s">
        <v>3140</v>
      </c>
      <c r="D20" s="3036" t="s">
        <v>1680</v>
      </c>
      <c r="E20" s="87">
        <f t="shared" si="6"/>
        <v>6350.68</v>
      </c>
      <c r="F20" s="88"/>
      <c r="G20" s="89">
        <f t="shared" si="7"/>
        <v>18315.810000000001</v>
      </c>
      <c r="H20" s="90">
        <f t="shared" si="8"/>
        <v>18315.810000000001</v>
      </c>
      <c r="I20" s="1393">
        <v>18315.810000000001</v>
      </c>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t="str">
        <f t="shared" si="10"/>
        <v>3#8</v>
      </c>
      <c r="AY20" s="95">
        <f t="shared" si="11"/>
        <v>6350.68</v>
      </c>
      <c r="AZ20" s="87">
        <f t="shared" si="12"/>
        <v>18315.810000000001</v>
      </c>
      <c r="BA20" s="87">
        <f t="shared" si="13"/>
        <v>18315.810000000001</v>
      </c>
      <c r="BB20" s="87">
        <f t="shared" si="14"/>
        <v>18315.810000000001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35" t="s">
        <v>3141</v>
      </c>
      <c r="D21" s="3036" t="s">
        <v>1680</v>
      </c>
      <c r="E21" s="87">
        <f t="shared" ref="E21:E113" si="33">IF($C$3="是",ROUND($A$3*G21/$B$3,2),ROUND($A$3*(G21-AT21)/$B$3,2))</f>
        <v>3924.37</v>
      </c>
      <c r="F21" s="88"/>
      <c r="G21" s="89">
        <f t="shared" ref="G21:G110" si="34">H21+AC21+AT21</f>
        <v>11318.18</v>
      </c>
      <c r="H21" s="90">
        <f t="shared" ref="H21:H110" si="35">SUMIF(I$12:AB$12,"总值",I21:AB21)</f>
        <v>11318.18</v>
      </c>
      <c r="I21" s="1395">
        <v>9935.0300000000007</v>
      </c>
      <c r="J21" s="91"/>
      <c r="K21" s="1395">
        <v>1383.15</v>
      </c>
      <c r="L21" s="91"/>
      <c r="M21" s="91"/>
      <c r="N21" s="91"/>
      <c r="O21" s="91"/>
      <c r="P21" s="91"/>
      <c r="Q21" s="91"/>
      <c r="R21" s="91"/>
      <c r="S21" s="91"/>
      <c r="T21" s="91"/>
      <c r="U21" s="91"/>
      <c r="V21" s="91"/>
      <c r="W21" s="91"/>
      <c r="X21" s="91"/>
      <c r="Y21" s="91"/>
      <c r="Z21" s="91"/>
      <c r="AA21" s="91"/>
      <c r="AB21" s="91"/>
      <c r="AC21" s="87">
        <f t="shared" ref="AC21:AC110"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3" si="37">A21</f>
        <v>0</v>
      </c>
      <c r="AW21" s="1977">
        <f t="shared" ref="AW21:AW113" si="38">B21</f>
        <v>0</v>
      </c>
      <c r="AX21" s="1977" t="str">
        <f t="shared" ref="AX21:AX113" si="39">C21</f>
        <v>3#9</v>
      </c>
      <c r="AY21" s="95">
        <f t="shared" ref="AY21:AY110" si="40">ROUND($AY$6*AZ21/$AZ$5,2)</f>
        <v>3924.37</v>
      </c>
      <c r="AZ21" s="87">
        <f t="shared" ref="AZ21:AZ110" si="41">BA21+BL21</f>
        <v>11318.18</v>
      </c>
      <c r="BA21" s="87">
        <f t="shared" ref="BA21:BA110" si="42">SUM(BB21:BK21)</f>
        <v>11318.18</v>
      </c>
      <c r="BB21" s="87">
        <f t="shared" ref="BB21:BB110" si="43">IF($D21="是",I21-J21,0)</f>
        <v>9935.0300000000007</v>
      </c>
      <c r="BC21" s="87">
        <f t="shared" ref="BC21:BC110" si="44">IF($D21="是",K21-L21,0)</f>
        <v>1383.15</v>
      </c>
      <c r="BD21" s="87">
        <f t="shared" ref="BD21:BD110" si="45">IF($D21="是",M21-N21,0)</f>
        <v>0</v>
      </c>
      <c r="BE21" s="87">
        <f t="shared" ref="BE21:BE110" si="46">IF($D21="是",O21-P21,0)</f>
        <v>0</v>
      </c>
      <c r="BF21" s="87">
        <f t="shared" ref="BF21:BF110" si="47">IF($D21="是",Q21-R21,0)</f>
        <v>0</v>
      </c>
      <c r="BG21" s="87">
        <f t="shared" ref="BG21:BG110" si="48">IF($D21="是",S21-T21,0)</f>
        <v>0</v>
      </c>
      <c r="BH21" s="87">
        <f t="shared" ref="BH21:BH110" si="49">IF($D21="是",U21-V21,0)</f>
        <v>0</v>
      </c>
      <c r="BI21" s="87">
        <f t="shared" ref="BI21:BI110" si="50">IF($D21="是",W21-X21,0)</f>
        <v>0</v>
      </c>
      <c r="BJ21" s="87">
        <f t="shared" ref="BJ21:BJ110" si="51">IF($D21="是",Y21-Z21,0)</f>
        <v>0</v>
      </c>
      <c r="BK21" s="87">
        <f t="shared" ref="BK21:BK110" si="52">IF($D21="是",AA21-AB21,0)</f>
        <v>0</v>
      </c>
      <c r="BL21" s="87">
        <f t="shared" ref="BL21:BL110" si="53">SUM(BM21:BT21)</f>
        <v>0</v>
      </c>
      <c r="BM21" s="87">
        <f t="shared" ref="BM21:BM110" si="54">IF($D21="是",AD21-AE21,0)</f>
        <v>0</v>
      </c>
      <c r="BN21" s="87">
        <f t="shared" ref="BN21:BN110" si="55">IF($D21="是",AF21-AG21,0)</f>
        <v>0</v>
      </c>
      <c r="BO21" s="87">
        <f t="shared" ref="BO21:BO110" si="56">IF($D21="是",AH21-AI21,0)</f>
        <v>0</v>
      </c>
      <c r="BP21" s="87">
        <f t="shared" ref="BP21:BP110" si="57">IF($D21="是",AJ21-AK21,0)</f>
        <v>0</v>
      </c>
      <c r="BQ21" s="87">
        <f t="shared" ref="BQ21:BQ110" si="58">IF($D21="是",AL21-AM21,0)</f>
        <v>0</v>
      </c>
      <c r="BR21" s="87">
        <f t="shared" ref="BR21:BR110" si="59">IF($D21="是",AN21-AO21,0)</f>
        <v>0</v>
      </c>
      <c r="BS21" s="87">
        <f t="shared" ref="BS21:BS110" si="60">IF($D21="是",AP21-AQ21,0)</f>
        <v>0</v>
      </c>
      <c r="BT21" s="96">
        <f t="shared" ref="BT21:BT110" si="61">IF($D21="是",AR21-AS21,0)</f>
        <v>0</v>
      </c>
    </row>
    <row r="22" spans="1:72">
      <c r="A22" s="84"/>
      <c r="B22" s="1392"/>
      <c r="C22" s="3035" t="s">
        <v>3142</v>
      </c>
      <c r="D22" s="3036" t="s">
        <v>1680</v>
      </c>
      <c r="E22" s="87">
        <f t="shared" si="33"/>
        <v>3413.6</v>
      </c>
      <c r="F22" s="88"/>
      <c r="G22" s="89">
        <f t="shared" si="34"/>
        <v>9845.07</v>
      </c>
      <c r="H22" s="90">
        <f t="shared" si="35"/>
        <v>9644.4699999999993</v>
      </c>
      <c r="I22" s="1395">
        <v>8580.92</v>
      </c>
      <c r="J22" s="91"/>
      <c r="K22" s="1395">
        <v>1063.55</v>
      </c>
      <c r="L22" s="91"/>
      <c r="M22" s="1363"/>
      <c r="N22" s="91"/>
      <c r="O22" s="91"/>
      <c r="P22" s="91"/>
      <c r="Q22" s="91"/>
      <c r="R22" s="91"/>
      <c r="S22" s="91"/>
      <c r="T22" s="91"/>
      <c r="U22" s="91"/>
      <c r="V22" s="91"/>
      <c r="W22" s="91"/>
      <c r="X22" s="91"/>
      <c r="Y22" s="91"/>
      <c r="Z22" s="91"/>
      <c r="AA22" s="91"/>
      <c r="AB22" s="91"/>
      <c r="AC22" s="87">
        <f t="shared" si="36"/>
        <v>200.6</v>
      </c>
      <c r="AD22" s="1363">
        <v>200.6</v>
      </c>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t="str">
        <f t="shared" si="39"/>
        <v>3#10</v>
      </c>
      <c r="AY22" s="95">
        <f t="shared" si="40"/>
        <v>3413.6</v>
      </c>
      <c r="AZ22" s="87">
        <f t="shared" si="41"/>
        <v>9845.07</v>
      </c>
      <c r="BA22" s="87">
        <f t="shared" si="42"/>
        <v>9644.4699999999993</v>
      </c>
      <c r="BB22" s="87">
        <f t="shared" si="43"/>
        <v>8580.92</v>
      </c>
      <c r="BC22" s="87">
        <f t="shared" si="44"/>
        <v>1063.55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200.6</v>
      </c>
      <c r="BM22" s="87">
        <f t="shared" si="54"/>
        <v>200.6</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35"/>
      <c r="D23" s="3036"/>
      <c r="E23" s="87"/>
      <c r="F23" s="88"/>
      <c r="G23" s="89"/>
      <c r="H23" s="90"/>
      <c r="I23" s="1395"/>
      <c r="J23" s="91"/>
      <c r="K23" s="1395"/>
      <c r="L23" s="91"/>
      <c r="M23" s="1363"/>
      <c r="N23" s="91"/>
      <c r="O23" s="91"/>
      <c r="P23" s="91"/>
      <c r="Q23" s="91"/>
      <c r="R23" s="91"/>
      <c r="S23" s="91"/>
      <c r="T23" s="91"/>
      <c r="U23" s="91"/>
      <c r="V23" s="91"/>
      <c r="W23" s="91"/>
      <c r="X23" s="91"/>
      <c r="Y23" s="91"/>
      <c r="Z23" s="91"/>
      <c r="AA23" s="91"/>
      <c r="AB23" s="91"/>
      <c r="AC23" s="87"/>
      <c r="AD23" s="1363"/>
      <c r="AE23" s="92"/>
      <c r="AF23" s="1396"/>
      <c r="AG23" s="92"/>
      <c r="AH23" s="92"/>
      <c r="AI23" s="92"/>
      <c r="AJ23" s="92"/>
      <c r="AK23" s="92"/>
      <c r="AL23" s="1363"/>
      <c r="AM23" s="92"/>
      <c r="AN23" s="1363"/>
      <c r="AO23" s="92"/>
      <c r="AP23" s="92"/>
      <c r="AQ23" s="92"/>
      <c r="AR23" s="92"/>
      <c r="AS23" s="92"/>
      <c r="AT23" s="93"/>
      <c r="AU23" s="94"/>
      <c r="AV23" s="3157"/>
      <c r="AW23" s="3157"/>
      <c r="AX23" s="3157"/>
      <c r="AY23" s="95"/>
      <c r="AZ23" s="87"/>
      <c r="BA23" s="87"/>
      <c r="BB23" s="87"/>
      <c r="BC23" s="87"/>
      <c r="BD23" s="87"/>
      <c r="BE23" s="87"/>
      <c r="BF23" s="87"/>
      <c r="BG23" s="87"/>
      <c r="BH23" s="87"/>
      <c r="BI23" s="87"/>
      <c r="BJ23" s="87"/>
      <c r="BK23" s="87"/>
      <c r="BL23" s="87"/>
      <c r="BM23" s="87"/>
      <c r="BN23" s="87"/>
      <c r="BO23" s="87"/>
      <c r="BP23" s="87"/>
      <c r="BQ23" s="87"/>
      <c r="BR23" s="87"/>
      <c r="BS23" s="87"/>
      <c r="BT23" s="96"/>
    </row>
    <row r="24" spans="1:72">
      <c r="A24" s="84"/>
      <c r="B24" s="1392"/>
      <c r="C24" s="3037" t="s">
        <v>3143</v>
      </c>
      <c r="D24" s="3036" t="s">
        <v>1680</v>
      </c>
      <c r="E24" s="87">
        <f t="shared" si="33"/>
        <v>4063.03</v>
      </c>
      <c r="F24" s="88"/>
      <c r="G24" s="89">
        <f t="shared" si="34"/>
        <v>11718.08</v>
      </c>
      <c r="H24" s="90">
        <f t="shared" si="35"/>
        <v>11688.74</v>
      </c>
      <c r="I24" s="1395">
        <v>11127.89</v>
      </c>
      <c r="J24" s="91"/>
      <c r="K24" s="1395">
        <v>560.85</v>
      </c>
      <c r="L24" s="91"/>
      <c r="M24" s="1363"/>
      <c r="N24" s="91"/>
      <c r="O24" s="91"/>
      <c r="P24" s="91"/>
      <c r="Q24" s="91"/>
      <c r="R24" s="91"/>
      <c r="S24" s="91"/>
      <c r="T24" s="91"/>
      <c r="U24" s="91"/>
      <c r="V24" s="91"/>
      <c r="W24" s="91"/>
      <c r="X24" s="91"/>
      <c r="Y24" s="91"/>
      <c r="Z24" s="91"/>
      <c r="AA24" s="91"/>
      <c r="AB24" s="91"/>
      <c r="AC24" s="87">
        <f t="shared" si="36"/>
        <v>29.34</v>
      </c>
      <c r="AD24" s="92">
        <v>29.34</v>
      </c>
      <c r="AE24" s="92"/>
      <c r="AF24" s="1396"/>
      <c r="AG24" s="92"/>
      <c r="AH24" s="92"/>
      <c r="AI24" s="92"/>
      <c r="AJ24" s="92"/>
      <c r="AK24" s="92"/>
      <c r="AL24" s="1363"/>
      <c r="AM24" s="92"/>
      <c r="AN24" s="1363"/>
      <c r="AO24" s="92"/>
      <c r="AP24" s="92"/>
      <c r="AQ24" s="92"/>
      <c r="AR24" s="92"/>
      <c r="AS24" s="92"/>
      <c r="AT24" s="93"/>
      <c r="AU24" s="94"/>
      <c r="AV24" s="1977">
        <f t="shared" si="37"/>
        <v>0</v>
      </c>
      <c r="AW24" s="1977">
        <f t="shared" si="38"/>
        <v>0</v>
      </c>
      <c r="AX24" s="1977" t="str">
        <f t="shared" si="39"/>
        <v>4#1</v>
      </c>
      <c r="AY24" s="95">
        <f t="shared" si="40"/>
        <v>4063.03</v>
      </c>
      <c r="AZ24" s="87">
        <f t="shared" si="41"/>
        <v>11718.08</v>
      </c>
      <c r="BA24" s="87">
        <f t="shared" si="42"/>
        <v>11688.74</v>
      </c>
      <c r="BB24" s="87">
        <f t="shared" si="43"/>
        <v>11127.89</v>
      </c>
      <c r="BC24" s="87">
        <f t="shared" si="44"/>
        <v>560.85</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29.34</v>
      </c>
      <c r="BM24" s="87">
        <f t="shared" si="54"/>
        <v>29.34</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037" t="s">
        <v>3144</v>
      </c>
      <c r="D25" s="3036" t="s">
        <v>1680</v>
      </c>
      <c r="E25" s="87">
        <f t="shared" si="33"/>
        <v>3678.33</v>
      </c>
      <c r="F25" s="88"/>
      <c r="G25" s="89">
        <f t="shared" si="34"/>
        <v>10608.57</v>
      </c>
      <c r="H25" s="90">
        <f t="shared" si="35"/>
        <v>10588.3</v>
      </c>
      <c r="I25" s="1395">
        <v>9282.15</v>
      </c>
      <c r="J25" s="91"/>
      <c r="K25" s="1395">
        <v>1306.1500000000001</v>
      </c>
      <c r="L25" s="91"/>
      <c r="M25" s="91"/>
      <c r="N25" s="91"/>
      <c r="O25" s="1363"/>
      <c r="P25" s="91"/>
      <c r="Q25" s="91"/>
      <c r="R25" s="91"/>
      <c r="S25" s="91"/>
      <c r="T25" s="91"/>
      <c r="U25" s="91"/>
      <c r="V25" s="91"/>
      <c r="W25" s="91"/>
      <c r="X25" s="91"/>
      <c r="Y25" s="91"/>
      <c r="Z25" s="91"/>
      <c r="AA25" s="91"/>
      <c r="AB25" s="91"/>
      <c r="AC25" s="87">
        <f t="shared" si="36"/>
        <v>20.27</v>
      </c>
      <c r="AD25" s="92">
        <v>20.27</v>
      </c>
      <c r="AE25" s="92"/>
      <c r="AF25" s="1396"/>
      <c r="AG25" s="92"/>
      <c r="AH25" s="92"/>
      <c r="AI25" s="92"/>
      <c r="AJ25" s="92"/>
      <c r="AK25" s="92"/>
      <c r="AL25" s="92"/>
      <c r="AM25" s="92"/>
      <c r="AN25" s="1363"/>
      <c r="AO25" s="92"/>
      <c r="AP25" s="92"/>
      <c r="AQ25" s="92"/>
      <c r="AR25" s="92"/>
      <c r="AS25" s="92"/>
      <c r="AT25" s="93"/>
      <c r="AU25" s="94"/>
      <c r="AV25" s="1977">
        <f t="shared" si="37"/>
        <v>0</v>
      </c>
      <c r="AW25" s="1977">
        <f t="shared" si="38"/>
        <v>0</v>
      </c>
      <c r="AX25" s="1977" t="str">
        <f t="shared" si="39"/>
        <v>4#2</v>
      </c>
      <c r="AY25" s="95">
        <f t="shared" si="40"/>
        <v>3678.33</v>
      </c>
      <c r="AZ25" s="87">
        <f t="shared" si="41"/>
        <v>10608.57</v>
      </c>
      <c r="BA25" s="87">
        <f t="shared" si="42"/>
        <v>10588.3</v>
      </c>
      <c r="BB25" s="87">
        <f t="shared" si="43"/>
        <v>9282.15</v>
      </c>
      <c r="BC25" s="87">
        <f t="shared" si="44"/>
        <v>1306.1500000000001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20.27</v>
      </c>
      <c r="BM25" s="87">
        <f t="shared" si="54"/>
        <v>20.27</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3037" t="s">
        <v>3145</v>
      </c>
      <c r="D26" s="3036" t="s">
        <v>1680</v>
      </c>
      <c r="E26" s="87">
        <f t="shared" si="33"/>
        <v>2909.93</v>
      </c>
      <c r="F26" s="88"/>
      <c r="G26" s="89">
        <f t="shared" si="34"/>
        <v>8392.4599999999991</v>
      </c>
      <c r="H26" s="90">
        <f t="shared" si="35"/>
        <v>7807.07</v>
      </c>
      <c r="I26" s="1395">
        <v>7267.9</v>
      </c>
      <c r="J26" s="91"/>
      <c r="K26" s="1395">
        <v>539.16999999999996</v>
      </c>
      <c r="L26" s="91"/>
      <c r="M26" s="91"/>
      <c r="N26" s="91"/>
      <c r="O26" s="91"/>
      <c r="P26" s="91"/>
      <c r="Q26" s="91"/>
      <c r="R26" s="91"/>
      <c r="S26" s="91"/>
      <c r="T26" s="91"/>
      <c r="U26" s="91"/>
      <c r="V26" s="91"/>
      <c r="W26" s="91"/>
      <c r="X26" s="91"/>
      <c r="Y26" s="91"/>
      <c r="Z26" s="91"/>
      <c r="AA26" s="91"/>
      <c r="AB26" s="91"/>
      <c r="AC26" s="87">
        <f t="shared" si="36"/>
        <v>585.39</v>
      </c>
      <c r="AD26" s="92">
        <v>585.39</v>
      </c>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4#3</v>
      </c>
      <c r="AY26" s="95">
        <f t="shared" si="40"/>
        <v>2909.93</v>
      </c>
      <c r="AZ26" s="87">
        <f t="shared" si="41"/>
        <v>8392.4599999999991</v>
      </c>
      <c r="BA26" s="87">
        <f t="shared" si="42"/>
        <v>7807.07</v>
      </c>
      <c r="BB26" s="87">
        <f t="shared" si="43"/>
        <v>7267.9</v>
      </c>
      <c r="BC26" s="87">
        <f t="shared" si="44"/>
        <v>539.16999999999996</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585.39</v>
      </c>
      <c r="BM26" s="87">
        <f t="shared" si="54"/>
        <v>585.39</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37" t="s">
        <v>3146</v>
      </c>
      <c r="D27" s="3036" t="s">
        <v>1680</v>
      </c>
      <c r="E27" s="87">
        <f t="shared" si="33"/>
        <v>2941.46</v>
      </c>
      <c r="F27" s="88"/>
      <c r="G27" s="89">
        <f t="shared" si="34"/>
        <v>8483.39</v>
      </c>
      <c r="H27" s="90">
        <f t="shared" si="35"/>
        <v>7806.17</v>
      </c>
      <c r="I27" s="1395">
        <v>7267.74</v>
      </c>
      <c r="J27" s="91"/>
      <c r="K27" s="1395">
        <v>538.42999999999995</v>
      </c>
      <c r="L27" s="91"/>
      <c r="M27" s="91"/>
      <c r="N27" s="91"/>
      <c r="O27" s="91"/>
      <c r="P27" s="91"/>
      <c r="Q27" s="91"/>
      <c r="R27" s="91"/>
      <c r="S27" s="91"/>
      <c r="T27" s="91"/>
      <c r="U27" s="91"/>
      <c r="V27" s="91"/>
      <c r="W27" s="91"/>
      <c r="X27" s="91"/>
      <c r="Y27" s="91"/>
      <c r="Z27" s="91"/>
      <c r="AA27" s="91"/>
      <c r="AB27" s="91"/>
      <c r="AC27" s="87">
        <f t="shared" si="36"/>
        <v>677.22</v>
      </c>
      <c r="AD27" s="92">
        <v>677.22</v>
      </c>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4#4</v>
      </c>
      <c r="AY27" s="95">
        <f t="shared" si="40"/>
        <v>2941.46</v>
      </c>
      <c r="AZ27" s="87">
        <f t="shared" si="41"/>
        <v>8483.39</v>
      </c>
      <c r="BA27" s="87">
        <f t="shared" si="42"/>
        <v>7806.17</v>
      </c>
      <c r="BB27" s="87">
        <f t="shared" si="43"/>
        <v>7267.74</v>
      </c>
      <c r="BC27" s="87">
        <f t="shared" si="44"/>
        <v>538.42999999999995</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677.22</v>
      </c>
      <c r="BM27" s="87">
        <f t="shared" si="54"/>
        <v>677.22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37" t="s">
        <v>3147</v>
      </c>
      <c r="D28" s="3036" t="s">
        <v>1680</v>
      </c>
      <c r="E28" s="87">
        <f t="shared" si="33"/>
        <v>6117.31</v>
      </c>
      <c r="F28" s="88"/>
      <c r="G28" s="89">
        <f t="shared" si="34"/>
        <v>17642.78</v>
      </c>
      <c r="H28" s="90">
        <f t="shared" si="35"/>
        <v>17642.78</v>
      </c>
      <c r="I28" s="1395">
        <v>17642.78</v>
      </c>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4#5</v>
      </c>
      <c r="AY28" s="95">
        <f t="shared" si="40"/>
        <v>6117.31</v>
      </c>
      <c r="AZ28" s="87">
        <f t="shared" si="41"/>
        <v>17642.78</v>
      </c>
      <c r="BA28" s="87">
        <f t="shared" si="42"/>
        <v>17642.78</v>
      </c>
      <c r="BB28" s="87">
        <f t="shared" si="43"/>
        <v>17642.78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3037" t="s">
        <v>3148</v>
      </c>
      <c r="D29" s="3036" t="s">
        <v>1680</v>
      </c>
      <c r="E29" s="87">
        <f t="shared" si="33"/>
        <v>6354.35</v>
      </c>
      <c r="F29" s="88"/>
      <c r="G29" s="89">
        <f t="shared" si="34"/>
        <v>18326.400000000001</v>
      </c>
      <c r="H29" s="90">
        <f t="shared" si="35"/>
        <v>18326.400000000001</v>
      </c>
      <c r="I29" s="1395">
        <v>18326.400000000001</v>
      </c>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t="str">
        <f t="shared" si="39"/>
        <v>4#6</v>
      </c>
      <c r="AY29" s="95">
        <f t="shared" si="40"/>
        <v>6354.35</v>
      </c>
      <c r="AZ29" s="87">
        <f t="shared" si="41"/>
        <v>18326.400000000001</v>
      </c>
      <c r="BA29" s="87">
        <f t="shared" si="42"/>
        <v>18326.400000000001</v>
      </c>
      <c r="BB29" s="87">
        <f t="shared" si="43"/>
        <v>18326.400000000001</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3037" t="s">
        <v>3149</v>
      </c>
      <c r="D30" s="3036" t="s">
        <v>1680</v>
      </c>
      <c r="E30" s="87">
        <f t="shared" si="33"/>
        <v>2945.18</v>
      </c>
      <c r="F30" s="88"/>
      <c r="G30" s="89">
        <f t="shared" si="34"/>
        <v>8494.11</v>
      </c>
      <c r="H30" s="90">
        <f t="shared" si="35"/>
        <v>8494.11</v>
      </c>
      <c r="I30" s="1395">
        <v>8494.11</v>
      </c>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t="str">
        <f t="shared" si="39"/>
        <v>4#7</v>
      </c>
      <c r="AY30" s="95">
        <f t="shared" si="40"/>
        <v>2945.18</v>
      </c>
      <c r="AZ30" s="87">
        <f t="shared" si="41"/>
        <v>8494.11</v>
      </c>
      <c r="BA30" s="87">
        <f t="shared" si="42"/>
        <v>8494.11</v>
      </c>
      <c r="BB30" s="87">
        <f t="shared" si="43"/>
        <v>8494.11</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3037" t="s">
        <v>3150</v>
      </c>
      <c r="D31" s="3036" t="s">
        <v>1680</v>
      </c>
      <c r="E31" s="87">
        <f t="shared" si="33"/>
        <v>3629.65</v>
      </c>
      <c r="F31" s="88"/>
      <c r="G31" s="89">
        <f t="shared" si="34"/>
        <v>10468.18</v>
      </c>
      <c r="H31" s="90">
        <f t="shared" si="35"/>
        <v>10062.4</v>
      </c>
      <c r="I31" s="1395">
        <v>9472.1299999999992</v>
      </c>
      <c r="J31" s="91"/>
      <c r="K31" s="1395">
        <v>590.27</v>
      </c>
      <c r="L31" s="91"/>
      <c r="M31" s="91"/>
      <c r="N31" s="91"/>
      <c r="O31" s="91"/>
      <c r="P31" s="91"/>
      <c r="Q31" s="91"/>
      <c r="R31" s="91"/>
      <c r="S31" s="91"/>
      <c r="T31" s="91"/>
      <c r="U31" s="91"/>
      <c r="V31" s="91"/>
      <c r="W31" s="91"/>
      <c r="X31" s="91"/>
      <c r="Y31" s="91"/>
      <c r="Z31" s="91"/>
      <c r="AA31" s="91"/>
      <c r="AB31" s="91"/>
      <c r="AC31" s="87">
        <f t="shared" si="36"/>
        <v>405.78</v>
      </c>
      <c r="AD31" s="92">
        <v>405.78</v>
      </c>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t="str">
        <f t="shared" si="39"/>
        <v>4#8</v>
      </c>
      <c r="AY31" s="95">
        <f t="shared" si="40"/>
        <v>3629.65</v>
      </c>
      <c r="AZ31" s="87">
        <f t="shared" si="41"/>
        <v>10468.18</v>
      </c>
      <c r="BA31" s="87">
        <f t="shared" si="42"/>
        <v>10062.4</v>
      </c>
      <c r="BB31" s="87">
        <f t="shared" si="43"/>
        <v>9472.1299999999992</v>
      </c>
      <c r="BC31" s="87">
        <f t="shared" si="44"/>
        <v>590.27</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405.78</v>
      </c>
      <c r="BM31" s="87">
        <f t="shared" si="54"/>
        <v>405.78</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37" t="s">
        <v>3151</v>
      </c>
      <c r="D32" s="3036" t="s">
        <v>1680</v>
      </c>
      <c r="E32" s="87">
        <f t="shared" si="33"/>
        <v>3021.31</v>
      </c>
      <c r="F32" s="88"/>
      <c r="G32" s="89">
        <f t="shared" si="34"/>
        <v>8713.6799999999985</v>
      </c>
      <c r="H32" s="90">
        <f t="shared" si="35"/>
        <v>8470.0399999999991</v>
      </c>
      <c r="I32" s="1395">
        <v>8168.15</v>
      </c>
      <c r="J32" s="91"/>
      <c r="K32" s="1395">
        <v>301.89</v>
      </c>
      <c r="L32" s="91"/>
      <c r="M32" s="91"/>
      <c r="N32" s="91"/>
      <c r="O32" s="91"/>
      <c r="P32" s="91"/>
      <c r="Q32" s="91"/>
      <c r="R32" s="91"/>
      <c r="S32" s="91"/>
      <c r="T32" s="91"/>
      <c r="U32" s="91"/>
      <c r="V32" s="91"/>
      <c r="W32" s="91"/>
      <c r="X32" s="91"/>
      <c r="Y32" s="91"/>
      <c r="Z32" s="91"/>
      <c r="AA32" s="91"/>
      <c r="AB32" s="91"/>
      <c r="AC32" s="87">
        <f t="shared" si="36"/>
        <v>243.64</v>
      </c>
      <c r="AD32" s="92">
        <v>243.64</v>
      </c>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4#9</v>
      </c>
      <c r="AY32" s="95">
        <f t="shared" si="40"/>
        <v>3021.31</v>
      </c>
      <c r="AZ32" s="87">
        <f t="shared" si="41"/>
        <v>8713.6799999999985</v>
      </c>
      <c r="BA32" s="87">
        <f t="shared" si="42"/>
        <v>8470.0399999999991</v>
      </c>
      <c r="BB32" s="87">
        <f t="shared" si="43"/>
        <v>8168.15</v>
      </c>
      <c r="BC32" s="87">
        <f t="shared" si="44"/>
        <v>301.89</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243.64</v>
      </c>
      <c r="BM32" s="87">
        <f t="shared" si="54"/>
        <v>243.64</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37" t="s">
        <v>3152</v>
      </c>
      <c r="D33" s="3036" t="s">
        <v>1680</v>
      </c>
      <c r="E33" s="87">
        <f t="shared" si="33"/>
        <v>4274.12</v>
      </c>
      <c r="F33" s="88"/>
      <c r="G33" s="89">
        <f t="shared" si="34"/>
        <v>12326.88</v>
      </c>
      <c r="H33" s="90">
        <f t="shared" si="35"/>
        <v>12103.33</v>
      </c>
      <c r="I33" s="1395">
        <v>11455.16</v>
      </c>
      <c r="J33" s="91"/>
      <c r="K33" s="1395">
        <v>648.16999999999996</v>
      </c>
      <c r="L33" s="91"/>
      <c r="M33" s="91"/>
      <c r="N33" s="91"/>
      <c r="O33" s="91"/>
      <c r="P33" s="91"/>
      <c r="Q33" s="91"/>
      <c r="R33" s="91"/>
      <c r="S33" s="91"/>
      <c r="T33" s="91"/>
      <c r="U33" s="91"/>
      <c r="V33" s="91"/>
      <c r="W33" s="91"/>
      <c r="X33" s="91"/>
      <c r="Y33" s="91"/>
      <c r="Z33" s="91"/>
      <c r="AA33" s="91"/>
      <c r="AB33" s="91"/>
      <c r="AC33" s="87">
        <f t="shared" si="36"/>
        <v>223.55</v>
      </c>
      <c r="AD33" s="92">
        <v>223.55</v>
      </c>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4#10</v>
      </c>
      <c r="AY33" s="95">
        <f t="shared" si="40"/>
        <v>4274.12</v>
      </c>
      <c r="AZ33" s="87">
        <f t="shared" si="41"/>
        <v>12326.88</v>
      </c>
      <c r="BA33" s="87">
        <f t="shared" si="42"/>
        <v>12103.33</v>
      </c>
      <c r="BB33" s="87">
        <f t="shared" si="43"/>
        <v>11455.16</v>
      </c>
      <c r="BC33" s="87">
        <f t="shared" si="44"/>
        <v>648.16999999999996</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223.55</v>
      </c>
      <c r="BM33" s="87">
        <f t="shared" si="54"/>
        <v>223.55</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3037" t="s">
        <v>3153</v>
      </c>
      <c r="D34" s="3036" t="s">
        <v>1680</v>
      </c>
      <c r="E34" s="87">
        <f t="shared" si="33"/>
        <v>2181.09</v>
      </c>
      <c r="F34" s="88"/>
      <c r="G34" s="89">
        <f t="shared" si="34"/>
        <v>6290.4199999999992</v>
      </c>
      <c r="H34" s="90">
        <f t="shared" si="35"/>
        <v>6026.48</v>
      </c>
      <c r="I34" s="1395">
        <v>5375.29</v>
      </c>
      <c r="J34" s="91"/>
      <c r="K34" s="1395">
        <v>651.19000000000005</v>
      </c>
      <c r="L34" s="91"/>
      <c r="M34" s="91"/>
      <c r="N34" s="91"/>
      <c r="O34" s="91"/>
      <c r="P34" s="91"/>
      <c r="Q34" s="91"/>
      <c r="R34" s="91"/>
      <c r="S34" s="91"/>
      <c r="T34" s="91"/>
      <c r="U34" s="91"/>
      <c r="V34" s="91"/>
      <c r="W34" s="91"/>
      <c r="X34" s="91"/>
      <c r="Y34" s="91"/>
      <c r="Z34" s="91"/>
      <c r="AA34" s="91"/>
      <c r="AB34" s="91"/>
      <c r="AC34" s="87">
        <f t="shared" si="36"/>
        <v>263.94</v>
      </c>
      <c r="AD34" s="92">
        <v>263.94</v>
      </c>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t="str">
        <f t="shared" si="39"/>
        <v>4#11</v>
      </c>
      <c r="AY34" s="95">
        <f t="shared" si="40"/>
        <v>2181.09</v>
      </c>
      <c r="AZ34" s="87">
        <f t="shared" si="41"/>
        <v>6290.4199999999992</v>
      </c>
      <c r="BA34" s="87">
        <f t="shared" si="42"/>
        <v>6026.48</v>
      </c>
      <c r="BB34" s="87">
        <f t="shared" si="43"/>
        <v>5375.29</v>
      </c>
      <c r="BC34" s="87">
        <f t="shared" si="44"/>
        <v>651.19000000000005</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263.94</v>
      </c>
      <c r="BM34" s="87">
        <f t="shared" si="54"/>
        <v>263.94</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3037" t="s">
        <v>3154</v>
      </c>
      <c r="D35" s="3036" t="s">
        <v>1680</v>
      </c>
      <c r="E35" s="87">
        <f t="shared" si="33"/>
        <v>1445.74</v>
      </c>
      <c r="F35" s="88"/>
      <c r="G35" s="89">
        <f t="shared" si="34"/>
        <v>4169.62</v>
      </c>
      <c r="H35" s="90">
        <f t="shared" si="35"/>
        <v>4086.24</v>
      </c>
      <c r="I35" s="1395">
        <v>3597.41</v>
      </c>
      <c r="J35" s="91"/>
      <c r="K35" s="1395">
        <v>488.83</v>
      </c>
      <c r="L35" s="91"/>
      <c r="M35" s="91"/>
      <c r="N35" s="91"/>
      <c r="O35" s="91"/>
      <c r="P35" s="91"/>
      <c r="Q35" s="91"/>
      <c r="R35" s="91"/>
      <c r="S35" s="91"/>
      <c r="T35" s="91"/>
      <c r="U35" s="91"/>
      <c r="V35" s="91"/>
      <c r="W35" s="91"/>
      <c r="X35" s="91"/>
      <c r="Y35" s="91"/>
      <c r="Z35" s="91"/>
      <c r="AA35" s="91"/>
      <c r="AB35" s="91"/>
      <c r="AC35" s="87">
        <f t="shared" si="36"/>
        <v>83.38</v>
      </c>
      <c r="AD35" s="92">
        <v>83.38</v>
      </c>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4#12</v>
      </c>
      <c r="AY35" s="95">
        <f t="shared" si="40"/>
        <v>1445.74</v>
      </c>
      <c r="AZ35" s="87">
        <f t="shared" si="41"/>
        <v>4169.62</v>
      </c>
      <c r="BA35" s="87">
        <f t="shared" si="42"/>
        <v>4086.24</v>
      </c>
      <c r="BB35" s="87">
        <f t="shared" si="43"/>
        <v>3597.41</v>
      </c>
      <c r="BC35" s="87">
        <f t="shared" si="44"/>
        <v>488.83</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83.38</v>
      </c>
      <c r="BM35" s="87">
        <f t="shared" si="54"/>
        <v>83.38</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3037" t="s">
        <v>3155</v>
      </c>
      <c r="D36" s="3036" t="s">
        <v>1680</v>
      </c>
      <c r="E36" s="87">
        <f t="shared" si="33"/>
        <v>1446.81</v>
      </c>
      <c r="F36" s="88"/>
      <c r="G36" s="89">
        <f t="shared" si="34"/>
        <v>4172.71</v>
      </c>
      <c r="H36" s="90">
        <f t="shared" si="35"/>
        <v>3973.83</v>
      </c>
      <c r="I36" s="1395">
        <v>3609.81</v>
      </c>
      <c r="J36" s="91"/>
      <c r="K36" s="1395">
        <v>364.02</v>
      </c>
      <c r="L36" s="91"/>
      <c r="M36" s="91"/>
      <c r="N36" s="91"/>
      <c r="O36" s="91"/>
      <c r="P36" s="91"/>
      <c r="Q36" s="91"/>
      <c r="R36" s="91"/>
      <c r="S36" s="91"/>
      <c r="T36" s="91"/>
      <c r="U36" s="91"/>
      <c r="V36" s="91"/>
      <c r="W36" s="91"/>
      <c r="X36" s="91"/>
      <c r="Y36" s="91"/>
      <c r="Z36" s="91"/>
      <c r="AA36" s="91"/>
      <c r="AB36" s="91"/>
      <c r="AC36" s="87">
        <f t="shared" si="36"/>
        <v>198.88</v>
      </c>
      <c r="AD36" s="92">
        <v>198.88</v>
      </c>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t="str">
        <f t="shared" si="39"/>
        <v>4#13</v>
      </c>
      <c r="AY36" s="95">
        <f t="shared" si="40"/>
        <v>1446.81</v>
      </c>
      <c r="AZ36" s="87">
        <f t="shared" si="41"/>
        <v>4172.71</v>
      </c>
      <c r="BA36" s="87">
        <f t="shared" si="42"/>
        <v>3973.83</v>
      </c>
      <c r="BB36" s="87">
        <f t="shared" si="43"/>
        <v>3609.81</v>
      </c>
      <c r="BC36" s="87">
        <f t="shared" si="44"/>
        <v>364.02</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198.88</v>
      </c>
      <c r="BM36" s="87">
        <f t="shared" si="54"/>
        <v>198.88</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3037" t="s">
        <v>3156</v>
      </c>
      <c r="D37" s="3036" t="s">
        <v>1680</v>
      </c>
      <c r="E37" s="87">
        <f t="shared" si="33"/>
        <v>1597.88</v>
      </c>
      <c r="F37" s="88"/>
      <c r="G37" s="89">
        <f t="shared" si="34"/>
        <v>4608.3900000000003</v>
      </c>
      <c r="H37" s="90">
        <f t="shared" si="35"/>
        <v>4475.09</v>
      </c>
      <c r="I37" s="1395">
        <v>3864.7</v>
      </c>
      <c r="J37" s="91"/>
      <c r="K37" s="1395">
        <v>610.39</v>
      </c>
      <c r="L37" s="91"/>
      <c r="M37" s="91"/>
      <c r="N37" s="91"/>
      <c r="O37" s="91"/>
      <c r="P37" s="91"/>
      <c r="Q37" s="91"/>
      <c r="R37" s="91"/>
      <c r="S37" s="91"/>
      <c r="T37" s="91"/>
      <c r="U37" s="91"/>
      <c r="V37" s="91"/>
      <c r="W37" s="91"/>
      <c r="X37" s="91"/>
      <c r="Y37" s="91"/>
      <c r="Z37" s="91"/>
      <c r="AA37" s="91"/>
      <c r="AB37" s="91"/>
      <c r="AC37" s="87">
        <f t="shared" si="36"/>
        <v>133.30000000000001</v>
      </c>
      <c r="AD37" s="92">
        <v>133.30000000000001</v>
      </c>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t="str">
        <f t="shared" si="39"/>
        <v>4#14</v>
      </c>
      <c r="AY37" s="95">
        <f t="shared" si="40"/>
        <v>1597.88</v>
      </c>
      <c r="AZ37" s="87">
        <f t="shared" si="41"/>
        <v>4608.3900000000003</v>
      </c>
      <c r="BA37" s="87">
        <f t="shared" si="42"/>
        <v>4475.09</v>
      </c>
      <c r="BB37" s="87">
        <f t="shared" si="43"/>
        <v>3864.7</v>
      </c>
      <c r="BC37" s="87">
        <f t="shared" si="44"/>
        <v>610.39</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133.30000000000001</v>
      </c>
      <c r="BM37" s="87">
        <f t="shared" si="54"/>
        <v>133.30000000000001</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3037" t="s">
        <v>3157</v>
      </c>
      <c r="D38" s="3036" t="s">
        <v>1680</v>
      </c>
      <c r="E38" s="87">
        <f t="shared" si="33"/>
        <v>2303.4699999999998</v>
      </c>
      <c r="F38" s="88"/>
      <c r="G38" s="89">
        <f t="shared" si="34"/>
        <v>6643.38</v>
      </c>
      <c r="H38" s="90">
        <f t="shared" si="35"/>
        <v>6643.38</v>
      </c>
      <c r="I38" s="1395">
        <v>5786.08</v>
      </c>
      <c r="J38" s="91"/>
      <c r="K38" s="1395">
        <v>857.3</v>
      </c>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t="str">
        <f t="shared" si="39"/>
        <v>4#15</v>
      </c>
      <c r="AY38" s="95">
        <f t="shared" si="40"/>
        <v>2303.4699999999998</v>
      </c>
      <c r="AZ38" s="87">
        <f t="shared" si="41"/>
        <v>6643.38</v>
      </c>
      <c r="BA38" s="87">
        <f t="shared" si="42"/>
        <v>6643.38</v>
      </c>
      <c r="BB38" s="87">
        <f t="shared" si="43"/>
        <v>5786.08</v>
      </c>
      <c r="BC38" s="87">
        <f t="shared" si="44"/>
        <v>857.3</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3037" t="s">
        <v>3158</v>
      </c>
      <c r="D39" s="3036" t="s">
        <v>1680</v>
      </c>
      <c r="E39" s="87">
        <f t="shared" si="33"/>
        <v>1240.95</v>
      </c>
      <c r="F39" s="88"/>
      <c r="G39" s="89">
        <f t="shared" si="34"/>
        <v>3579</v>
      </c>
      <c r="H39" s="90">
        <f t="shared" si="35"/>
        <v>3579</v>
      </c>
      <c r="I39" s="1395">
        <v>3579</v>
      </c>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t="str">
        <f t="shared" si="39"/>
        <v>4#16</v>
      </c>
      <c r="AY39" s="95">
        <f t="shared" si="40"/>
        <v>1240.95</v>
      </c>
      <c r="AZ39" s="87">
        <f t="shared" si="41"/>
        <v>3579</v>
      </c>
      <c r="BA39" s="87">
        <f t="shared" si="42"/>
        <v>3579</v>
      </c>
      <c r="BB39" s="87">
        <f t="shared" si="43"/>
        <v>3579</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3037" t="s">
        <v>3159</v>
      </c>
      <c r="D40" s="3036" t="s">
        <v>1680</v>
      </c>
      <c r="E40" s="87">
        <f t="shared" si="33"/>
        <v>1240.95</v>
      </c>
      <c r="F40" s="88"/>
      <c r="G40" s="89">
        <f t="shared" si="34"/>
        <v>3579</v>
      </c>
      <c r="H40" s="90">
        <f t="shared" si="35"/>
        <v>3579</v>
      </c>
      <c r="I40" s="1395">
        <v>3579</v>
      </c>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t="str">
        <f t="shared" si="39"/>
        <v>4#17</v>
      </c>
      <c r="AY40" s="95">
        <f t="shared" si="40"/>
        <v>1240.95</v>
      </c>
      <c r="AZ40" s="87">
        <f t="shared" si="41"/>
        <v>3579</v>
      </c>
      <c r="BA40" s="87">
        <f t="shared" si="42"/>
        <v>3579</v>
      </c>
      <c r="BB40" s="87">
        <f t="shared" si="43"/>
        <v>3579</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3037" t="s">
        <v>3160</v>
      </c>
      <c r="D41" s="3036" t="s">
        <v>1680</v>
      </c>
      <c r="E41" s="87">
        <f t="shared" si="33"/>
        <v>1240.95</v>
      </c>
      <c r="F41" s="88"/>
      <c r="G41" s="89">
        <f t="shared" si="34"/>
        <v>3579</v>
      </c>
      <c r="H41" s="90">
        <f t="shared" si="35"/>
        <v>3579</v>
      </c>
      <c r="I41" s="1395">
        <v>3579</v>
      </c>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t="str">
        <f t="shared" si="39"/>
        <v>4#18</v>
      </c>
      <c r="AY41" s="95">
        <f t="shared" si="40"/>
        <v>1240.95</v>
      </c>
      <c r="AZ41" s="87">
        <f t="shared" si="41"/>
        <v>3579</v>
      </c>
      <c r="BA41" s="87">
        <f t="shared" si="42"/>
        <v>3579</v>
      </c>
      <c r="BB41" s="87">
        <f t="shared" si="43"/>
        <v>3579</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3037" t="s">
        <v>3161</v>
      </c>
      <c r="D42" s="3036" t="s">
        <v>1680</v>
      </c>
      <c r="E42" s="87">
        <f t="shared" si="33"/>
        <v>1240.95</v>
      </c>
      <c r="F42" s="88"/>
      <c r="G42" s="89">
        <f t="shared" si="34"/>
        <v>3579</v>
      </c>
      <c r="H42" s="90">
        <f t="shared" si="35"/>
        <v>3579</v>
      </c>
      <c r="I42" s="1395">
        <v>3579</v>
      </c>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t="str">
        <f t="shared" si="39"/>
        <v>4#19</v>
      </c>
      <c r="AY42" s="95">
        <f t="shared" si="40"/>
        <v>1240.95</v>
      </c>
      <c r="AZ42" s="87">
        <f t="shared" si="41"/>
        <v>3579</v>
      </c>
      <c r="BA42" s="87">
        <f t="shared" si="42"/>
        <v>3579</v>
      </c>
      <c r="BB42" s="87">
        <f t="shared" si="43"/>
        <v>3579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3037" t="s">
        <v>3162</v>
      </c>
      <c r="D43" s="3036" t="s">
        <v>1680</v>
      </c>
      <c r="E43" s="87">
        <f t="shared" si="33"/>
        <v>1240.95</v>
      </c>
      <c r="F43" s="88"/>
      <c r="G43" s="89">
        <f t="shared" si="34"/>
        <v>3579</v>
      </c>
      <c r="H43" s="90">
        <f t="shared" si="35"/>
        <v>3579</v>
      </c>
      <c r="I43" s="1395">
        <v>3579</v>
      </c>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t="str">
        <f t="shared" si="39"/>
        <v>4#20</v>
      </c>
      <c r="AY43" s="95">
        <f t="shared" si="40"/>
        <v>1240.95</v>
      </c>
      <c r="AZ43" s="87">
        <f t="shared" si="41"/>
        <v>3579</v>
      </c>
      <c r="BA43" s="87">
        <f t="shared" si="42"/>
        <v>3579</v>
      </c>
      <c r="BB43" s="87">
        <f t="shared" si="43"/>
        <v>3579</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3037" t="s">
        <v>3163</v>
      </c>
      <c r="D44" s="3036" t="s">
        <v>1680</v>
      </c>
      <c r="E44" s="87">
        <f t="shared" si="33"/>
        <v>1240.95</v>
      </c>
      <c r="F44" s="88"/>
      <c r="G44" s="89">
        <f t="shared" si="34"/>
        <v>3579</v>
      </c>
      <c r="H44" s="90">
        <f t="shared" si="35"/>
        <v>3579</v>
      </c>
      <c r="I44" s="1395">
        <v>3579</v>
      </c>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t="str">
        <f t="shared" si="39"/>
        <v>4#21</v>
      </c>
      <c r="AY44" s="95">
        <f t="shared" si="40"/>
        <v>1240.95</v>
      </c>
      <c r="AZ44" s="87">
        <f t="shared" si="41"/>
        <v>3579</v>
      </c>
      <c r="BA44" s="87">
        <f t="shared" si="42"/>
        <v>3579</v>
      </c>
      <c r="BB44" s="87">
        <f t="shared" si="43"/>
        <v>3579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3037" t="s">
        <v>3164</v>
      </c>
      <c r="D45" s="3036" t="s">
        <v>1680</v>
      </c>
      <c r="E45" s="87">
        <f t="shared" si="33"/>
        <v>1240.95</v>
      </c>
      <c r="F45" s="88"/>
      <c r="G45" s="89">
        <f t="shared" si="34"/>
        <v>3579</v>
      </c>
      <c r="H45" s="90">
        <f t="shared" si="35"/>
        <v>3579</v>
      </c>
      <c r="I45" s="1395">
        <v>3579</v>
      </c>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t="str">
        <f t="shared" si="39"/>
        <v>4#22</v>
      </c>
      <c r="AY45" s="95">
        <f t="shared" si="40"/>
        <v>1240.95</v>
      </c>
      <c r="AZ45" s="87">
        <f t="shared" si="41"/>
        <v>3579</v>
      </c>
      <c r="BA45" s="87">
        <f t="shared" si="42"/>
        <v>3579</v>
      </c>
      <c r="BB45" s="87">
        <f t="shared" si="43"/>
        <v>3579</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3037" t="s">
        <v>3165</v>
      </c>
      <c r="D46" s="3036" t="s">
        <v>1680</v>
      </c>
      <c r="E46" s="87">
        <f t="shared" si="33"/>
        <v>1240.95</v>
      </c>
      <c r="F46" s="88"/>
      <c r="G46" s="89">
        <f t="shared" si="34"/>
        <v>3579</v>
      </c>
      <c r="H46" s="90">
        <f t="shared" si="35"/>
        <v>3579</v>
      </c>
      <c r="I46" s="1395">
        <v>3579</v>
      </c>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t="str">
        <f t="shared" si="39"/>
        <v>4#23</v>
      </c>
      <c r="AY46" s="95">
        <f t="shared" si="40"/>
        <v>1240.95</v>
      </c>
      <c r="AZ46" s="87">
        <f t="shared" si="41"/>
        <v>3579</v>
      </c>
      <c r="BA46" s="87">
        <f t="shared" si="42"/>
        <v>3579</v>
      </c>
      <c r="BB46" s="87">
        <f t="shared" si="43"/>
        <v>3579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3037" t="s">
        <v>3166</v>
      </c>
      <c r="D47" s="3036" t="s">
        <v>1680</v>
      </c>
      <c r="E47" s="87">
        <f t="shared" si="33"/>
        <v>1240.95</v>
      </c>
      <c r="F47" s="88"/>
      <c r="G47" s="89">
        <f t="shared" si="34"/>
        <v>3579</v>
      </c>
      <c r="H47" s="90">
        <f t="shared" si="35"/>
        <v>3579</v>
      </c>
      <c r="I47" s="1395">
        <v>3579</v>
      </c>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t="str">
        <f t="shared" si="39"/>
        <v>4#24</v>
      </c>
      <c r="AY47" s="95">
        <f t="shared" si="40"/>
        <v>1240.95</v>
      </c>
      <c r="AZ47" s="87">
        <f t="shared" si="41"/>
        <v>3579</v>
      </c>
      <c r="BA47" s="87">
        <f t="shared" si="42"/>
        <v>3579</v>
      </c>
      <c r="BB47" s="87">
        <f t="shared" si="43"/>
        <v>3579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7" t="s">
        <v>3167</v>
      </c>
      <c r="D48" s="3036" t="s">
        <v>1680</v>
      </c>
      <c r="E48" s="87">
        <f t="shared" si="33"/>
        <v>1240.95</v>
      </c>
      <c r="F48" s="88"/>
      <c r="G48" s="89">
        <f t="shared" si="34"/>
        <v>3579</v>
      </c>
      <c r="H48" s="90">
        <f t="shared" si="35"/>
        <v>3579</v>
      </c>
      <c r="I48" s="1395">
        <v>3579</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t="str">
        <f t="shared" si="39"/>
        <v>4#25</v>
      </c>
      <c r="AY48" s="95">
        <f t="shared" si="40"/>
        <v>1240.95</v>
      </c>
      <c r="AZ48" s="87">
        <f t="shared" si="41"/>
        <v>3579</v>
      </c>
      <c r="BA48" s="87">
        <f t="shared" si="42"/>
        <v>3579</v>
      </c>
      <c r="BB48" s="87">
        <f t="shared" si="43"/>
        <v>3579</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7" t="s">
        <v>3168</v>
      </c>
      <c r="D49" s="3036" t="s">
        <v>1680</v>
      </c>
      <c r="E49" s="87">
        <f t="shared" si="33"/>
        <v>1240.95</v>
      </c>
      <c r="F49" s="88"/>
      <c r="G49" s="89">
        <f t="shared" si="34"/>
        <v>3579</v>
      </c>
      <c r="H49" s="90">
        <f t="shared" si="35"/>
        <v>3579</v>
      </c>
      <c r="I49" s="1393">
        <v>3579</v>
      </c>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t="str">
        <f t="shared" si="39"/>
        <v>4#26</v>
      </c>
      <c r="AY49" s="95">
        <f t="shared" si="40"/>
        <v>1240.95</v>
      </c>
      <c r="AZ49" s="87">
        <f t="shared" si="41"/>
        <v>3579</v>
      </c>
      <c r="BA49" s="87">
        <f t="shared" si="42"/>
        <v>3579</v>
      </c>
      <c r="BB49" s="87">
        <f t="shared" si="43"/>
        <v>3579</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3037" t="s">
        <v>3169</v>
      </c>
      <c r="D50" s="3036" t="s">
        <v>1680</v>
      </c>
      <c r="E50" s="87">
        <f t="shared" si="33"/>
        <v>1240.95</v>
      </c>
      <c r="F50" s="88"/>
      <c r="G50" s="89">
        <f t="shared" si="34"/>
        <v>3579</v>
      </c>
      <c r="H50" s="90">
        <f t="shared" si="35"/>
        <v>3579</v>
      </c>
      <c r="I50" s="1393">
        <v>3579</v>
      </c>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t="str">
        <f t="shared" si="39"/>
        <v>4#27</v>
      </c>
      <c r="AY50" s="95">
        <f t="shared" si="40"/>
        <v>1240.95</v>
      </c>
      <c r="AZ50" s="87">
        <f t="shared" si="41"/>
        <v>3579</v>
      </c>
      <c r="BA50" s="87">
        <f t="shared" si="42"/>
        <v>3579</v>
      </c>
      <c r="BB50" s="87">
        <f t="shared" si="43"/>
        <v>3579</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3037" t="s">
        <v>3170</v>
      </c>
      <c r="D51" s="3036" t="s">
        <v>1680</v>
      </c>
      <c r="E51" s="87">
        <f t="shared" si="33"/>
        <v>1240.95</v>
      </c>
      <c r="F51" s="88"/>
      <c r="G51" s="89">
        <f t="shared" si="34"/>
        <v>3579</v>
      </c>
      <c r="H51" s="90">
        <f t="shared" si="35"/>
        <v>3579</v>
      </c>
      <c r="I51" s="1393">
        <v>3579</v>
      </c>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t="str">
        <f t="shared" si="39"/>
        <v>4#28</v>
      </c>
      <c r="AY51" s="95">
        <f t="shared" si="40"/>
        <v>1240.95</v>
      </c>
      <c r="AZ51" s="87">
        <f t="shared" si="41"/>
        <v>3579</v>
      </c>
      <c r="BA51" s="87">
        <f t="shared" si="42"/>
        <v>3579</v>
      </c>
      <c r="BB51" s="87">
        <f t="shared" si="43"/>
        <v>3579</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3037" t="s">
        <v>3171</v>
      </c>
      <c r="D52" s="3036" t="s">
        <v>1680</v>
      </c>
      <c r="E52" s="87">
        <f t="shared" si="33"/>
        <v>1240.95</v>
      </c>
      <c r="F52" s="88"/>
      <c r="G52" s="89">
        <f t="shared" si="34"/>
        <v>3579</v>
      </c>
      <c r="H52" s="90">
        <f t="shared" si="35"/>
        <v>3579</v>
      </c>
      <c r="I52" s="1393">
        <v>3579</v>
      </c>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t="str">
        <f t="shared" si="39"/>
        <v>4#29</v>
      </c>
      <c r="AY52" s="95">
        <f t="shared" si="40"/>
        <v>1240.95</v>
      </c>
      <c r="AZ52" s="87">
        <f t="shared" si="41"/>
        <v>3579</v>
      </c>
      <c r="BA52" s="87">
        <f t="shared" si="42"/>
        <v>3579</v>
      </c>
      <c r="BB52" s="87">
        <f t="shared" si="43"/>
        <v>3579</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3037" t="s">
        <v>3172</v>
      </c>
      <c r="D53" s="3036" t="s">
        <v>1680</v>
      </c>
      <c r="E53" s="87">
        <f t="shared" si="33"/>
        <v>1861.43</v>
      </c>
      <c r="F53" s="88"/>
      <c r="G53" s="89">
        <f t="shared" si="34"/>
        <v>5368.5</v>
      </c>
      <c r="H53" s="90">
        <f t="shared" si="35"/>
        <v>5368.5</v>
      </c>
      <c r="I53" s="1393">
        <v>5368.5</v>
      </c>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t="str">
        <f t="shared" si="39"/>
        <v>4#30</v>
      </c>
      <c r="AY53" s="95">
        <f t="shared" si="40"/>
        <v>1861.43</v>
      </c>
      <c r="AZ53" s="87">
        <f t="shared" si="41"/>
        <v>5368.5</v>
      </c>
      <c r="BA53" s="87">
        <f t="shared" si="42"/>
        <v>5368.5</v>
      </c>
      <c r="BB53" s="87">
        <f t="shared" si="43"/>
        <v>5368.5</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3037" t="s">
        <v>3173</v>
      </c>
      <c r="D54" s="3036" t="s">
        <v>1680</v>
      </c>
      <c r="E54" s="87">
        <f t="shared" si="33"/>
        <v>1861.43</v>
      </c>
      <c r="F54" s="88"/>
      <c r="G54" s="89">
        <f t="shared" si="34"/>
        <v>5368.5</v>
      </c>
      <c r="H54" s="90">
        <f t="shared" si="35"/>
        <v>5368.5</v>
      </c>
      <c r="I54" s="1393">
        <v>5368.5</v>
      </c>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t="str">
        <f t="shared" si="39"/>
        <v>4#31</v>
      </c>
      <c r="AY54" s="95">
        <f t="shared" si="40"/>
        <v>1861.43</v>
      </c>
      <c r="AZ54" s="87">
        <f t="shared" si="41"/>
        <v>5368.5</v>
      </c>
      <c r="BA54" s="87">
        <f t="shared" si="42"/>
        <v>5368.5</v>
      </c>
      <c r="BB54" s="87">
        <f t="shared" si="43"/>
        <v>5368.5</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3037" t="s">
        <v>3174</v>
      </c>
      <c r="D55" s="3036" t="s">
        <v>1680</v>
      </c>
      <c r="E55" s="87">
        <f t="shared" si="33"/>
        <v>1437.18</v>
      </c>
      <c r="F55" s="88"/>
      <c r="G55" s="89">
        <f t="shared" si="34"/>
        <v>4144.9399999999996</v>
      </c>
      <c r="H55" s="90">
        <f t="shared" si="35"/>
        <v>0</v>
      </c>
      <c r="I55" s="1393"/>
      <c r="J55" s="91"/>
      <c r="K55" s="1393"/>
      <c r="L55" s="91"/>
      <c r="M55" s="91"/>
      <c r="N55" s="91"/>
      <c r="O55" s="91"/>
      <c r="P55" s="91"/>
      <c r="Q55" s="91"/>
      <c r="R55" s="91"/>
      <c r="S55" s="91"/>
      <c r="T55" s="91"/>
      <c r="U55" s="91"/>
      <c r="V55" s="91"/>
      <c r="W55" s="91"/>
      <c r="X55" s="91"/>
      <c r="Y55" s="91"/>
      <c r="Z55" s="91"/>
      <c r="AA55" s="91"/>
      <c r="AB55" s="91"/>
      <c r="AC55" s="87">
        <f t="shared" si="36"/>
        <v>4144.9399999999996</v>
      </c>
      <c r="AD55" s="92">
        <v>4144.9399999999996</v>
      </c>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t="str">
        <f t="shared" si="39"/>
        <v>4#32</v>
      </c>
      <c r="AY55" s="95">
        <f t="shared" si="40"/>
        <v>1437.18</v>
      </c>
      <c r="AZ55" s="87">
        <f t="shared" si="41"/>
        <v>4144.9399999999996</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4144.9399999999996</v>
      </c>
      <c r="BM55" s="87">
        <f t="shared" si="54"/>
        <v>4144.9399999999996</v>
      </c>
      <c r="BN55" s="87">
        <f t="shared" si="55"/>
        <v>0</v>
      </c>
      <c r="BO55" s="87">
        <f t="shared" si="56"/>
        <v>0</v>
      </c>
      <c r="BP55" s="87">
        <f t="shared" si="57"/>
        <v>0</v>
      </c>
      <c r="BQ55" s="87">
        <f t="shared" si="58"/>
        <v>0</v>
      </c>
      <c r="BR55" s="87">
        <f t="shared" si="59"/>
        <v>0</v>
      </c>
      <c r="BS55" s="87">
        <f t="shared" si="60"/>
        <v>0</v>
      </c>
      <c r="BT55" s="96">
        <f t="shared" si="61"/>
        <v>0</v>
      </c>
    </row>
    <row r="56" spans="1:72">
      <c r="A56" s="84"/>
      <c r="B56" s="1394"/>
      <c r="C56" s="3037" t="s">
        <v>3175</v>
      </c>
      <c r="D56" s="3036" t="s">
        <v>1680</v>
      </c>
      <c r="E56" s="87">
        <f t="shared" si="33"/>
        <v>582.85</v>
      </c>
      <c r="F56" s="88"/>
      <c r="G56" s="89">
        <f t="shared" si="34"/>
        <v>1680.99</v>
      </c>
      <c r="H56" s="90">
        <f t="shared" si="35"/>
        <v>1680.99</v>
      </c>
      <c r="I56" s="1393"/>
      <c r="J56" s="91"/>
      <c r="K56" s="91">
        <v>1680.99</v>
      </c>
      <c r="L56" s="91"/>
      <c r="M56" s="1393"/>
      <c r="N56" s="91"/>
      <c r="O56" s="91"/>
      <c r="P56" s="91"/>
      <c r="Q56" s="91"/>
      <c r="R56" s="91"/>
      <c r="S56" s="91"/>
      <c r="T56" s="91"/>
      <c r="U56" s="91"/>
      <c r="V56" s="91"/>
      <c r="W56" s="91"/>
      <c r="X56" s="91"/>
      <c r="Y56" s="91"/>
      <c r="Z56" s="91"/>
      <c r="AA56" s="91"/>
      <c r="AB56" s="91"/>
      <c r="AC56" s="87">
        <f t="shared" si="36"/>
        <v>0</v>
      </c>
      <c r="AD56" s="92"/>
      <c r="AE56" s="92"/>
      <c r="AF56" s="1393"/>
      <c r="AG56" s="92"/>
      <c r="AH56" s="92"/>
      <c r="AI56" s="92"/>
      <c r="AJ56" s="92"/>
      <c r="AK56" s="92"/>
      <c r="AL56" s="92"/>
      <c r="AM56" s="92"/>
      <c r="AN56" s="92"/>
      <c r="AO56" s="92"/>
      <c r="AP56" s="92"/>
      <c r="AQ56" s="92"/>
      <c r="AR56" s="92"/>
      <c r="AS56" s="92"/>
      <c r="AT56" s="93"/>
      <c r="AU56" s="94"/>
      <c r="AV56" s="1977">
        <f t="shared" si="37"/>
        <v>0</v>
      </c>
      <c r="AW56" s="1977">
        <f t="shared" si="38"/>
        <v>0</v>
      </c>
      <c r="AX56" s="1977" t="str">
        <f t="shared" si="39"/>
        <v>4#S1</v>
      </c>
      <c r="AY56" s="95">
        <f t="shared" si="40"/>
        <v>582.85</v>
      </c>
      <c r="AZ56" s="87">
        <f t="shared" si="41"/>
        <v>1680.99</v>
      </c>
      <c r="BA56" s="87">
        <f t="shared" si="42"/>
        <v>1680.99</v>
      </c>
      <c r="BB56" s="87">
        <f t="shared" si="43"/>
        <v>0</v>
      </c>
      <c r="BC56" s="87">
        <f t="shared" si="44"/>
        <v>1680.99</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3037" t="s">
        <v>3176</v>
      </c>
      <c r="D57" s="3036" t="s">
        <v>1680</v>
      </c>
      <c r="E57" s="87">
        <f t="shared" si="33"/>
        <v>324.67</v>
      </c>
      <c r="F57" s="88"/>
      <c r="G57" s="89">
        <f t="shared" si="34"/>
        <v>936.36</v>
      </c>
      <c r="H57" s="90">
        <f t="shared" si="35"/>
        <v>936.36</v>
      </c>
      <c r="I57" s="91"/>
      <c r="J57" s="91"/>
      <c r="K57" s="91">
        <v>936.36</v>
      </c>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t="str">
        <f t="shared" si="39"/>
        <v>4#S2</v>
      </c>
      <c r="AY57" s="95">
        <f t="shared" si="40"/>
        <v>324.67</v>
      </c>
      <c r="AZ57" s="87">
        <f t="shared" si="41"/>
        <v>936.36</v>
      </c>
      <c r="BA57" s="87">
        <f t="shared" si="42"/>
        <v>936.36</v>
      </c>
      <c r="BB57" s="87">
        <f t="shared" si="43"/>
        <v>0</v>
      </c>
      <c r="BC57" s="87">
        <f t="shared" si="44"/>
        <v>936.36</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3037" t="s">
        <v>3179</v>
      </c>
      <c r="D58" s="3036" t="s">
        <v>1680</v>
      </c>
      <c r="E58" s="87">
        <f t="shared" si="33"/>
        <v>28134.2</v>
      </c>
      <c r="F58" s="88"/>
      <c r="G58" s="89">
        <f t="shared" si="34"/>
        <v>81141.08</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81141.08</v>
      </c>
      <c r="AD58" s="92"/>
      <c r="AE58" s="92"/>
      <c r="AF58" s="92"/>
      <c r="AG58" s="92"/>
      <c r="AH58" s="92"/>
      <c r="AI58" s="92"/>
      <c r="AJ58" s="92"/>
      <c r="AK58" s="92"/>
      <c r="AL58" s="92"/>
      <c r="AM58" s="92"/>
      <c r="AN58" s="91">
        <v>81141.08</v>
      </c>
      <c r="AO58" s="92"/>
      <c r="AP58" s="92"/>
      <c r="AQ58" s="92"/>
      <c r="AR58" s="92"/>
      <c r="AS58" s="92"/>
      <c r="AT58" s="93"/>
      <c r="AU58" s="94"/>
      <c r="AV58" s="1977">
        <f t="shared" si="37"/>
        <v>0</v>
      </c>
      <c r="AW58" s="1977">
        <f t="shared" si="38"/>
        <v>0</v>
      </c>
      <c r="AX58" s="1977" t="str">
        <f t="shared" si="39"/>
        <v>4#地下室</v>
      </c>
      <c r="AY58" s="95">
        <f t="shared" si="40"/>
        <v>28134.2</v>
      </c>
      <c r="AZ58" s="87">
        <f t="shared" si="41"/>
        <v>81141.08</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81141.08</v>
      </c>
      <c r="BM58" s="87">
        <f t="shared" si="54"/>
        <v>0</v>
      </c>
      <c r="BN58" s="87">
        <f t="shared" si="55"/>
        <v>0</v>
      </c>
      <c r="BO58" s="87">
        <f t="shared" si="56"/>
        <v>0</v>
      </c>
      <c r="BP58" s="87">
        <f t="shared" si="57"/>
        <v>0</v>
      </c>
      <c r="BQ58" s="87">
        <f t="shared" si="58"/>
        <v>0</v>
      </c>
      <c r="BR58" s="87">
        <f t="shared" si="59"/>
        <v>81141.08</v>
      </c>
      <c r="BS58" s="87">
        <f t="shared" si="60"/>
        <v>0</v>
      </c>
      <c r="BT58" s="96">
        <f t="shared" si="61"/>
        <v>0</v>
      </c>
    </row>
    <row r="59" spans="1:72">
      <c r="A59" s="84"/>
      <c r="B59" s="85"/>
      <c r="C59" s="3037" t="s">
        <v>3180</v>
      </c>
      <c r="D59" s="3036" t="s">
        <v>1680</v>
      </c>
      <c r="E59" s="87">
        <f t="shared" si="33"/>
        <v>15042.35</v>
      </c>
      <c r="F59" s="88"/>
      <c r="G59" s="89">
        <f t="shared" si="34"/>
        <v>43383.22</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43383.22</v>
      </c>
      <c r="AD59" s="92"/>
      <c r="AE59" s="92"/>
      <c r="AF59" s="92"/>
      <c r="AG59" s="92"/>
      <c r="AH59" s="92"/>
      <c r="AI59" s="92"/>
      <c r="AJ59" s="92"/>
      <c r="AK59" s="92"/>
      <c r="AL59" s="92"/>
      <c r="AM59" s="92"/>
      <c r="AN59" s="91">
        <v>43383.22</v>
      </c>
      <c r="AO59" s="92"/>
      <c r="AP59" s="92"/>
      <c r="AQ59" s="92"/>
      <c r="AR59" s="92"/>
      <c r="AS59" s="92"/>
      <c r="AT59" s="93"/>
      <c r="AU59" s="94"/>
      <c r="AV59" s="1977">
        <f t="shared" si="37"/>
        <v>0</v>
      </c>
      <c r="AW59" s="1977">
        <f t="shared" si="38"/>
        <v>0</v>
      </c>
      <c r="AX59" s="1977" t="str">
        <f t="shared" si="39"/>
        <v>3#地下室</v>
      </c>
      <c r="AY59" s="95">
        <f t="shared" si="40"/>
        <v>15042.35</v>
      </c>
      <c r="AZ59" s="87">
        <f t="shared" si="41"/>
        <v>43383.22</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43383.22</v>
      </c>
      <c r="BM59" s="87">
        <f t="shared" si="54"/>
        <v>0</v>
      </c>
      <c r="BN59" s="87">
        <f t="shared" si="55"/>
        <v>0</v>
      </c>
      <c r="BO59" s="87">
        <f t="shared" si="56"/>
        <v>0</v>
      </c>
      <c r="BP59" s="87">
        <f t="shared" si="57"/>
        <v>0</v>
      </c>
      <c r="BQ59" s="87">
        <f t="shared" si="58"/>
        <v>0</v>
      </c>
      <c r="BR59" s="87">
        <f t="shared" si="59"/>
        <v>43383.22</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5"/>
      <c r="C110" s="85"/>
      <c r="D110" s="86"/>
      <c r="E110" s="87">
        <f t="shared" si="33"/>
        <v>0</v>
      </c>
      <c r="F110" s="88"/>
      <c r="G110" s="89">
        <f t="shared" si="34"/>
        <v>0</v>
      </c>
      <c r="H110" s="90">
        <f t="shared" si="35"/>
        <v>0</v>
      </c>
      <c r="I110" s="91"/>
      <c r="J110" s="91"/>
      <c r="K110" s="91"/>
      <c r="L110" s="91"/>
      <c r="M110" s="91"/>
      <c r="N110" s="91"/>
      <c r="O110" s="91"/>
      <c r="P110" s="91"/>
      <c r="Q110" s="91"/>
      <c r="R110" s="91"/>
      <c r="S110" s="91"/>
      <c r="T110" s="91"/>
      <c r="U110" s="91"/>
      <c r="V110" s="91"/>
      <c r="W110" s="91"/>
      <c r="X110" s="91"/>
      <c r="Y110" s="91"/>
      <c r="Z110" s="91"/>
      <c r="AA110" s="91"/>
      <c r="AB110" s="91"/>
      <c r="AC110" s="87">
        <f t="shared" si="36"/>
        <v>0</v>
      </c>
      <c r="AD110" s="92"/>
      <c r="AE110" s="92"/>
      <c r="AF110" s="92"/>
      <c r="AG110" s="92"/>
      <c r="AH110" s="92"/>
      <c r="AI110" s="92"/>
      <c r="AJ110" s="92"/>
      <c r="AK110" s="92"/>
      <c r="AL110" s="92"/>
      <c r="AM110" s="92"/>
      <c r="AN110" s="92"/>
      <c r="AO110" s="92"/>
      <c r="AP110" s="92"/>
      <c r="AQ110" s="92"/>
      <c r="AR110" s="92"/>
      <c r="AS110" s="92"/>
      <c r="AT110" s="93"/>
      <c r="AU110" s="94"/>
      <c r="AV110" s="1977">
        <f t="shared" si="37"/>
        <v>0</v>
      </c>
      <c r="AW110" s="1977">
        <f t="shared" si="38"/>
        <v>0</v>
      </c>
      <c r="AX110" s="1977">
        <f t="shared" si="39"/>
        <v>0</v>
      </c>
      <c r="AY110" s="95">
        <f t="shared" si="40"/>
        <v>0</v>
      </c>
      <c r="AZ110" s="87">
        <f t="shared" si="41"/>
        <v>0</v>
      </c>
      <c r="BA110" s="87">
        <f t="shared" si="42"/>
        <v>0</v>
      </c>
      <c r="BB110" s="87">
        <f t="shared" si="43"/>
        <v>0</v>
      </c>
      <c r="BC110" s="87">
        <f t="shared" si="44"/>
        <v>0</v>
      </c>
      <c r="BD110" s="87">
        <f t="shared" si="45"/>
        <v>0</v>
      </c>
      <c r="BE110" s="87">
        <f t="shared" si="46"/>
        <v>0</v>
      </c>
      <c r="BF110" s="87">
        <f t="shared" si="47"/>
        <v>0</v>
      </c>
      <c r="BG110" s="87">
        <f t="shared" si="48"/>
        <v>0</v>
      </c>
      <c r="BH110" s="87">
        <f t="shared" si="49"/>
        <v>0</v>
      </c>
      <c r="BI110" s="87">
        <f t="shared" si="50"/>
        <v>0</v>
      </c>
      <c r="BJ110" s="87">
        <f t="shared" si="51"/>
        <v>0</v>
      </c>
      <c r="BK110" s="87">
        <f t="shared" si="52"/>
        <v>0</v>
      </c>
      <c r="BL110" s="87">
        <f t="shared" si="53"/>
        <v>0</v>
      </c>
      <c r="BM110" s="87">
        <f t="shared" si="54"/>
        <v>0</v>
      </c>
      <c r="BN110" s="87">
        <f t="shared" si="55"/>
        <v>0</v>
      </c>
      <c r="BO110" s="87">
        <f t="shared" si="56"/>
        <v>0</v>
      </c>
      <c r="BP110" s="87">
        <f t="shared" si="57"/>
        <v>0</v>
      </c>
      <c r="BQ110" s="87">
        <f t="shared" si="58"/>
        <v>0</v>
      </c>
      <c r="BR110" s="87">
        <f t="shared" si="59"/>
        <v>0</v>
      </c>
      <c r="BS110" s="87">
        <f t="shared" si="60"/>
        <v>0</v>
      </c>
      <c r="BT110" s="96">
        <f t="shared" si="61"/>
        <v>0</v>
      </c>
    </row>
    <row r="111" spans="1:72">
      <c r="A111" s="84"/>
      <c r="B111" s="84"/>
      <c r="C111" s="84"/>
      <c r="D111" s="86"/>
      <c r="E111" s="87">
        <f t="shared" si="33"/>
        <v>0</v>
      </c>
      <c r="F111" s="97"/>
      <c r="G111" s="89">
        <f t="shared" ref="G111:G142" si="62">H111+AC111+AT111</f>
        <v>0</v>
      </c>
      <c r="H111" s="90">
        <f t="shared" ref="H111:H142" si="63">SUMIF(I$12:AB$12,"总值",I111:AB111)</f>
        <v>0</v>
      </c>
      <c r="I111" s="98"/>
      <c r="J111" s="98"/>
      <c r="K111" s="91"/>
      <c r="L111" s="91"/>
      <c r="M111" s="91"/>
      <c r="N111" s="91"/>
      <c r="O111" s="91"/>
      <c r="P111" s="91"/>
      <c r="Q111" s="91"/>
      <c r="R111" s="91"/>
      <c r="S111" s="91"/>
      <c r="T111" s="91"/>
      <c r="U111" s="91"/>
      <c r="V111" s="91"/>
      <c r="W111" s="91"/>
      <c r="X111" s="91"/>
      <c r="Y111" s="91"/>
      <c r="Z111" s="91"/>
      <c r="AA111" s="91"/>
      <c r="AB111" s="91"/>
      <c r="AC111" s="87">
        <f t="shared" ref="AC111:AC142" si="64">SUMIF(AD$12:AS$12,"总值",AD111:AS111)</f>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ref="AY111:AY142" si="65">ROUND($AY$6*AZ111/$AZ$5,2)</f>
        <v>0</v>
      </c>
      <c r="AZ111" s="87">
        <f t="shared" ref="AZ111:AZ142" si="66">BA111+BL111</f>
        <v>0</v>
      </c>
      <c r="BA111" s="87">
        <f t="shared" ref="BA111:BA142" si="67">SUM(BB111:BK111)</f>
        <v>0</v>
      </c>
      <c r="BB111" s="87">
        <f t="shared" ref="BB111:BB142" si="68">IF($D111="是",I111-J111,0)</f>
        <v>0</v>
      </c>
      <c r="BC111" s="87">
        <f t="shared" ref="BC111:BC142" si="69">IF($D111="是",K111-L111,0)</f>
        <v>0</v>
      </c>
      <c r="BD111" s="87">
        <f t="shared" ref="BD111:BD142" si="70">IF($D111="是",M111-N111,0)</f>
        <v>0</v>
      </c>
      <c r="BE111" s="87">
        <f t="shared" ref="BE111:BE142" si="71">IF($D111="是",O111-P111,0)</f>
        <v>0</v>
      </c>
      <c r="BF111" s="87">
        <f t="shared" ref="BF111:BF142" si="72">IF($D111="是",Q111-R111,0)</f>
        <v>0</v>
      </c>
      <c r="BG111" s="87">
        <f t="shared" ref="BG111:BG142" si="73">IF($D111="是",S111-T111,0)</f>
        <v>0</v>
      </c>
      <c r="BH111" s="87">
        <f t="shared" ref="BH111:BH142" si="74">IF($D111="是",U111-V111,0)</f>
        <v>0</v>
      </c>
      <c r="BI111" s="87">
        <f t="shared" ref="BI111:BI142" si="75">IF($D111="是",W111-X111,0)</f>
        <v>0</v>
      </c>
      <c r="BJ111" s="87">
        <f t="shared" ref="BJ111:BJ142" si="76">IF($D111="是",Y111-Z111,0)</f>
        <v>0</v>
      </c>
      <c r="BK111" s="87">
        <f t="shared" ref="BK111:BK142" si="77">IF($D111="是",AA111-AB111,0)</f>
        <v>0</v>
      </c>
      <c r="BL111" s="87">
        <f t="shared" ref="BL111:BL142" si="78">SUM(BM111:BT111)</f>
        <v>0</v>
      </c>
      <c r="BM111" s="87">
        <f t="shared" ref="BM111:BM142" si="79">IF($D111="是",AD111-AE111,0)</f>
        <v>0</v>
      </c>
      <c r="BN111" s="87">
        <f t="shared" ref="BN111:BN142" si="80">IF($D111="是",AF111-AG111,0)</f>
        <v>0</v>
      </c>
      <c r="BO111" s="87">
        <f t="shared" ref="BO111:BO142" si="81">IF($D111="是",AH111-AI111,0)</f>
        <v>0</v>
      </c>
      <c r="BP111" s="87">
        <f t="shared" ref="BP111:BP142" si="82">IF($D111="是",AJ111-AK111,0)</f>
        <v>0</v>
      </c>
      <c r="BQ111" s="87">
        <f t="shared" ref="BQ111:BQ142" si="83">IF($D111="是",AL111-AM111,0)</f>
        <v>0</v>
      </c>
      <c r="BR111" s="87">
        <f t="shared" ref="BR111:BR142" si="84">IF($D111="是",AN111-AO111,0)</f>
        <v>0</v>
      </c>
      <c r="BS111" s="87">
        <f t="shared" ref="BS111:BS142" si="85">IF($D111="是",AP111-AQ111,0)</f>
        <v>0</v>
      </c>
      <c r="BT111" s="96">
        <f t="shared" ref="BT111:BT142" si="86">IF($D111="是",AR111-AS111,0)</f>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84"/>
      <c r="C113" s="84"/>
      <c r="D113" s="86"/>
      <c r="E113" s="87">
        <f t="shared" si="33"/>
        <v>0</v>
      </c>
      <c r="F113" s="97"/>
      <c r="G113" s="89">
        <f t="shared" si="62"/>
        <v>0</v>
      </c>
      <c r="H113" s="90">
        <f t="shared" si="63"/>
        <v>0</v>
      </c>
      <c r="I113" s="91"/>
      <c r="J113" s="91"/>
      <c r="K113" s="91"/>
      <c r="L113" s="91"/>
      <c r="M113" s="91"/>
      <c r="N113" s="91"/>
      <c r="O113" s="91"/>
      <c r="P113" s="91"/>
      <c r="Q113" s="91"/>
      <c r="R113" s="91"/>
      <c r="S113" s="91"/>
      <c r="T113" s="91"/>
      <c r="U113" s="91"/>
      <c r="V113" s="91"/>
      <c r="W113" s="91"/>
      <c r="X113" s="91"/>
      <c r="Y113" s="91"/>
      <c r="Z113" s="91"/>
      <c r="AA113" s="91"/>
      <c r="AB113" s="91"/>
      <c r="AC113" s="87">
        <f t="shared" si="64"/>
        <v>0</v>
      </c>
      <c r="AD113" s="92"/>
      <c r="AE113" s="92"/>
      <c r="AF113" s="92"/>
      <c r="AG113" s="92"/>
      <c r="AH113" s="92"/>
      <c r="AI113" s="92"/>
      <c r="AJ113" s="92"/>
      <c r="AK113" s="92"/>
      <c r="AL113" s="92"/>
      <c r="AM113" s="92"/>
      <c r="AN113" s="92"/>
      <c r="AO113" s="92"/>
      <c r="AP113" s="92"/>
      <c r="AQ113" s="92"/>
      <c r="AR113" s="92"/>
      <c r="AS113" s="92"/>
      <c r="AT113" s="92"/>
      <c r="AU113" s="99"/>
      <c r="AV113" s="1977">
        <f t="shared" si="37"/>
        <v>0</v>
      </c>
      <c r="AW113" s="1977">
        <f t="shared" si="38"/>
        <v>0</v>
      </c>
      <c r="AX113" s="1977">
        <f t="shared" si="39"/>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ref="E114:E145" si="87">IF($C$3="是",ROUND($A$3*G114/$B$3,2),ROUND($A$3*(G114-AT114)/$B$3,2))</f>
        <v>0</v>
      </c>
      <c r="F114" s="88"/>
      <c r="G114" s="89">
        <f t="shared" si="62"/>
        <v>0</v>
      </c>
      <c r="H114" s="90">
        <f t="shared" si="63"/>
        <v>0</v>
      </c>
      <c r="I114" s="1395"/>
      <c r="J114" s="91"/>
      <c r="K114" s="1395"/>
      <c r="L114" s="91"/>
      <c r="M114" s="91"/>
      <c r="N114" s="91"/>
      <c r="O114" s="91"/>
      <c r="P114" s="91"/>
      <c r="Q114" s="91"/>
      <c r="R114" s="91"/>
      <c r="S114" s="91"/>
      <c r="T114" s="91"/>
      <c r="U114" s="91"/>
      <c r="V114" s="91"/>
      <c r="W114" s="91"/>
      <c r="X114" s="91"/>
      <c r="Y114" s="91"/>
      <c r="Z114" s="91"/>
      <c r="AA114" s="91"/>
      <c r="AB114" s="91"/>
      <c r="AC114" s="87">
        <f t="shared" si="64"/>
        <v>0</v>
      </c>
      <c r="AD114" s="92"/>
      <c r="AE114" s="92"/>
      <c r="AF114" s="1396"/>
      <c r="AG114" s="92"/>
      <c r="AH114" s="92"/>
      <c r="AI114" s="92"/>
      <c r="AJ114" s="92"/>
      <c r="AK114" s="92"/>
      <c r="AL114" s="92"/>
      <c r="AM114" s="92"/>
      <c r="AN114" s="1363"/>
      <c r="AO114" s="92"/>
      <c r="AP114" s="92"/>
      <c r="AQ114" s="92"/>
      <c r="AR114" s="92"/>
      <c r="AS114" s="92"/>
      <c r="AT114" s="93"/>
      <c r="AU114" s="94"/>
      <c r="AV114" s="1977">
        <f t="shared" ref="AV114:AV145" si="88">A114</f>
        <v>0</v>
      </c>
      <c r="AW114" s="1977">
        <f t="shared" ref="AW114:AW145" si="89">B114</f>
        <v>0</v>
      </c>
      <c r="AX114" s="1977">
        <f t="shared" ref="AX114:AX145" si="90">C114</f>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1363"/>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1363"/>
      <c r="N116" s="91"/>
      <c r="O116" s="91"/>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1363"/>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1363"/>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1363"/>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si="62"/>
        <v>0</v>
      </c>
      <c r="H142" s="90">
        <f t="shared" si="63"/>
        <v>0</v>
      </c>
      <c r="I142" s="1393"/>
      <c r="J142" s="91"/>
      <c r="K142" s="1393"/>
      <c r="L142" s="91"/>
      <c r="M142" s="91"/>
      <c r="N142" s="91"/>
      <c r="O142" s="91"/>
      <c r="P142" s="91"/>
      <c r="Q142" s="91"/>
      <c r="R142" s="91"/>
      <c r="S142" s="91"/>
      <c r="T142" s="91"/>
      <c r="U142" s="91"/>
      <c r="V142" s="91"/>
      <c r="W142" s="91"/>
      <c r="X142" s="91"/>
      <c r="Y142" s="91"/>
      <c r="Z142" s="91"/>
      <c r="AA142" s="91"/>
      <c r="AB142" s="91"/>
      <c r="AC142" s="87">
        <f t="shared" si="64"/>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si="65"/>
        <v>0</v>
      </c>
      <c r="AZ142" s="87">
        <f t="shared" si="66"/>
        <v>0</v>
      </c>
      <c r="BA142" s="87">
        <f t="shared" si="67"/>
        <v>0</v>
      </c>
      <c r="BB142" s="87">
        <f t="shared" si="68"/>
        <v>0</v>
      </c>
      <c r="BC142" s="87">
        <f t="shared" si="69"/>
        <v>0</v>
      </c>
      <c r="BD142" s="87">
        <f t="shared" si="70"/>
        <v>0</v>
      </c>
      <c r="BE142" s="87">
        <f t="shared" si="71"/>
        <v>0</v>
      </c>
      <c r="BF142" s="87">
        <f t="shared" si="72"/>
        <v>0</v>
      </c>
      <c r="BG142" s="87">
        <f t="shared" si="73"/>
        <v>0</v>
      </c>
      <c r="BH142" s="87">
        <f t="shared" si="74"/>
        <v>0</v>
      </c>
      <c r="BI142" s="87">
        <f t="shared" si="75"/>
        <v>0</v>
      </c>
      <c r="BJ142" s="87">
        <f t="shared" si="76"/>
        <v>0</v>
      </c>
      <c r="BK142" s="87">
        <f t="shared" si="77"/>
        <v>0</v>
      </c>
      <c r="BL142" s="87">
        <f t="shared" si="78"/>
        <v>0</v>
      </c>
      <c r="BM142" s="87">
        <f t="shared" si="79"/>
        <v>0</v>
      </c>
      <c r="BN142" s="87">
        <f t="shared" si="80"/>
        <v>0</v>
      </c>
      <c r="BO142" s="87">
        <f t="shared" si="81"/>
        <v>0</v>
      </c>
      <c r="BP142" s="87">
        <f t="shared" si="82"/>
        <v>0</v>
      </c>
      <c r="BQ142" s="87">
        <f t="shared" si="83"/>
        <v>0</v>
      </c>
      <c r="BR142" s="87">
        <f t="shared" si="84"/>
        <v>0</v>
      </c>
      <c r="BS142" s="87">
        <f t="shared" si="85"/>
        <v>0</v>
      </c>
      <c r="BT142" s="96">
        <f t="shared" si="86"/>
        <v>0</v>
      </c>
    </row>
    <row r="143" spans="1:72">
      <c r="A143" s="84"/>
      <c r="B143" s="1392"/>
      <c r="C143" s="1393"/>
      <c r="D143" s="80"/>
      <c r="E143" s="87">
        <f t="shared" si="87"/>
        <v>0</v>
      </c>
      <c r="F143" s="88"/>
      <c r="G143" s="89">
        <f t="shared" ref="G143:G174" si="91">H143+AC143+AT143</f>
        <v>0</v>
      </c>
      <c r="H143" s="90">
        <f t="shared" ref="H143:H174" si="92">SUMIF(I$12:AB$12,"总值",I143:AB143)</f>
        <v>0</v>
      </c>
      <c r="I143" s="1393"/>
      <c r="J143" s="91"/>
      <c r="K143" s="1393"/>
      <c r="L143" s="91"/>
      <c r="M143" s="91"/>
      <c r="N143" s="91"/>
      <c r="O143" s="91"/>
      <c r="P143" s="91"/>
      <c r="Q143" s="91"/>
      <c r="R143" s="91"/>
      <c r="S143" s="91"/>
      <c r="T143" s="91"/>
      <c r="U143" s="91"/>
      <c r="V143" s="91"/>
      <c r="W143" s="91"/>
      <c r="X143" s="91"/>
      <c r="Y143" s="91"/>
      <c r="Z143" s="91"/>
      <c r="AA143" s="91"/>
      <c r="AB143" s="91"/>
      <c r="AC143" s="87">
        <f t="shared" ref="AC143:AC174" si="93">SUMIF(AD$12:AS$12,"总值",AD143:AS143)</f>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ref="AY143:AY174" si="94">ROUND($AY$6*AZ143/$AZ$5,2)</f>
        <v>0</v>
      </c>
      <c r="AZ143" s="87">
        <f t="shared" ref="AZ143:AZ174" si="95">BA143+BL143</f>
        <v>0</v>
      </c>
      <c r="BA143" s="87">
        <f t="shared" ref="BA143:BA174" si="96">SUM(BB143:BK143)</f>
        <v>0</v>
      </c>
      <c r="BB143" s="87">
        <f t="shared" ref="BB143:BB174" si="97">IF($D143="是",I143-J143,0)</f>
        <v>0</v>
      </c>
      <c r="BC143" s="87">
        <f t="shared" ref="BC143:BC174" si="98">IF($D143="是",K143-L143,0)</f>
        <v>0</v>
      </c>
      <c r="BD143" s="87">
        <f t="shared" ref="BD143:BD174" si="99">IF($D143="是",M143-N143,0)</f>
        <v>0</v>
      </c>
      <c r="BE143" s="87">
        <f t="shared" ref="BE143:BE174" si="100">IF($D143="是",O143-P143,0)</f>
        <v>0</v>
      </c>
      <c r="BF143" s="87">
        <f t="shared" ref="BF143:BF174" si="101">IF($D143="是",Q143-R143,0)</f>
        <v>0</v>
      </c>
      <c r="BG143" s="87">
        <f t="shared" ref="BG143:BG174" si="102">IF($D143="是",S143-T143,0)</f>
        <v>0</v>
      </c>
      <c r="BH143" s="87">
        <f t="shared" ref="BH143:BH174" si="103">IF($D143="是",U143-V143,0)</f>
        <v>0</v>
      </c>
      <c r="BI143" s="87">
        <f t="shared" ref="BI143:BI174" si="104">IF($D143="是",W143-X143,0)</f>
        <v>0</v>
      </c>
      <c r="BJ143" s="87">
        <f t="shared" ref="BJ143:BJ174" si="105">IF($D143="是",Y143-Z143,0)</f>
        <v>0</v>
      </c>
      <c r="BK143" s="87">
        <f t="shared" ref="BK143:BK174" si="106">IF($D143="是",AA143-AB143,0)</f>
        <v>0</v>
      </c>
      <c r="BL143" s="87">
        <f t="shared" ref="BL143:BL174" si="107">SUM(BM143:BT143)</f>
        <v>0</v>
      </c>
      <c r="BM143" s="87">
        <f t="shared" ref="BM143:BM174" si="108">IF($D143="是",AD143-AE143,0)</f>
        <v>0</v>
      </c>
      <c r="BN143" s="87">
        <f t="shared" ref="BN143:BN174" si="109">IF($D143="是",AF143-AG143,0)</f>
        <v>0</v>
      </c>
      <c r="BO143" s="87">
        <f t="shared" ref="BO143:BO174" si="110">IF($D143="是",AH143-AI143,0)</f>
        <v>0</v>
      </c>
      <c r="BP143" s="87">
        <f t="shared" ref="BP143:BP174" si="111">IF($D143="是",AJ143-AK143,0)</f>
        <v>0</v>
      </c>
      <c r="BQ143" s="87">
        <f t="shared" ref="BQ143:BQ174" si="112">IF($D143="是",AL143-AM143,0)</f>
        <v>0</v>
      </c>
      <c r="BR143" s="87">
        <f t="shared" ref="BR143:BR174" si="113">IF($D143="是",AN143-AO143,0)</f>
        <v>0</v>
      </c>
      <c r="BS143" s="87">
        <f t="shared" ref="BS143:BS174" si="114">IF($D143="是",AP143-AQ143,0)</f>
        <v>0</v>
      </c>
      <c r="BT143" s="96">
        <f t="shared" ref="BT143:BT174" si="115">IF($D143="是",AR143-AS143,0)</f>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si="87"/>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si="88"/>
        <v>0</v>
      </c>
      <c r="AW145" s="1977">
        <f t="shared" si="89"/>
        <v>0</v>
      </c>
      <c r="AX145" s="1977">
        <f t="shared" si="90"/>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ref="E146:E177" si="116">IF($C$3="是",ROUND($A$3*G146/$B$3,2),ROUND($A$3*(G146-AT146)/$B$3,2))</f>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ref="AV146:AV177" si="117">A146</f>
        <v>0</v>
      </c>
      <c r="AW146" s="1977">
        <f t="shared" ref="AW146:AW177" si="118">B146</f>
        <v>0</v>
      </c>
      <c r="AX146" s="1977">
        <f t="shared" ref="AX146:AX177" si="119">C146</f>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3"/>
      <c r="J147" s="91"/>
      <c r="K147" s="1393"/>
      <c r="L147" s="91"/>
      <c r="M147" s="91"/>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1394"/>
      <c r="C148" s="1395"/>
      <c r="D148" s="80"/>
      <c r="E148" s="87">
        <f t="shared" si="116"/>
        <v>0</v>
      </c>
      <c r="F148" s="88"/>
      <c r="G148" s="89">
        <f t="shared" si="91"/>
        <v>0</v>
      </c>
      <c r="H148" s="90">
        <f t="shared" si="92"/>
        <v>0</v>
      </c>
      <c r="I148" s="1393"/>
      <c r="J148" s="91"/>
      <c r="K148" s="1393"/>
      <c r="L148" s="91"/>
      <c r="M148" s="1393"/>
      <c r="N148" s="91"/>
      <c r="O148" s="91"/>
      <c r="P148" s="91"/>
      <c r="Q148" s="91"/>
      <c r="R148" s="91"/>
      <c r="S148" s="91"/>
      <c r="T148" s="91"/>
      <c r="U148" s="91"/>
      <c r="V148" s="91"/>
      <c r="W148" s="91"/>
      <c r="X148" s="91"/>
      <c r="Y148" s="91"/>
      <c r="Z148" s="91"/>
      <c r="AA148" s="91"/>
      <c r="AB148" s="91"/>
      <c r="AC148" s="87">
        <f t="shared" si="93"/>
        <v>0</v>
      </c>
      <c r="AD148" s="92"/>
      <c r="AE148" s="92"/>
      <c r="AF148" s="1393"/>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si="91"/>
        <v>0</v>
      </c>
      <c r="H174" s="90">
        <f t="shared" si="92"/>
        <v>0</v>
      </c>
      <c r="I174" s="91"/>
      <c r="J174" s="91"/>
      <c r="K174" s="91"/>
      <c r="L174" s="91"/>
      <c r="M174" s="91"/>
      <c r="N174" s="91"/>
      <c r="O174" s="91"/>
      <c r="P174" s="91"/>
      <c r="Q174" s="91"/>
      <c r="R174" s="91"/>
      <c r="S174" s="91"/>
      <c r="T174" s="91"/>
      <c r="U174" s="91"/>
      <c r="V174" s="91"/>
      <c r="W174" s="91"/>
      <c r="X174" s="91"/>
      <c r="Y174" s="91"/>
      <c r="Z174" s="91"/>
      <c r="AA174" s="91"/>
      <c r="AB174" s="91"/>
      <c r="AC174" s="87">
        <f t="shared" si="93"/>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si="94"/>
        <v>0</v>
      </c>
      <c r="AZ174" s="87">
        <f t="shared" si="95"/>
        <v>0</v>
      </c>
      <c r="BA174" s="87">
        <f t="shared" si="96"/>
        <v>0</v>
      </c>
      <c r="BB174" s="87">
        <f t="shared" si="97"/>
        <v>0</v>
      </c>
      <c r="BC174" s="87">
        <f t="shared" si="98"/>
        <v>0</v>
      </c>
      <c r="BD174" s="87">
        <f t="shared" si="99"/>
        <v>0</v>
      </c>
      <c r="BE174" s="87">
        <f t="shared" si="100"/>
        <v>0</v>
      </c>
      <c r="BF174" s="87">
        <f t="shared" si="101"/>
        <v>0</v>
      </c>
      <c r="BG174" s="87">
        <f t="shared" si="102"/>
        <v>0</v>
      </c>
      <c r="BH174" s="87">
        <f t="shared" si="103"/>
        <v>0</v>
      </c>
      <c r="BI174" s="87">
        <f t="shared" si="104"/>
        <v>0</v>
      </c>
      <c r="BJ174" s="87">
        <f t="shared" si="105"/>
        <v>0</v>
      </c>
      <c r="BK174" s="87">
        <f t="shared" si="106"/>
        <v>0</v>
      </c>
      <c r="BL174" s="87">
        <f t="shared" si="107"/>
        <v>0</v>
      </c>
      <c r="BM174" s="87">
        <f t="shared" si="108"/>
        <v>0</v>
      </c>
      <c r="BN174" s="87">
        <f t="shared" si="109"/>
        <v>0</v>
      </c>
      <c r="BO174" s="87">
        <f t="shared" si="110"/>
        <v>0</v>
      </c>
      <c r="BP174" s="87">
        <f t="shared" si="111"/>
        <v>0</v>
      </c>
      <c r="BQ174" s="87">
        <f t="shared" si="112"/>
        <v>0</v>
      </c>
      <c r="BR174" s="87">
        <f t="shared" si="113"/>
        <v>0</v>
      </c>
      <c r="BS174" s="87">
        <f t="shared" si="114"/>
        <v>0</v>
      </c>
      <c r="BT174" s="96">
        <f t="shared" si="115"/>
        <v>0</v>
      </c>
    </row>
    <row r="175" spans="1:72">
      <c r="A175" s="84"/>
      <c r="B175" s="85"/>
      <c r="C175" s="85"/>
      <c r="D175" s="86"/>
      <c r="E175" s="87">
        <f t="shared" si="116"/>
        <v>0</v>
      </c>
      <c r="F175" s="88"/>
      <c r="G175" s="89">
        <f t="shared" ref="G175:G205" si="120">H175+AC175+AT175</f>
        <v>0</v>
      </c>
      <c r="H175" s="90">
        <f t="shared" ref="H175:H205" si="121">SUMIF(I$12:AB$12,"总值",I175:AB175)</f>
        <v>0</v>
      </c>
      <c r="I175" s="91"/>
      <c r="J175" s="91"/>
      <c r="K175" s="91"/>
      <c r="L175" s="91"/>
      <c r="M175" s="91"/>
      <c r="N175" s="91"/>
      <c r="O175" s="91"/>
      <c r="P175" s="91"/>
      <c r="Q175" s="91"/>
      <c r="R175" s="91"/>
      <c r="S175" s="91"/>
      <c r="T175" s="91"/>
      <c r="U175" s="91"/>
      <c r="V175" s="91"/>
      <c r="W175" s="91"/>
      <c r="X175" s="91"/>
      <c r="Y175" s="91"/>
      <c r="Z175" s="91"/>
      <c r="AA175" s="91"/>
      <c r="AB175" s="91"/>
      <c r="AC175" s="87">
        <f t="shared" ref="AC175:AC205" si="122">SUMIF(AD$12:AS$12,"总值",AD175:AS175)</f>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ref="AY175:AY205" si="123">ROUND($AY$6*AZ175/$AZ$5,2)</f>
        <v>0</v>
      </c>
      <c r="AZ175" s="87">
        <f t="shared" ref="AZ175:AZ205" si="124">BA175+BL175</f>
        <v>0</v>
      </c>
      <c r="BA175" s="87">
        <f t="shared" ref="BA175:BA205" si="125">SUM(BB175:BK175)</f>
        <v>0</v>
      </c>
      <c r="BB175" s="87">
        <f t="shared" ref="BB175:BB205" si="126">IF($D175="是",I175-J175,0)</f>
        <v>0</v>
      </c>
      <c r="BC175" s="87">
        <f t="shared" ref="BC175:BC205" si="127">IF($D175="是",K175-L175,0)</f>
        <v>0</v>
      </c>
      <c r="BD175" s="87">
        <f t="shared" ref="BD175:BD205" si="128">IF($D175="是",M175-N175,0)</f>
        <v>0</v>
      </c>
      <c r="BE175" s="87">
        <f t="shared" ref="BE175:BE205" si="129">IF($D175="是",O175-P175,0)</f>
        <v>0</v>
      </c>
      <c r="BF175" s="87">
        <f t="shared" ref="BF175:BF205" si="130">IF($D175="是",Q175-R175,0)</f>
        <v>0</v>
      </c>
      <c r="BG175" s="87">
        <f t="shared" ref="BG175:BG205" si="131">IF($D175="是",S175-T175,0)</f>
        <v>0</v>
      </c>
      <c r="BH175" s="87">
        <f t="shared" ref="BH175:BH205" si="132">IF($D175="是",U175-V175,0)</f>
        <v>0</v>
      </c>
      <c r="BI175" s="87">
        <f t="shared" ref="BI175:BI205" si="133">IF($D175="是",W175-X175,0)</f>
        <v>0</v>
      </c>
      <c r="BJ175" s="87">
        <f t="shared" ref="BJ175:BJ205" si="134">IF($D175="是",Y175-Z175,0)</f>
        <v>0</v>
      </c>
      <c r="BK175" s="87">
        <f t="shared" ref="BK175:BK205" si="135">IF($D175="是",AA175-AB175,0)</f>
        <v>0</v>
      </c>
      <c r="BL175" s="87">
        <f t="shared" ref="BL175:BL205" si="136">SUM(BM175:BT175)</f>
        <v>0</v>
      </c>
      <c r="BM175" s="87">
        <f t="shared" ref="BM175:BM205" si="137">IF($D175="是",AD175-AE175,0)</f>
        <v>0</v>
      </c>
      <c r="BN175" s="87">
        <f t="shared" ref="BN175:BN205" si="138">IF($D175="是",AF175-AG175,0)</f>
        <v>0</v>
      </c>
      <c r="BO175" s="87">
        <f t="shared" ref="BO175:BO205" si="139">IF($D175="是",AH175-AI175,0)</f>
        <v>0</v>
      </c>
      <c r="BP175" s="87">
        <f t="shared" ref="BP175:BP205" si="140">IF($D175="是",AJ175-AK175,0)</f>
        <v>0</v>
      </c>
      <c r="BQ175" s="87">
        <f t="shared" ref="BQ175:BQ205" si="141">IF($D175="是",AL175-AM175,0)</f>
        <v>0</v>
      </c>
      <c r="BR175" s="87">
        <f t="shared" ref="BR175:BR205" si="142">IF($D175="是",AN175-AO175,0)</f>
        <v>0</v>
      </c>
      <c r="BS175" s="87">
        <f t="shared" ref="BS175:BS205" si="143">IF($D175="是",AP175-AQ175,0)</f>
        <v>0</v>
      </c>
      <c r="BT175" s="96">
        <f t="shared" ref="BT175:BT205" si="144">IF($D175="是",AR175-AS175,0)</f>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si="116"/>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si="117"/>
        <v>0</v>
      </c>
      <c r="AW177" s="1977">
        <f t="shared" si="118"/>
        <v>0</v>
      </c>
      <c r="AX177" s="1977">
        <f t="shared" si="119"/>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ref="E178:E205" si="145">IF($C$3="是",ROUND($A$3*G178/$B$3,2),ROUND($A$3*(G178-AT178)/$B$3,2))</f>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ref="AV178:AV205" si="146">A178</f>
        <v>0</v>
      </c>
      <c r="AW178" s="1977">
        <f t="shared" ref="AW178:AW205" si="147">B178</f>
        <v>0</v>
      </c>
      <c r="AX178" s="1977">
        <f t="shared" ref="AX178:AX205" si="148">C178</f>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5"/>
      <c r="C202" s="85"/>
      <c r="D202" s="86"/>
      <c r="E202" s="87">
        <f t="shared" si="145"/>
        <v>0</v>
      </c>
      <c r="F202" s="88"/>
      <c r="G202" s="89">
        <f t="shared" si="120"/>
        <v>0</v>
      </c>
      <c r="H202" s="90">
        <f t="shared" si="121"/>
        <v>0</v>
      </c>
      <c r="I202" s="91"/>
      <c r="J202" s="91"/>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3"/>
      <c r="AU202" s="94"/>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8"/>
      <c r="J203" s="98"/>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84"/>
      <c r="C205" s="84"/>
      <c r="D205" s="86"/>
      <c r="E205" s="87">
        <f t="shared" si="145"/>
        <v>0</v>
      </c>
      <c r="F205" s="97"/>
      <c r="G205" s="89">
        <f t="shared" si="120"/>
        <v>0</v>
      </c>
      <c r="H205" s="90">
        <f t="shared" si="121"/>
        <v>0</v>
      </c>
      <c r="I205" s="91"/>
      <c r="J205" s="91"/>
      <c r="K205" s="91"/>
      <c r="L205" s="91"/>
      <c r="M205" s="91"/>
      <c r="N205" s="91"/>
      <c r="O205" s="91"/>
      <c r="P205" s="91"/>
      <c r="Q205" s="91"/>
      <c r="R205" s="91"/>
      <c r="S205" s="91"/>
      <c r="T205" s="91"/>
      <c r="U205" s="91"/>
      <c r="V205" s="91"/>
      <c r="W205" s="91"/>
      <c r="X205" s="91"/>
      <c r="Y205" s="91"/>
      <c r="Z205" s="91"/>
      <c r="AA205" s="91"/>
      <c r="AB205" s="91"/>
      <c r="AC205" s="87">
        <f t="shared" si="122"/>
        <v>0</v>
      </c>
      <c r="AD205" s="92"/>
      <c r="AE205" s="92"/>
      <c r="AF205" s="92"/>
      <c r="AG205" s="92"/>
      <c r="AH205" s="92"/>
      <c r="AI205" s="92"/>
      <c r="AJ205" s="92"/>
      <c r="AK205" s="92"/>
      <c r="AL205" s="92"/>
      <c r="AM205" s="92"/>
      <c r="AN205" s="92"/>
      <c r="AO205" s="92"/>
      <c r="AP205" s="92"/>
      <c r="AQ205" s="92"/>
      <c r="AR205" s="92"/>
      <c r="AS205" s="92"/>
      <c r="AT205" s="92"/>
      <c r="AU205" s="99"/>
      <c r="AV205" s="1977">
        <f t="shared" si="146"/>
        <v>0</v>
      </c>
      <c r="AW205" s="1977">
        <f t="shared" si="147"/>
        <v>0</v>
      </c>
      <c r="AX205" s="1977">
        <f t="shared" si="148"/>
        <v>0</v>
      </c>
      <c r="AY205" s="95">
        <f t="shared" si="123"/>
        <v>0</v>
      </c>
      <c r="AZ205" s="87">
        <f t="shared" si="124"/>
        <v>0</v>
      </c>
      <c r="BA205" s="87">
        <f t="shared" si="125"/>
        <v>0</v>
      </c>
      <c r="BB205" s="87">
        <f t="shared" si="126"/>
        <v>0</v>
      </c>
      <c r="BC205" s="87">
        <f t="shared" si="127"/>
        <v>0</v>
      </c>
      <c r="BD205" s="87">
        <f t="shared" si="128"/>
        <v>0</v>
      </c>
      <c r="BE205" s="87">
        <f t="shared" si="129"/>
        <v>0</v>
      </c>
      <c r="BF205" s="87">
        <f t="shared" si="130"/>
        <v>0</v>
      </c>
      <c r="BG205" s="87">
        <f t="shared" si="131"/>
        <v>0</v>
      </c>
      <c r="BH205" s="87">
        <f t="shared" si="132"/>
        <v>0</v>
      </c>
      <c r="BI205" s="87">
        <f t="shared" si="133"/>
        <v>0</v>
      </c>
      <c r="BJ205" s="87">
        <f t="shared" si="134"/>
        <v>0</v>
      </c>
      <c r="BK205" s="87">
        <f t="shared" si="135"/>
        <v>0</v>
      </c>
      <c r="BL205" s="87">
        <f t="shared" si="136"/>
        <v>0</v>
      </c>
      <c r="BM205" s="87">
        <f t="shared" si="137"/>
        <v>0</v>
      </c>
      <c r="BN205" s="87">
        <f t="shared" si="138"/>
        <v>0</v>
      </c>
      <c r="BO205" s="87">
        <f t="shared" si="139"/>
        <v>0</v>
      </c>
      <c r="BP205" s="87">
        <f t="shared" si="140"/>
        <v>0</v>
      </c>
      <c r="BQ205" s="87">
        <f t="shared" si="141"/>
        <v>0</v>
      </c>
      <c r="BR205" s="87">
        <f t="shared" si="142"/>
        <v>0</v>
      </c>
      <c r="BS205" s="87">
        <f t="shared" si="143"/>
        <v>0</v>
      </c>
      <c r="BT205" s="96">
        <f t="shared" si="144"/>
        <v>0</v>
      </c>
    </row>
    <row r="206" spans="1:72">
      <c r="A206" s="84"/>
      <c r="B206" s="1392"/>
      <c r="C206" s="1393"/>
      <c r="D206" s="80"/>
      <c r="E206" s="87">
        <f t="shared" ref="E206:E297" si="149">IF($C$3="是",ROUND($A$3*G206/$B$3,2),ROUND($A$3*(G206-AT206)/$B$3,2))</f>
        <v>0</v>
      </c>
      <c r="F206" s="88"/>
      <c r="G206" s="89">
        <f t="shared" ref="G206:G294" si="150">H206+AC206+AT206</f>
        <v>0</v>
      </c>
      <c r="H206" s="90">
        <f t="shared" ref="H206:H294" si="151">SUMIF(I$12:AB$12,"总值",I206:AB206)</f>
        <v>0</v>
      </c>
      <c r="I206" s="1395"/>
      <c r="J206" s="91"/>
      <c r="K206" s="1395"/>
      <c r="L206" s="91"/>
      <c r="M206" s="91"/>
      <c r="N206" s="91"/>
      <c r="O206" s="91"/>
      <c r="P206" s="91"/>
      <c r="Q206" s="91"/>
      <c r="R206" s="91"/>
      <c r="S206" s="91"/>
      <c r="T206" s="91"/>
      <c r="U206" s="91"/>
      <c r="V206" s="91"/>
      <c r="W206" s="91"/>
      <c r="X206" s="91"/>
      <c r="Y206" s="91"/>
      <c r="Z206" s="91"/>
      <c r="AA206" s="91"/>
      <c r="AB206" s="91"/>
      <c r="AC206" s="87">
        <f t="shared" ref="AC206:AC294" si="152">SUMIF(AD$12:AS$12,"总值",AD206:AS206)</f>
        <v>0</v>
      </c>
      <c r="AD206" s="92"/>
      <c r="AE206" s="92"/>
      <c r="AF206" s="1396"/>
      <c r="AG206" s="92"/>
      <c r="AH206" s="92"/>
      <c r="AI206" s="92"/>
      <c r="AJ206" s="92"/>
      <c r="AK206" s="92"/>
      <c r="AL206" s="92"/>
      <c r="AM206" s="92"/>
      <c r="AN206" s="1363"/>
      <c r="AO206" s="92"/>
      <c r="AP206" s="92"/>
      <c r="AQ206" s="92"/>
      <c r="AR206" s="92"/>
      <c r="AS206" s="92"/>
      <c r="AT206" s="93"/>
      <c r="AU206" s="94"/>
      <c r="AV206" s="1977">
        <f t="shared" ref="AV206:AV297" si="153">A206</f>
        <v>0</v>
      </c>
      <c r="AW206" s="1977">
        <f t="shared" ref="AW206:AW297" si="154">B206</f>
        <v>0</v>
      </c>
      <c r="AX206" s="1977">
        <f t="shared" ref="AX206:AX297" si="155">C206</f>
        <v>0</v>
      </c>
      <c r="AY206" s="95">
        <f t="shared" ref="AY206:AY294" si="156">ROUND($AY$6*AZ206/$AZ$5,2)</f>
        <v>0</v>
      </c>
      <c r="AZ206" s="87">
        <f t="shared" ref="AZ206:AZ294" si="157">BA206+BL206</f>
        <v>0</v>
      </c>
      <c r="BA206" s="87">
        <f t="shared" ref="BA206:BA294" si="158">SUM(BB206:BK206)</f>
        <v>0</v>
      </c>
      <c r="BB206" s="87">
        <f t="shared" ref="BB206:BB294" si="159">IF($D206="是",I206-J206,0)</f>
        <v>0</v>
      </c>
      <c r="BC206" s="87">
        <f t="shared" ref="BC206:BC294" si="160">IF($D206="是",K206-L206,0)</f>
        <v>0</v>
      </c>
      <c r="BD206" s="87">
        <f t="shared" ref="BD206:BD294" si="161">IF($D206="是",M206-N206,0)</f>
        <v>0</v>
      </c>
      <c r="BE206" s="87">
        <f t="shared" ref="BE206:BE294" si="162">IF($D206="是",O206-P206,0)</f>
        <v>0</v>
      </c>
      <c r="BF206" s="87">
        <f t="shared" ref="BF206:BF294" si="163">IF($D206="是",Q206-R206,0)</f>
        <v>0</v>
      </c>
      <c r="BG206" s="87">
        <f t="shared" ref="BG206:BG294" si="164">IF($D206="是",S206-T206,0)</f>
        <v>0</v>
      </c>
      <c r="BH206" s="87">
        <f t="shared" ref="BH206:BH294" si="165">IF($D206="是",U206-V206,0)</f>
        <v>0</v>
      </c>
      <c r="BI206" s="87">
        <f t="shared" ref="BI206:BI294" si="166">IF($D206="是",W206-X206,0)</f>
        <v>0</v>
      </c>
      <c r="BJ206" s="87">
        <f t="shared" ref="BJ206:BJ294" si="167">IF($D206="是",Y206-Z206,0)</f>
        <v>0</v>
      </c>
      <c r="BK206" s="87">
        <f t="shared" ref="BK206:BK294" si="168">IF($D206="是",AA206-AB206,0)</f>
        <v>0</v>
      </c>
      <c r="BL206" s="87">
        <f t="shared" ref="BL206:BL294" si="169">SUM(BM206:BT206)</f>
        <v>0</v>
      </c>
      <c r="BM206" s="87">
        <f t="shared" ref="BM206:BM294" si="170">IF($D206="是",AD206-AE206,0)</f>
        <v>0</v>
      </c>
      <c r="BN206" s="87">
        <f t="shared" ref="BN206:BN294" si="171">IF($D206="是",AF206-AG206,0)</f>
        <v>0</v>
      </c>
      <c r="BO206" s="87">
        <f t="shared" ref="BO206:BO294" si="172">IF($D206="是",AH206-AI206,0)</f>
        <v>0</v>
      </c>
      <c r="BP206" s="87">
        <f t="shared" ref="BP206:BP294" si="173">IF($D206="是",AJ206-AK206,0)</f>
        <v>0</v>
      </c>
      <c r="BQ206" s="87">
        <f t="shared" ref="BQ206:BQ294" si="174">IF($D206="是",AL206-AM206,0)</f>
        <v>0</v>
      </c>
      <c r="BR206" s="87">
        <f t="shared" ref="BR206:BR294" si="175">IF($D206="是",AN206-AO206,0)</f>
        <v>0</v>
      </c>
      <c r="BS206" s="87">
        <f t="shared" ref="BS206:BS294" si="176">IF($D206="是",AP206-AQ206,0)</f>
        <v>0</v>
      </c>
      <c r="BT206" s="96">
        <f t="shared" ref="BT206:BT294" si="177">IF($D206="是",AR206-AS206,0)</f>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1363"/>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1363"/>
      <c r="N208" s="91"/>
      <c r="O208" s="91"/>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1363"/>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1363"/>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1363"/>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3"/>
      <c r="J239" s="91"/>
      <c r="K239" s="1393"/>
      <c r="L239" s="91"/>
      <c r="M239" s="91"/>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1394"/>
      <c r="C240" s="1395"/>
      <c r="D240" s="80"/>
      <c r="E240" s="87">
        <f t="shared" si="149"/>
        <v>0</v>
      </c>
      <c r="F240" s="88"/>
      <c r="G240" s="89">
        <f t="shared" si="150"/>
        <v>0</v>
      </c>
      <c r="H240" s="90">
        <f t="shared" si="151"/>
        <v>0</v>
      </c>
      <c r="I240" s="1393"/>
      <c r="J240" s="91"/>
      <c r="K240" s="1393"/>
      <c r="L240" s="91"/>
      <c r="M240" s="1393"/>
      <c r="N240" s="91"/>
      <c r="O240" s="91"/>
      <c r="P240" s="91"/>
      <c r="Q240" s="91"/>
      <c r="R240" s="91"/>
      <c r="S240" s="91"/>
      <c r="T240" s="91"/>
      <c r="U240" s="91"/>
      <c r="V240" s="91"/>
      <c r="W240" s="91"/>
      <c r="X240" s="91"/>
      <c r="Y240" s="91"/>
      <c r="Z240" s="91"/>
      <c r="AA240" s="91"/>
      <c r="AB240" s="91"/>
      <c r="AC240" s="87">
        <f t="shared" si="152"/>
        <v>0</v>
      </c>
      <c r="AD240" s="92"/>
      <c r="AE240" s="92"/>
      <c r="AF240" s="1393"/>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5"/>
      <c r="C294" s="85"/>
      <c r="D294" s="86"/>
      <c r="E294" s="87">
        <f t="shared" si="149"/>
        <v>0</v>
      </c>
      <c r="F294" s="88"/>
      <c r="G294" s="89">
        <f t="shared" si="150"/>
        <v>0</v>
      </c>
      <c r="H294" s="90">
        <f t="shared" si="151"/>
        <v>0</v>
      </c>
      <c r="I294" s="91"/>
      <c r="J294" s="91"/>
      <c r="K294" s="91"/>
      <c r="L294" s="91"/>
      <c r="M294" s="91"/>
      <c r="N294" s="91"/>
      <c r="O294" s="91"/>
      <c r="P294" s="91"/>
      <c r="Q294" s="91"/>
      <c r="R294" s="91"/>
      <c r="S294" s="91"/>
      <c r="T294" s="91"/>
      <c r="U294" s="91"/>
      <c r="V294" s="91"/>
      <c r="W294" s="91"/>
      <c r="X294" s="91"/>
      <c r="Y294" s="91"/>
      <c r="Z294" s="91"/>
      <c r="AA294" s="91"/>
      <c r="AB294" s="91"/>
      <c r="AC294" s="87">
        <f t="shared" si="152"/>
        <v>0</v>
      </c>
      <c r="AD294" s="92"/>
      <c r="AE294" s="92"/>
      <c r="AF294" s="92"/>
      <c r="AG294" s="92"/>
      <c r="AH294" s="92"/>
      <c r="AI294" s="92"/>
      <c r="AJ294" s="92"/>
      <c r="AK294" s="92"/>
      <c r="AL294" s="92"/>
      <c r="AM294" s="92"/>
      <c r="AN294" s="92"/>
      <c r="AO294" s="92"/>
      <c r="AP294" s="92"/>
      <c r="AQ294" s="92"/>
      <c r="AR294" s="92"/>
      <c r="AS294" s="92"/>
      <c r="AT294" s="93"/>
      <c r="AU294" s="94"/>
      <c r="AV294" s="1977">
        <f t="shared" si="153"/>
        <v>0</v>
      </c>
      <c r="AW294" s="1977">
        <f t="shared" si="154"/>
        <v>0</v>
      </c>
      <c r="AX294" s="1977">
        <f t="shared" si="155"/>
        <v>0</v>
      </c>
      <c r="AY294" s="95">
        <f t="shared" si="156"/>
        <v>0</v>
      </c>
      <c r="AZ294" s="87">
        <f t="shared" si="157"/>
        <v>0</v>
      </c>
      <c r="BA294" s="87">
        <f t="shared" si="158"/>
        <v>0</v>
      </c>
      <c r="BB294" s="87">
        <f t="shared" si="159"/>
        <v>0</v>
      </c>
      <c r="BC294" s="87">
        <f t="shared" si="160"/>
        <v>0</v>
      </c>
      <c r="BD294" s="87">
        <f t="shared" si="161"/>
        <v>0</v>
      </c>
      <c r="BE294" s="87">
        <f t="shared" si="162"/>
        <v>0</v>
      </c>
      <c r="BF294" s="87">
        <f t="shared" si="163"/>
        <v>0</v>
      </c>
      <c r="BG294" s="87">
        <f t="shared" si="164"/>
        <v>0</v>
      </c>
      <c r="BH294" s="87">
        <f t="shared" si="165"/>
        <v>0</v>
      </c>
      <c r="BI294" s="87">
        <f t="shared" si="166"/>
        <v>0</v>
      </c>
      <c r="BJ294" s="87">
        <f t="shared" si="167"/>
        <v>0</v>
      </c>
      <c r="BK294" s="87">
        <f t="shared" si="168"/>
        <v>0</v>
      </c>
      <c r="BL294" s="87">
        <f t="shared" si="169"/>
        <v>0</v>
      </c>
      <c r="BM294" s="87">
        <f t="shared" si="170"/>
        <v>0</v>
      </c>
      <c r="BN294" s="87">
        <f t="shared" si="171"/>
        <v>0</v>
      </c>
      <c r="BO294" s="87">
        <f t="shared" si="172"/>
        <v>0</v>
      </c>
      <c r="BP294" s="87">
        <f t="shared" si="173"/>
        <v>0</v>
      </c>
      <c r="BQ294" s="87">
        <f t="shared" si="174"/>
        <v>0</v>
      </c>
      <c r="BR294" s="87">
        <f t="shared" si="175"/>
        <v>0</v>
      </c>
      <c r="BS294" s="87">
        <f t="shared" si="176"/>
        <v>0</v>
      </c>
      <c r="BT294" s="96">
        <f t="shared" si="177"/>
        <v>0</v>
      </c>
    </row>
    <row r="295" spans="1:72">
      <c r="A295" s="84"/>
      <c r="B295" s="84"/>
      <c r="C295" s="84"/>
      <c r="D295" s="86"/>
      <c r="E295" s="87">
        <f t="shared" si="149"/>
        <v>0</v>
      </c>
      <c r="F295" s="97"/>
      <c r="G295" s="89">
        <f t="shared" ref="G295:G326" si="178">H295+AC295+AT295</f>
        <v>0</v>
      </c>
      <c r="H295" s="90">
        <f t="shared" ref="H295:H326" si="179">SUMIF(I$12:AB$12,"总值",I295:AB295)</f>
        <v>0</v>
      </c>
      <c r="I295" s="98"/>
      <c r="J295" s="98"/>
      <c r="K295" s="91"/>
      <c r="L295" s="91"/>
      <c r="M295" s="91"/>
      <c r="N295" s="91"/>
      <c r="O295" s="91"/>
      <c r="P295" s="91"/>
      <c r="Q295" s="91"/>
      <c r="R295" s="91"/>
      <c r="S295" s="91"/>
      <c r="T295" s="91"/>
      <c r="U295" s="91"/>
      <c r="V295" s="91"/>
      <c r="W295" s="91"/>
      <c r="X295" s="91"/>
      <c r="Y295" s="91"/>
      <c r="Z295" s="91"/>
      <c r="AA295" s="91"/>
      <c r="AB295" s="91"/>
      <c r="AC295" s="87">
        <f t="shared" ref="AC295:AC326" si="180">SUMIF(AD$12:AS$12,"总值",AD295:AS295)</f>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ref="AY295:AY326" si="181">ROUND($AY$6*AZ295/$AZ$5,2)</f>
        <v>0</v>
      </c>
      <c r="AZ295" s="87">
        <f t="shared" ref="AZ295:AZ326" si="182">BA295+BL295</f>
        <v>0</v>
      </c>
      <c r="BA295" s="87">
        <f t="shared" ref="BA295:BA326" si="183">SUM(BB295:BK295)</f>
        <v>0</v>
      </c>
      <c r="BB295" s="87">
        <f t="shared" ref="BB295:BB326" si="184">IF($D295="是",I295-J295,0)</f>
        <v>0</v>
      </c>
      <c r="BC295" s="87">
        <f t="shared" ref="BC295:BC326" si="185">IF($D295="是",K295-L295,0)</f>
        <v>0</v>
      </c>
      <c r="BD295" s="87">
        <f t="shared" ref="BD295:BD326" si="186">IF($D295="是",M295-N295,0)</f>
        <v>0</v>
      </c>
      <c r="BE295" s="87">
        <f t="shared" ref="BE295:BE326" si="187">IF($D295="是",O295-P295,0)</f>
        <v>0</v>
      </c>
      <c r="BF295" s="87">
        <f t="shared" ref="BF295:BF326" si="188">IF($D295="是",Q295-R295,0)</f>
        <v>0</v>
      </c>
      <c r="BG295" s="87">
        <f t="shared" ref="BG295:BG326" si="189">IF($D295="是",S295-T295,0)</f>
        <v>0</v>
      </c>
      <c r="BH295" s="87">
        <f t="shared" ref="BH295:BH326" si="190">IF($D295="是",U295-V295,0)</f>
        <v>0</v>
      </c>
      <c r="BI295" s="87">
        <f t="shared" ref="BI295:BI326" si="191">IF($D295="是",W295-X295,0)</f>
        <v>0</v>
      </c>
      <c r="BJ295" s="87">
        <f t="shared" ref="BJ295:BJ326" si="192">IF($D295="是",Y295-Z295,0)</f>
        <v>0</v>
      </c>
      <c r="BK295" s="87">
        <f t="shared" ref="BK295:BK326" si="193">IF($D295="是",AA295-AB295,0)</f>
        <v>0</v>
      </c>
      <c r="BL295" s="87">
        <f t="shared" ref="BL295:BL326" si="194">SUM(BM295:BT295)</f>
        <v>0</v>
      </c>
      <c r="BM295" s="87">
        <f t="shared" ref="BM295:BM326" si="195">IF($D295="是",AD295-AE295,0)</f>
        <v>0</v>
      </c>
      <c r="BN295" s="87">
        <f t="shared" ref="BN295:BN326" si="196">IF($D295="是",AF295-AG295,0)</f>
        <v>0</v>
      </c>
      <c r="BO295" s="87">
        <f t="shared" ref="BO295:BO326" si="197">IF($D295="是",AH295-AI295,0)</f>
        <v>0</v>
      </c>
      <c r="BP295" s="87">
        <f t="shared" ref="BP295:BP326" si="198">IF($D295="是",AJ295-AK295,0)</f>
        <v>0</v>
      </c>
      <c r="BQ295" s="87">
        <f t="shared" ref="BQ295:BQ326" si="199">IF($D295="是",AL295-AM295,0)</f>
        <v>0</v>
      </c>
      <c r="BR295" s="87">
        <f t="shared" ref="BR295:BR326" si="200">IF($D295="是",AN295-AO295,0)</f>
        <v>0</v>
      </c>
      <c r="BS295" s="87">
        <f t="shared" ref="BS295:BS326" si="201">IF($D295="是",AP295-AQ295,0)</f>
        <v>0</v>
      </c>
      <c r="BT295" s="96">
        <f t="shared" ref="BT295:BT326" si="202">IF($D295="是",AR295-AS295,0)</f>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84"/>
      <c r="C297" s="84"/>
      <c r="D297" s="86"/>
      <c r="E297" s="87">
        <f t="shared" si="149"/>
        <v>0</v>
      </c>
      <c r="F297" s="97"/>
      <c r="G297" s="89">
        <f t="shared" si="178"/>
        <v>0</v>
      </c>
      <c r="H297" s="90">
        <f t="shared" si="179"/>
        <v>0</v>
      </c>
      <c r="I297" s="91"/>
      <c r="J297" s="91"/>
      <c r="K297" s="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92"/>
      <c r="AG297" s="92"/>
      <c r="AH297" s="92"/>
      <c r="AI297" s="92"/>
      <c r="AJ297" s="92"/>
      <c r="AK297" s="92"/>
      <c r="AL297" s="92"/>
      <c r="AM297" s="92"/>
      <c r="AN297" s="92"/>
      <c r="AO297" s="92"/>
      <c r="AP297" s="92"/>
      <c r="AQ297" s="92"/>
      <c r="AR297" s="92"/>
      <c r="AS297" s="92"/>
      <c r="AT297" s="92"/>
      <c r="AU297" s="99"/>
      <c r="AV297" s="1977">
        <f t="shared" si="153"/>
        <v>0</v>
      </c>
      <c r="AW297" s="1977">
        <f t="shared" si="154"/>
        <v>0</v>
      </c>
      <c r="AX297" s="1977">
        <f t="shared" si="155"/>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ref="E298:E329" si="203">IF($C$3="是",ROUND($A$3*G298/$B$3,2),ROUND($A$3*(G298-AT298)/$B$3,2))</f>
        <v>0</v>
      </c>
      <c r="F298" s="88"/>
      <c r="G298" s="89">
        <f t="shared" si="178"/>
        <v>0</v>
      </c>
      <c r="H298" s="90">
        <f t="shared" si="179"/>
        <v>0</v>
      </c>
      <c r="I298" s="1395"/>
      <c r="J298" s="91"/>
      <c r="K298" s="1395"/>
      <c r="L298" s="91"/>
      <c r="M298" s="91"/>
      <c r="N298" s="91"/>
      <c r="O298" s="91"/>
      <c r="P298" s="91"/>
      <c r="Q298" s="91"/>
      <c r="R298" s="91"/>
      <c r="S298" s="91"/>
      <c r="T298" s="91"/>
      <c r="U298" s="91"/>
      <c r="V298" s="91"/>
      <c r="W298" s="91"/>
      <c r="X298" s="91"/>
      <c r="Y298" s="91"/>
      <c r="Z298" s="91"/>
      <c r="AA298" s="91"/>
      <c r="AB298" s="91"/>
      <c r="AC298" s="87">
        <f t="shared" si="180"/>
        <v>0</v>
      </c>
      <c r="AD298" s="92"/>
      <c r="AE298" s="92"/>
      <c r="AF298" s="1396"/>
      <c r="AG298" s="92"/>
      <c r="AH298" s="92"/>
      <c r="AI298" s="92"/>
      <c r="AJ298" s="92"/>
      <c r="AK298" s="92"/>
      <c r="AL298" s="92"/>
      <c r="AM298" s="92"/>
      <c r="AN298" s="1363"/>
      <c r="AO298" s="92"/>
      <c r="AP298" s="92"/>
      <c r="AQ298" s="92"/>
      <c r="AR298" s="92"/>
      <c r="AS298" s="92"/>
      <c r="AT298" s="93"/>
      <c r="AU298" s="94"/>
      <c r="AV298" s="1977">
        <f t="shared" ref="AV298:AV329" si="204">A298</f>
        <v>0</v>
      </c>
      <c r="AW298" s="1977">
        <f t="shared" ref="AW298:AW329" si="205">B298</f>
        <v>0</v>
      </c>
      <c r="AX298" s="1977">
        <f t="shared" ref="AX298:AX329" si="206">C298</f>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1363"/>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1363"/>
      <c r="N300" s="91"/>
      <c r="O300" s="91"/>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1363"/>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1363"/>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1363"/>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si="178"/>
        <v>0</v>
      </c>
      <c r="H326" s="90">
        <f t="shared" si="179"/>
        <v>0</v>
      </c>
      <c r="I326" s="1393"/>
      <c r="J326" s="91"/>
      <c r="K326" s="1393"/>
      <c r="L326" s="91"/>
      <c r="M326" s="91"/>
      <c r="N326" s="91"/>
      <c r="O326" s="91"/>
      <c r="P326" s="91"/>
      <c r="Q326" s="91"/>
      <c r="R326" s="91"/>
      <c r="S326" s="91"/>
      <c r="T326" s="91"/>
      <c r="U326" s="91"/>
      <c r="V326" s="91"/>
      <c r="W326" s="91"/>
      <c r="X326" s="91"/>
      <c r="Y326" s="91"/>
      <c r="Z326" s="91"/>
      <c r="AA326" s="91"/>
      <c r="AB326" s="91"/>
      <c r="AC326" s="87">
        <f t="shared" si="180"/>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si="181"/>
        <v>0</v>
      </c>
      <c r="AZ326" s="87">
        <f t="shared" si="182"/>
        <v>0</v>
      </c>
      <c r="BA326" s="87">
        <f t="shared" si="183"/>
        <v>0</v>
      </c>
      <c r="BB326" s="87">
        <f t="shared" si="184"/>
        <v>0</v>
      </c>
      <c r="BC326" s="87">
        <f t="shared" si="185"/>
        <v>0</v>
      </c>
      <c r="BD326" s="87">
        <f t="shared" si="186"/>
        <v>0</v>
      </c>
      <c r="BE326" s="87">
        <f t="shared" si="187"/>
        <v>0</v>
      </c>
      <c r="BF326" s="87">
        <f t="shared" si="188"/>
        <v>0</v>
      </c>
      <c r="BG326" s="87">
        <f t="shared" si="189"/>
        <v>0</v>
      </c>
      <c r="BH326" s="87">
        <f t="shared" si="190"/>
        <v>0</v>
      </c>
      <c r="BI326" s="87">
        <f t="shared" si="191"/>
        <v>0</v>
      </c>
      <c r="BJ326" s="87">
        <f t="shared" si="192"/>
        <v>0</v>
      </c>
      <c r="BK326" s="87">
        <f t="shared" si="193"/>
        <v>0</v>
      </c>
      <c r="BL326" s="87">
        <f t="shared" si="194"/>
        <v>0</v>
      </c>
      <c r="BM326" s="87">
        <f t="shared" si="195"/>
        <v>0</v>
      </c>
      <c r="BN326" s="87">
        <f t="shared" si="196"/>
        <v>0</v>
      </c>
      <c r="BO326" s="87">
        <f t="shared" si="197"/>
        <v>0</v>
      </c>
      <c r="BP326" s="87">
        <f t="shared" si="198"/>
        <v>0</v>
      </c>
      <c r="BQ326" s="87">
        <f t="shared" si="199"/>
        <v>0</v>
      </c>
      <c r="BR326" s="87">
        <f t="shared" si="200"/>
        <v>0</v>
      </c>
      <c r="BS326" s="87">
        <f t="shared" si="201"/>
        <v>0</v>
      </c>
      <c r="BT326" s="96">
        <f t="shared" si="202"/>
        <v>0</v>
      </c>
    </row>
    <row r="327" spans="1:72">
      <c r="A327" s="84"/>
      <c r="B327" s="1392"/>
      <c r="C327" s="1393"/>
      <c r="D327" s="80"/>
      <c r="E327" s="87">
        <f t="shared" si="203"/>
        <v>0</v>
      </c>
      <c r="F327" s="88"/>
      <c r="G327" s="89">
        <f t="shared" ref="G327:G358" si="207">H327+AC327+AT327</f>
        <v>0</v>
      </c>
      <c r="H327" s="90">
        <f t="shared" ref="H327:H358" si="208">SUMIF(I$12:AB$12,"总值",I327:AB327)</f>
        <v>0</v>
      </c>
      <c r="I327" s="1393"/>
      <c r="J327" s="91"/>
      <c r="K327" s="1393"/>
      <c r="L327" s="91"/>
      <c r="M327" s="91"/>
      <c r="N327" s="91"/>
      <c r="O327" s="91"/>
      <c r="P327" s="91"/>
      <c r="Q327" s="91"/>
      <c r="R327" s="91"/>
      <c r="S327" s="91"/>
      <c r="T327" s="91"/>
      <c r="U327" s="91"/>
      <c r="V327" s="91"/>
      <c r="W327" s="91"/>
      <c r="X327" s="91"/>
      <c r="Y327" s="91"/>
      <c r="Z327" s="91"/>
      <c r="AA327" s="91"/>
      <c r="AB327" s="91"/>
      <c r="AC327" s="87">
        <f t="shared" ref="AC327:AC358" si="209">SUMIF(AD$12:AS$12,"总值",AD327:AS327)</f>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ref="AY327:AY358" si="210">ROUND($AY$6*AZ327/$AZ$5,2)</f>
        <v>0</v>
      </c>
      <c r="AZ327" s="87">
        <f t="shared" ref="AZ327:AZ358" si="211">BA327+BL327</f>
        <v>0</v>
      </c>
      <c r="BA327" s="87">
        <f t="shared" ref="BA327:BA358" si="212">SUM(BB327:BK327)</f>
        <v>0</v>
      </c>
      <c r="BB327" s="87">
        <f t="shared" ref="BB327:BB358" si="213">IF($D327="是",I327-J327,0)</f>
        <v>0</v>
      </c>
      <c r="BC327" s="87">
        <f t="shared" ref="BC327:BC358" si="214">IF($D327="是",K327-L327,0)</f>
        <v>0</v>
      </c>
      <c r="BD327" s="87">
        <f t="shared" ref="BD327:BD358" si="215">IF($D327="是",M327-N327,0)</f>
        <v>0</v>
      </c>
      <c r="BE327" s="87">
        <f t="shared" ref="BE327:BE358" si="216">IF($D327="是",O327-P327,0)</f>
        <v>0</v>
      </c>
      <c r="BF327" s="87">
        <f t="shared" ref="BF327:BF358" si="217">IF($D327="是",Q327-R327,0)</f>
        <v>0</v>
      </c>
      <c r="BG327" s="87">
        <f t="shared" ref="BG327:BG358" si="218">IF($D327="是",S327-T327,0)</f>
        <v>0</v>
      </c>
      <c r="BH327" s="87">
        <f t="shared" ref="BH327:BH358" si="219">IF($D327="是",U327-V327,0)</f>
        <v>0</v>
      </c>
      <c r="BI327" s="87">
        <f t="shared" ref="BI327:BI358" si="220">IF($D327="是",W327-X327,0)</f>
        <v>0</v>
      </c>
      <c r="BJ327" s="87">
        <f t="shared" ref="BJ327:BJ358" si="221">IF($D327="是",Y327-Z327,0)</f>
        <v>0</v>
      </c>
      <c r="BK327" s="87">
        <f t="shared" ref="BK327:BK358" si="222">IF($D327="是",AA327-AB327,0)</f>
        <v>0</v>
      </c>
      <c r="BL327" s="87">
        <f t="shared" ref="BL327:BL358" si="223">SUM(BM327:BT327)</f>
        <v>0</v>
      </c>
      <c r="BM327" s="87">
        <f t="shared" ref="BM327:BM358" si="224">IF($D327="是",AD327-AE327,0)</f>
        <v>0</v>
      </c>
      <c r="BN327" s="87">
        <f t="shared" ref="BN327:BN358" si="225">IF($D327="是",AF327-AG327,0)</f>
        <v>0</v>
      </c>
      <c r="BO327" s="87">
        <f t="shared" ref="BO327:BO358" si="226">IF($D327="是",AH327-AI327,0)</f>
        <v>0</v>
      </c>
      <c r="BP327" s="87">
        <f t="shared" ref="BP327:BP358" si="227">IF($D327="是",AJ327-AK327,0)</f>
        <v>0</v>
      </c>
      <c r="BQ327" s="87">
        <f t="shared" ref="BQ327:BQ358" si="228">IF($D327="是",AL327-AM327,0)</f>
        <v>0</v>
      </c>
      <c r="BR327" s="87">
        <f t="shared" ref="BR327:BR358" si="229">IF($D327="是",AN327-AO327,0)</f>
        <v>0</v>
      </c>
      <c r="BS327" s="87">
        <f t="shared" ref="BS327:BS358" si="230">IF($D327="是",AP327-AQ327,0)</f>
        <v>0</v>
      </c>
      <c r="BT327" s="96">
        <f t="shared" ref="BT327:BT358" si="231">IF($D327="是",AR327-AS327,0)</f>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si="203"/>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si="204"/>
        <v>0</v>
      </c>
      <c r="AW329" s="1977">
        <f t="shared" si="205"/>
        <v>0</v>
      </c>
      <c r="AX329" s="1977">
        <f t="shared" si="206"/>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ref="E330:E361" si="232">IF($C$3="是",ROUND($A$3*G330/$B$3,2),ROUND($A$3*(G330-AT330)/$B$3,2))</f>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ref="AV330:AV361" si="233">A330</f>
        <v>0</v>
      </c>
      <c r="AW330" s="1977">
        <f t="shared" ref="AW330:AW361" si="234">B330</f>
        <v>0</v>
      </c>
      <c r="AX330" s="1977">
        <f t="shared" ref="AX330:AX361" si="235">C330</f>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3"/>
      <c r="J331" s="91"/>
      <c r="K331" s="1393"/>
      <c r="L331" s="91"/>
      <c r="M331" s="91"/>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1394"/>
      <c r="C332" s="1395"/>
      <c r="D332" s="80"/>
      <c r="E332" s="87">
        <f t="shared" si="232"/>
        <v>0</v>
      </c>
      <c r="F332" s="88"/>
      <c r="G332" s="89">
        <f t="shared" si="207"/>
        <v>0</v>
      </c>
      <c r="H332" s="90">
        <f t="shared" si="208"/>
        <v>0</v>
      </c>
      <c r="I332" s="1393"/>
      <c r="J332" s="91"/>
      <c r="K332" s="1393"/>
      <c r="L332" s="91"/>
      <c r="M332" s="1393"/>
      <c r="N332" s="91"/>
      <c r="O332" s="91"/>
      <c r="P332" s="91"/>
      <c r="Q332" s="91"/>
      <c r="R332" s="91"/>
      <c r="S332" s="91"/>
      <c r="T332" s="91"/>
      <c r="U332" s="91"/>
      <c r="V332" s="91"/>
      <c r="W332" s="91"/>
      <c r="X332" s="91"/>
      <c r="Y332" s="91"/>
      <c r="Z332" s="91"/>
      <c r="AA332" s="91"/>
      <c r="AB332" s="91"/>
      <c r="AC332" s="87">
        <f t="shared" si="209"/>
        <v>0</v>
      </c>
      <c r="AD332" s="92"/>
      <c r="AE332" s="92"/>
      <c r="AF332" s="1393"/>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si="207"/>
        <v>0</v>
      </c>
      <c r="H358" s="90">
        <f t="shared" si="208"/>
        <v>0</v>
      </c>
      <c r="I358" s="91"/>
      <c r="J358" s="91"/>
      <c r="K358" s="91"/>
      <c r="L358" s="91"/>
      <c r="M358" s="91"/>
      <c r="N358" s="91"/>
      <c r="O358" s="91"/>
      <c r="P358" s="91"/>
      <c r="Q358" s="91"/>
      <c r="R358" s="91"/>
      <c r="S358" s="91"/>
      <c r="T358" s="91"/>
      <c r="U358" s="91"/>
      <c r="V358" s="91"/>
      <c r="W358" s="91"/>
      <c r="X358" s="91"/>
      <c r="Y358" s="91"/>
      <c r="Z358" s="91"/>
      <c r="AA358" s="91"/>
      <c r="AB358" s="91"/>
      <c r="AC358" s="87">
        <f t="shared" si="209"/>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si="210"/>
        <v>0</v>
      </c>
      <c r="AZ358" s="87">
        <f t="shared" si="211"/>
        <v>0</v>
      </c>
      <c r="BA358" s="87">
        <f t="shared" si="212"/>
        <v>0</v>
      </c>
      <c r="BB358" s="87">
        <f t="shared" si="213"/>
        <v>0</v>
      </c>
      <c r="BC358" s="87">
        <f t="shared" si="214"/>
        <v>0</v>
      </c>
      <c r="BD358" s="87">
        <f t="shared" si="215"/>
        <v>0</v>
      </c>
      <c r="BE358" s="87">
        <f t="shared" si="216"/>
        <v>0</v>
      </c>
      <c r="BF358" s="87">
        <f t="shared" si="217"/>
        <v>0</v>
      </c>
      <c r="BG358" s="87">
        <f t="shared" si="218"/>
        <v>0</v>
      </c>
      <c r="BH358" s="87">
        <f t="shared" si="219"/>
        <v>0</v>
      </c>
      <c r="BI358" s="87">
        <f t="shared" si="220"/>
        <v>0</v>
      </c>
      <c r="BJ358" s="87">
        <f t="shared" si="221"/>
        <v>0</v>
      </c>
      <c r="BK358" s="87">
        <f t="shared" si="222"/>
        <v>0</v>
      </c>
      <c r="BL358" s="87">
        <f t="shared" si="223"/>
        <v>0</v>
      </c>
      <c r="BM358" s="87">
        <f t="shared" si="224"/>
        <v>0</v>
      </c>
      <c r="BN358" s="87">
        <f t="shared" si="225"/>
        <v>0</v>
      </c>
      <c r="BO358" s="87">
        <f t="shared" si="226"/>
        <v>0</v>
      </c>
      <c r="BP358" s="87">
        <f t="shared" si="227"/>
        <v>0</v>
      </c>
      <c r="BQ358" s="87">
        <f t="shared" si="228"/>
        <v>0</v>
      </c>
      <c r="BR358" s="87">
        <f t="shared" si="229"/>
        <v>0</v>
      </c>
      <c r="BS358" s="87">
        <f t="shared" si="230"/>
        <v>0</v>
      </c>
      <c r="BT358" s="96">
        <f t="shared" si="231"/>
        <v>0</v>
      </c>
    </row>
    <row r="359" spans="1:72">
      <c r="A359" s="84"/>
      <c r="B359" s="85"/>
      <c r="C359" s="85"/>
      <c r="D359" s="86"/>
      <c r="E359" s="87">
        <f t="shared" si="232"/>
        <v>0</v>
      </c>
      <c r="F359" s="88"/>
      <c r="G359" s="89">
        <f t="shared" ref="G359:G389" si="236">H359+AC359+AT359</f>
        <v>0</v>
      </c>
      <c r="H359" s="90">
        <f t="shared" ref="H359:H389" si="237">SUMIF(I$12:AB$12,"总值",I359:AB359)</f>
        <v>0</v>
      </c>
      <c r="I359" s="91"/>
      <c r="J359" s="91"/>
      <c r="K359" s="91"/>
      <c r="L359" s="91"/>
      <c r="M359" s="91"/>
      <c r="N359" s="91"/>
      <c r="O359" s="91"/>
      <c r="P359" s="91"/>
      <c r="Q359" s="91"/>
      <c r="R359" s="91"/>
      <c r="S359" s="91"/>
      <c r="T359" s="91"/>
      <c r="U359" s="91"/>
      <c r="V359" s="91"/>
      <c r="W359" s="91"/>
      <c r="X359" s="91"/>
      <c r="Y359" s="91"/>
      <c r="Z359" s="91"/>
      <c r="AA359" s="91"/>
      <c r="AB359" s="91"/>
      <c r="AC359" s="87">
        <f t="shared" ref="AC359:AC389" si="238">SUMIF(AD$12:AS$12,"总值",AD359:AS359)</f>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ref="AY359:AY389" si="239">ROUND($AY$6*AZ359/$AZ$5,2)</f>
        <v>0</v>
      </c>
      <c r="AZ359" s="87">
        <f t="shared" ref="AZ359:AZ389" si="240">BA359+BL359</f>
        <v>0</v>
      </c>
      <c r="BA359" s="87">
        <f t="shared" ref="BA359:BA389" si="241">SUM(BB359:BK359)</f>
        <v>0</v>
      </c>
      <c r="BB359" s="87">
        <f t="shared" ref="BB359:BB389" si="242">IF($D359="是",I359-J359,0)</f>
        <v>0</v>
      </c>
      <c r="BC359" s="87">
        <f t="shared" ref="BC359:BC389" si="243">IF($D359="是",K359-L359,0)</f>
        <v>0</v>
      </c>
      <c r="BD359" s="87">
        <f t="shared" ref="BD359:BD389" si="244">IF($D359="是",M359-N359,0)</f>
        <v>0</v>
      </c>
      <c r="BE359" s="87">
        <f t="shared" ref="BE359:BE389" si="245">IF($D359="是",O359-P359,0)</f>
        <v>0</v>
      </c>
      <c r="BF359" s="87">
        <f t="shared" ref="BF359:BF389" si="246">IF($D359="是",Q359-R359,0)</f>
        <v>0</v>
      </c>
      <c r="BG359" s="87">
        <f t="shared" ref="BG359:BG389" si="247">IF($D359="是",S359-T359,0)</f>
        <v>0</v>
      </c>
      <c r="BH359" s="87">
        <f t="shared" ref="BH359:BH389" si="248">IF($D359="是",U359-V359,0)</f>
        <v>0</v>
      </c>
      <c r="BI359" s="87">
        <f t="shared" ref="BI359:BI389" si="249">IF($D359="是",W359-X359,0)</f>
        <v>0</v>
      </c>
      <c r="BJ359" s="87">
        <f t="shared" ref="BJ359:BJ389" si="250">IF($D359="是",Y359-Z359,0)</f>
        <v>0</v>
      </c>
      <c r="BK359" s="87">
        <f t="shared" ref="BK359:BK389" si="251">IF($D359="是",AA359-AB359,0)</f>
        <v>0</v>
      </c>
      <c r="BL359" s="87">
        <f t="shared" ref="BL359:BL389" si="252">SUM(BM359:BT359)</f>
        <v>0</v>
      </c>
      <c r="BM359" s="87">
        <f t="shared" ref="BM359:BM389" si="253">IF($D359="是",AD359-AE359,0)</f>
        <v>0</v>
      </c>
      <c r="BN359" s="87">
        <f t="shared" ref="BN359:BN389" si="254">IF($D359="是",AF359-AG359,0)</f>
        <v>0</v>
      </c>
      <c r="BO359" s="87">
        <f t="shared" ref="BO359:BO389" si="255">IF($D359="是",AH359-AI359,0)</f>
        <v>0</v>
      </c>
      <c r="BP359" s="87">
        <f t="shared" ref="BP359:BP389" si="256">IF($D359="是",AJ359-AK359,0)</f>
        <v>0</v>
      </c>
      <c r="BQ359" s="87">
        <f t="shared" ref="BQ359:BQ389" si="257">IF($D359="是",AL359-AM359,0)</f>
        <v>0</v>
      </c>
      <c r="BR359" s="87">
        <f t="shared" ref="BR359:BR389" si="258">IF($D359="是",AN359-AO359,0)</f>
        <v>0</v>
      </c>
      <c r="BS359" s="87">
        <f t="shared" ref="BS359:BS389" si="259">IF($D359="是",AP359-AQ359,0)</f>
        <v>0</v>
      </c>
      <c r="BT359" s="96">
        <f t="shared" ref="BT359:BT389" si="260">IF($D359="是",AR359-AS359,0)</f>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si="232"/>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si="233"/>
        <v>0</v>
      </c>
      <c r="AW361" s="1977">
        <f t="shared" si="234"/>
        <v>0</v>
      </c>
      <c r="AX361" s="1977">
        <f t="shared" si="235"/>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ref="E362:E389" si="261">IF($C$3="是",ROUND($A$3*G362/$B$3,2),ROUND($A$3*(G362-AT362)/$B$3,2))</f>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ref="AV362:AV389" si="262">A362</f>
        <v>0</v>
      </c>
      <c r="AW362" s="1977">
        <f t="shared" ref="AW362:AW389" si="263">B362</f>
        <v>0</v>
      </c>
      <c r="AX362" s="1977">
        <f t="shared" ref="AX362:AX389" si="264">C362</f>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5"/>
      <c r="C386" s="85"/>
      <c r="D386" s="86"/>
      <c r="E386" s="87">
        <f t="shared" si="261"/>
        <v>0</v>
      </c>
      <c r="F386" s="88"/>
      <c r="G386" s="89">
        <f t="shared" si="236"/>
        <v>0</v>
      </c>
      <c r="H386" s="90">
        <f t="shared" si="237"/>
        <v>0</v>
      </c>
      <c r="I386" s="91"/>
      <c r="J386" s="91"/>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3"/>
      <c r="AU386" s="94"/>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8"/>
      <c r="J387" s="98"/>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84"/>
      <c r="C389" s="84"/>
      <c r="D389" s="86"/>
      <c r="E389" s="87">
        <f t="shared" si="261"/>
        <v>0</v>
      </c>
      <c r="F389" s="97"/>
      <c r="G389" s="89">
        <f t="shared" si="236"/>
        <v>0</v>
      </c>
      <c r="H389" s="90">
        <f t="shared" si="237"/>
        <v>0</v>
      </c>
      <c r="I389" s="91"/>
      <c r="J389" s="91"/>
      <c r="K389" s="91"/>
      <c r="L389" s="91"/>
      <c r="M389" s="91"/>
      <c r="N389" s="91"/>
      <c r="O389" s="91"/>
      <c r="P389" s="91"/>
      <c r="Q389" s="91"/>
      <c r="R389" s="91"/>
      <c r="S389" s="91"/>
      <c r="T389" s="91"/>
      <c r="U389" s="91"/>
      <c r="V389" s="91"/>
      <c r="W389" s="91"/>
      <c r="X389" s="91"/>
      <c r="Y389" s="91"/>
      <c r="Z389" s="91"/>
      <c r="AA389" s="91"/>
      <c r="AB389" s="91"/>
      <c r="AC389" s="87">
        <f t="shared" si="238"/>
        <v>0</v>
      </c>
      <c r="AD389" s="92"/>
      <c r="AE389" s="92"/>
      <c r="AF389" s="92"/>
      <c r="AG389" s="92"/>
      <c r="AH389" s="92"/>
      <c r="AI389" s="92"/>
      <c r="AJ389" s="92"/>
      <c r="AK389" s="92"/>
      <c r="AL389" s="92"/>
      <c r="AM389" s="92"/>
      <c r="AN389" s="92"/>
      <c r="AO389" s="92"/>
      <c r="AP389" s="92"/>
      <c r="AQ389" s="92"/>
      <c r="AR389" s="92"/>
      <c r="AS389" s="92"/>
      <c r="AT389" s="92"/>
      <c r="AU389" s="99"/>
      <c r="AV389" s="1977">
        <f t="shared" si="262"/>
        <v>0</v>
      </c>
      <c r="AW389" s="1977">
        <f t="shared" si="263"/>
        <v>0</v>
      </c>
      <c r="AX389" s="1977">
        <f t="shared" si="264"/>
        <v>0</v>
      </c>
      <c r="AY389" s="95">
        <f t="shared" si="239"/>
        <v>0</v>
      </c>
      <c r="AZ389" s="87">
        <f t="shared" si="240"/>
        <v>0</v>
      </c>
      <c r="BA389" s="87">
        <f t="shared" si="241"/>
        <v>0</v>
      </c>
      <c r="BB389" s="87">
        <f t="shared" si="242"/>
        <v>0</v>
      </c>
      <c r="BC389" s="87">
        <f t="shared" si="243"/>
        <v>0</v>
      </c>
      <c r="BD389" s="87">
        <f t="shared" si="244"/>
        <v>0</v>
      </c>
      <c r="BE389" s="87">
        <f t="shared" si="245"/>
        <v>0</v>
      </c>
      <c r="BF389" s="87">
        <f t="shared" si="246"/>
        <v>0</v>
      </c>
      <c r="BG389" s="87">
        <f t="shared" si="247"/>
        <v>0</v>
      </c>
      <c r="BH389" s="87">
        <f t="shared" si="248"/>
        <v>0</v>
      </c>
      <c r="BI389" s="87">
        <f t="shared" si="249"/>
        <v>0</v>
      </c>
      <c r="BJ389" s="87">
        <f t="shared" si="250"/>
        <v>0</v>
      </c>
      <c r="BK389" s="87">
        <f t="shared" si="251"/>
        <v>0</v>
      </c>
      <c r="BL389" s="87">
        <f t="shared" si="252"/>
        <v>0</v>
      </c>
      <c r="BM389" s="87">
        <f t="shared" si="253"/>
        <v>0</v>
      </c>
      <c r="BN389" s="87">
        <f t="shared" si="254"/>
        <v>0</v>
      </c>
      <c r="BO389" s="87">
        <f t="shared" si="255"/>
        <v>0</v>
      </c>
      <c r="BP389" s="87">
        <f t="shared" si="256"/>
        <v>0</v>
      </c>
      <c r="BQ389" s="87">
        <f t="shared" si="257"/>
        <v>0</v>
      </c>
      <c r="BR389" s="87">
        <f t="shared" si="258"/>
        <v>0</v>
      </c>
      <c r="BS389" s="87">
        <f t="shared" si="259"/>
        <v>0</v>
      </c>
      <c r="BT389" s="96">
        <f t="shared" si="260"/>
        <v>0</v>
      </c>
    </row>
    <row r="390" spans="1:72">
      <c r="A390" s="84"/>
      <c r="B390" s="1392"/>
      <c r="C390" s="1393"/>
      <c r="D390" s="80"/>
      <c r="E390" s="87">
        <f t="shared" ref="E390:E481" si="265">IF($C$3="是",ROUND($A$3*G390/$B$3,2),ROUND($A$3*(G390-AT390)/$B$3,2))</f>
        <v>0</v>
      </c>
      <c r="F390" s="88"/>
      <c r="G390" s="89">
        <f t="shared" ref="G390:G478" si="266">H390+AC390+AT390</f>
        <v>0</v>
      </c>
      <c r="H390" s="90">
        <f t="shared" ref="H390:H478" si="267">SUMIF(I$12:AB$12,"总值",I390:AB390)</f>
        <v>0</v>
      </c>
      <c r="I390" s="1395"/>
      <c r="J390" s="91"/>
      <c r="K390" s="1395"/>
      <c r="L390" s="91"/>
      <c r="M390" s="91"/>
      <c r="N390" s="91"/>
      <c r="O390" s="91"/>
      <c r="P390" s="91"/>
      <c r="Q390" s="91"/>
      <c r="R390" s="91"/>
      <c r="S390" s="91"/>
      <c r="T390" s="91"/>
      <c r="U390" s="91"/>
      <c r="V390" s="91"/>
      <c r="W390" s="91"/>
      <c r="X390" s="91"/>
      <c r="Y390" s="91"/>
      <c r="Z390" s="91"/>
      <c r="AA390" s="91"/>
      <c r="AB390" s="91"/>
      <c r="AC390" s="87">
        <f t="shared" ref="AC390:AC478" si="268">SUMIF(AD$12:AS$12,"总值",AD390:AS390)</f>
        <v>0</v>
      </c>
      <c r="AD390" s="92"/>
      <c r="AE390" s="92"/>
      <c r="AF390" s="1396"/>
      <c r="AG390" s="92"/>
      <c r="AH390" s="92"/>
      <c r="AI390" s="92"/>
      <c r="AJ390" s="92"/>
      <c r="AK390" s="92"/>
      <c r="AL390" s="92"/>
      <c r="AM390" s="92"/>
      <c r="AN390" s="1363"/>
      <c r="AO390" s="92"/>
      <c r="AP390" s="92"/>
      <c r="AQ390" s="92"/>
      <c r="AR390" s="92"/>
      <c r="AS390" s="92"/>
      <c r="AT390" s="93"/>
      <c r="AU390" s="94"/>
      <c r="AV390" s="1977">
        <f t="shared" ref="AV390:AV481" si="269">A390</f>
        <v>0</v>
      </c>
      <c r="AW390" s="1977">
        <f t="shared" ref="AW390:AW481" si="270">B390</f>
        <v>0</v>
      </c>
      <c r="AX390" s="1977">
        <f t="shared" ref="AX390:AX481" si="271">C390</f>
        <v>0</v>
      </c>
      <c r="AY390" s="95">
        <f t="shared" ref="AY390:AY478" si="272">ROUND($AY$6*AZ390/$AZ$5,2)</f>
        <v>0</v>
      </c>
      <c r="AZ390" s="87">
        <f t="shared" ref="AZ390:AZ478" si="273">BA390+BL390</f>
        <v>0</v>
      </c>
      <c r="BA390" s="87">
        <f t="shared" ref="BA390:BA478" si="274">SUM(BB390:BK390)</f>
        <v>0</v>
      </c>
      <c r="BB390" s="87">
        <f t="shared" ref="BB390:BB478" si="275">IF($D390="是",I390-J390,0)</f>
        <v>0</v>
      </c>
      <c r="BC390" s="87">
        <f t="shared" ref="BC390:BC478" si="276">IF($D390="是",K390-L390,0)</f>
        <v>0</v>
      </c>
      <c r="BD390" s="87">
        <f t="shared" ref="BD390:BD478" si="277">IF($D390="是",M390-N390,0)</f>
        <v>0</v>
      </c>
      <c r="BE390" s="87">
        <f t="shared" ref="BE390:BE478" si="278">IF($D390="是",O390-P390,0)</f>
        <v>0</v>
      </c>
      <c r="BF390" s="87">
        <f t="shared" ref="BF390:BF478" si="279">IF($D390="是",Q390-R390,0)</f>
        <v>0</v>
      </c>
      <c r="BG390" s="87">
        <f t="shared" ref="BG390:BG478" si="280">IF($D390="是",S390-T390,0)</f>
        <v>0</v>
      </c>
      <c r="BH390" s="87">
        <f t="shared" ref="BH390:BH478" si="281">IF($D390="是",U390-V390,0)</f>
        <v>0</v>
      </c>
      <c r="BI390" s="87">
        <f t="shared" ref="BI390:BI478" si="282">IF($D390="是",W390-X390,0)</f>
        <v>0</v>
      </c>
      <c r="BJ390" s="87">
        <f t="shared" ref="BJ390:BJ478" si="283">IF($D390="是",Y390-Z390,0)</f>
        <v>0</v>
      </c>
      <c r="BK390" s="87">
        <f t="shared" ref="BK390:BK478" si="284">IF($D390="是",AA390-AB390,0)</f>
        <v>0</v>
      </c>
      <c r="BL390" s="87">
        <f t="shared" ref="BL390:BL478" si="285">SUM(BM390:BT390)</f>
        <v>0</v>
      </c>
      <c r="BM390" s="87">
        <f t="shared" ref="BM390:BM478" si="286">IF($D390="是",AD390-AE390,0)</f>
        <v>0</v>
      </c>
      <c r="BN390" s="87">
        <f t="shared" ref="BN390:BN478" si="287">IF($D390="是",AF390-AG390,0)</f>
        <v>0</v>
      </c>
      <c r="BO390" s="87">
        <f t="shared" ref="BO390:BO478" si="288">IF($D390="是",AH390-AI390,0)</f>
        <v>0</v>
      </c>
      <c r="BP390" s="87">
        <f t="shared" ref="BP390:BP478" si="289">IF($D390="是",AJ390-AK390,0)</f>
        <v>0</v>
      </c>
      <c r="BQ390" s="87">
        <f t="shared" ref="BQ390:BQ478" si="290">IF($D390="是",AL390-AM390,0)</f>
        <v>0</v>
      </c>
      <c r="BR390" s="87">
        <f t="shared" ref="BR390:BR478" si="291">IF($D390="是",AN390-AO390,0)</f>
        <v>0</v>
      </c>
      <c r="BS390" s="87">
        <f t="shared" ref="BS390:BS478" si="292">IF($D390="是",AP390-AQ390,0)</f>
        <v>0</v>
      </c>
      <c r="BT390" s="96">
        <f t="shared" ref="BT390:BT478" si="293">IF($D390="是",AR390-AS390,0)</f>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1363"/>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1363"/>
      <c r="N392" s="91"/>
      <c r="O392" s="91"/>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1363"/>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1363"/>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1363"/>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3"/>
      <c r="J423" s="91"/>
      <c r="K423" s="1393"/>
      <c r="L423" s="91"/>
      <c r="M423" s="91"/>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1394"/>
      <c r="C424" s="1395"/>
      <c r="D424" s="80"/>
      <c r="E424" s="87">
        <f t="shared" si="265"/>
        <v>0</v>
      </c>
      <c r="F424" s="88"/>
      <c r="G424" s="89">
        <f t="shared" si="266"/>
        <v>0</v>
      </c>
      <c r="H424" s="90">
        <f t="shared" si="267"/>
        <v>0</v>
      </c>
      <c r="I424" s="1393"/>
      <c r="J424" s="91"/>
      <c r="K424" s="1393"/>
      <c r="L424" s="91"/>
      <c r="M424" s="1393"/>
      <c r="N424" s="91"/>
      <c r="O424" s="91"/>
      <c r="P424" s="91"/>
      <c r="Q424" s="91"/>
      <c r="R424" s="91"/>
      <c r="S424" s="91"/>
      <c r="T424" s="91"/>
      <c r="U424" s="91"/>
      <c r="V424" s="91"/>
      <c r="W424" s="91"/>
      <c r="X424" s="91"/>
      <c r="Y424" s="91"/>
      <c r="Z424" s="91"/>
      <c r="AA424" s="91"/>
      <c r="AB424" s="91"/>
      <c r="AC424" s="87">
        <f t="shared" si="268"/>
        <v>0</v>
      </c>
      <c r="AD424" s="92"/>
      <c r="AE424" s="92"/>
      <c r="AF424" s="1393"/>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5"/>
      <c r="C478" s="85"/>
      <c r="D478" s="86"/>
      <c r="E478" s="87">
        <f t="shared" si="265"/>
        <v>0</v>
      </c>
      <c r="F478" s="88"/>
      <c r="G478" s="89">
        <f t="shared" si="266"/>
        <v>0</v>
      </c>
      <c r="H478" s="90">
        <f t="shared" si="267"/>
        <v>0</v>
      </c>
      <c r="I478" s="91"/>
      <c r="J478" s="91"/>
      <c r="K478" s="91"/>
      <c r="L478" s="91"/>
      <c r="M478" s="91"/>
      <c r="N478" s="91"/>
      <c r="O478" s="91"/>
      <c r="P478" s="91"/>
      <c r="Q478" s="91"/>
      <c r="R478" s="91"/>
      <c r="S478" s="91"/>
      <c r="T478" s="91"/>
      <c r="U478" s="91"/>
      <c r="V478" s="91"/>
      <c r="W478" s="91"/>
      <c r="X478" s="91"/>
      <c r="Y478" s="91"/>
      <c r="Z478" s="91"/>
      <c r="AA478" s="91"/>
      <c r="AB478" s="91"/>
      <c r="AC478" s="87">
        <f t="shared" si="268"/>
        <v>0</v>
      </c>
      <c r="AD478" s="92"/>
      <c r="AE478" s="92"/>
      <c r="AF478" s="92"/>
      <c r="AG478" s="92"/>
      <c r="AH478" s="92"/>
      <c r="AI478" s="92"/>
      <c r="AJ478" s="92"/>
      <c r="AK478" s="92"/>
      <c r="AL478" s="92"/>
      <c r="AM478" s="92"/>
      <c r="AN478" s="92"/>
      <c r="AO478" s="92"/>
      <c r="AP478" s="92"/>
      <c r="AQ478" s="92"/>
      <c r="AR478" s="92"/>
      <c r="AS478" s="92"/>
      <c r="AT478" s="93"/>
      <c r="AU478" s="94"/>
      <c r="AV478" s="1977">
        <f t="shared" si="269"/>
        <v>0</v>
      </c>
      <c r="AW478" s="1977">
        <f t="shared" si="270"/>
        <v>0</v>
      </c>
      <c r="AX478" s="1977">
        <f t="shared" si="271"/>
        <v>0</v>
      </c>
      <c r="AY478" s="95">
        <f t="shared" si="272"/>
        <v>0</v>
      </c>
      <c r="AZ478" s="87">
        <f t="shared" si="273"/>
        <v>0</v>
      </c>
      <c r="BA478" s="87">
        <f t="shared" si="274"/>
        <v>0</v>
      </c>
      <c r="BB478" s="87">
        <f t="shared" si="275"/>
        <v>0</v>
      </c>
      <c r="BC478" s="87">
        <f t="shared" si="276"/>
        <v>0</v>
      </c>
      <c r="BD478" s="87">
        <f t="shared" si="277"/>
        <v>0</v>
      </c>
      <c r="BE478" s="87">
        <f t="shared" si="278"/>
        <v>0</v>
      </c>
      <c r="BF478" s="87">
        <f t="shared" si="279"/>
        <v>0</v>
      </c>
      <c r="BG478" s="87">
        <f t="shared" si="280"/>
        <v>0</v>
      </c>
      <c r="BH478" s="87">
        <f t="shared" si="281"/>
        <v>0</v>
      </c>
      <c r="BI478" s="87">
        <f t="shared" si="282"/>
        <v>0</v>
      </c>
      <c r="BJ478" s="87">
        <f t="shared" si="283"/>
        <v>0</v>
      </c>
      <c r="BK478" s="87">
        <f t="shared" si="284"/>
        <v>0</v>
      </c>
      <c r="BL478" s="87">
        <f t="shared" si="285"/>
        <v>0</v>
      </c>
      <c r="BM478" s="87">
        <f t="shared" si="286"/>
        <v>0</v>
      </c>
      <c r="BN478" s="87">
        <f t="shared" si="287"/>
        <v>0</v>
      </c>
      <c r="BO478" s="87">
        <f t="shared" si="288"/>
        <v>0</v>
      </c>
      <c r="BP478" s="87">
        <f t="shared" si="289"/>
        <v>0</v>
      </c>
      <c r="BQ478" s="87">
        <f t="shared" si="290"/>
        <v>0</v>
      </c>
      <c r="BR478" s="87">
        <f t="shared" si="291"/>
        <v>0</v>
      </c>
      <c r="BS478" s="87">
        <f t="shared" si="292"/>
        <v>0</v>
      </c>
      <c r="BT478" s="96">
        <f t="shared" si="293"/>
        <v>0</v>
      </c>
    </row>
    <row r="479" spans="1:72">
      <c r="A479" s="84"/>
      <c r="B479" s="84"/>
      <c r="C479" s="84"/>
      <c r="D479" s="86"/>
      <c r="E479" s="87">
        <f t="shared" si="265"/>
        <v>0</v>
      </c>
      <c r="F479" s="97"/>
      <c r="G479" s="89">
        <f t="shared" ref="G479:G510" si="294">H479+AC479+AT479</f>
        <v>0</v>
      </c>
      <c r="H479" s="90">
        <f t="shared" ref="H479:H510" si="295">SUMIF(I$12:AB$12,"总值",I479:AB479)</f>
        <v>0</v>
      </c>
      <c r="I479" s="98"/>
      <c r="J479" s="98"/>
      <c r="K479" s="91"/>
      <c r="L479" s="91"/>
      <c r="M479" s="91"/>
      <c r="N479" s="91"/>
      <c r="O479" s="91"/>
      <c r="P479" s="91"/>
      <c r="Q479" s="91"/>
      <c r="R479" s="91"/>
      <c r="S479" s="91"/>
      <c r="T479" s="91"/>
      <c r="U479" s="91"/>
      <c r="V479" s="91"/>
      <c r="W479" s="91"/>
      <c r="X479" s="91"/>
      <c r="Y479" s="91"/>
      <c r="Z479" s="91"/>
      <c r="AA479" s="91"/>
      <c r="AB479" s="91"/>
      <c r="AC479" s="87">
        <f t="shared" ref="AC479:AC510" si="296">SUMIF(AD$12:AS$12,"总值",AD479:AS479)</f>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ref="AY479:AY510" si="297">ROUND($AY$6*AZ479/$AZ$5,2)</f>
        <v>0</v>
      </c>
      <c r="AZ479" s="87">
        <f t="shared" ref="AZ479:AZ510" si="298">BA479+BL479</f>
        <v>0</v>
      </c>
      <c r="BA479" s="87">
        <f t="shared" ref="BA479:BA510" si="299">SUM(BB479:BK479)</f>
        <v>0</v>
      </c>
      <c r="BB479" s="87">
        <f t="shared" ref="BB479:BB510" si="300">IF($D479="是",I479-J479,0)</f>
        <v>0</v>
      </c>
      <c r="BC479" s="87">
        <f t="shared" ref="BC479:BC510" si="301">IF($D479="是",K479-L479,0)</f>
        <v>0</v>
      </c>
      <c r="BD479" s="87">
        <f t="shared" ref="BD479:BD510" si="302">IF($D479="是",M479-N479,0)</f>
        <v>0</v>
      </c>
      <c r="BE479" s="87">
        <f t="shared" ref="BE479:BE510" si="303">IF($D479="是",O479-P479,0)</f>
        <v>0</v>
      </c>
      <c r="BF479" s="87">
        <f t="shared" ref="BF479:BF510" si="304">IF($D479="是",Q479-R479,0)</f>
        <v>0</v>
      </c>
      <c r="BG479" s="87">
        <f t="shared" ref="BG479:BG510" si="305">IF($D479="是",S479-T479,0)</f>
        <v>0</v>
      </c>
      <c r="BH479" s="87">
        <f t="shared" ref="BH479:BH510" si="306">IF($D479="是",U479-V479,0)</f>
        <v>0</v>
      </c>
      <c r="BI479" s="87">
        <f t="shared" ref="BI479:BI510" si="307">IF($D479="是",W479-X479,0)</f>
        <v>0</v>
      </c>
      <c r="BJ479" s="87">
        <f t="shared" ref="BJ479:BJ510" si="308">IF($D479="是",Y479-Z479,0)</f>
        <v>0</v>
      </c>
      <c r="BK479" s="87">
        <f t="shared" ref="BK479:BK510" si="309">IF($D479="是",AA479-AB479,0)</f>
        <v>0</v>
      </c>
      <c r="BL479" s="87">
        <f t="shared" ref="BL479:BL510" si="310">SUM(BM479:BT479)</f>
        <v>0</v>
      </c>
      <c r="BM479" s="87">
        <f t="shared" ref="BM479:BM510" si="311">IF($D479="是",AD479-AE479,0)</f>
        <v>0</v>
      </c>
      <c r="BN479" s="87">
        <f t="shared" ref="BN479:BN510" si="312">IF($D479="是",AF479-AG479,0)</f>
        <v>0</v>
      </c>
      <c r="BO479" s="87">
        <f t="shared" ref="BO479:BO510" si="313">IF($D479="是",AH479-AI479,0)</f>
        <v>0</v>
      </c>
      <c r="BP479" s="87">
        <f t="shared" ref="BP479:BP510" si="314">IF($D479="是",AJ479-AK479,0)</f>
        <v>0</v>
      </c>
      <c r="BQ479" s="87">
        <f t="shared" ref="BQ479:BQ510" si="315">IF($D479="是",AL479-AM479,0)</f>
        <v>0</v>
      </c>
      <c r="BR479" s="87">
        <f t="shared" ref="BR479:BR510" si="316">IF($D479="是",AN479-AO479,0)</f>
        <v>0</v>
      </c>
      <c r="BS479" s="87">
        <f t="shared" ref="BS479:BS510" si="317">IF($D479="是",AP479-AQ479,0)</f>
        <v>0</v>
      </c>
      <c r="BT479" s="96">
        <f t="shared" ref="BT479:BT510" si="318">IF($D479="是",AR479-AS479,0)</f>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84"/>
      <c r="C481" s="84"/>
      <c r="D481" s="86"/>
      <c r="E481" s="87">
        <f t="shared" si="265"/>
        <v>0</v>
      </c>
      <c r="F481" s="97"/>
      <c r="G481" s="89">
        <f t="shared" si="294"/>
        <v>0</v>
      </c>
      <c r="H481" s="90">
        <f t="shared" si="295"/>
        <v>0</v>
      </c>
      <c r="I481" s="91"/>
      <c r="J481" s="91"/>
      <c r="K481" s="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92"/>
      <c r="AG481" s="92"/>
      <c r="AH481" s="92"/>
      <c r="AI481" s="92"/>
      <c r="AJ481" s="92"/>
      <c r="AK481" s="92"/>
      <c r="AL481" s="92"/>
      <c r="AM481" s="92"/>
      <c r="AN481" s="92"/>
      <c r="AO481" s="92"/>
      <c r="AP481" s="92"/>
      <c r="AQ481" s="92"/>
      <c r="AR481" s="92"/>
      <c r="AS481" s="92"/>
      <c r="AT481" s="92"/>
      <c r="AU481" s="99"/>
      <c r="AV481" s="1977">
        <f t="shared" si="269"/>
        <v>0</v>
      </c>
      <c r="AW481" s="1977">
        <f t="shared" si="270"/>
        <v>0</v>
      </c>
      <c r="AX481" s="1977">
        <f t="shared" si="271"/>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ref="E482:E505" si="319">IF($C$3="是",ROUND($A$3*G482/$B$3,2),ROUND($A$3*(G482-AT482)/$B$3,2))</f>
        <v>0</v>
      </c>
      <c r="F482" s="88"/>
      <c r="G482" s="89">
        <f t="shared" si="294"/>
        <v>0</v>
      </c>
      <c r="H482" s="90">
        <f t="shared" si="295"/>
        <v>0</v>
      </c>
      <c r="I482" s="1395"/>
      <c r="J482" s="91"/>
      <c r="K482" s="1395"/>
      <c r="L482" s="91"/>
      <c r="M482" s="91"/>
      <c r="N482" s="91"/>
      <c r="O482" s="91"/>
      <c r="P482" s="91"/>
      <c r="Q482" s="91"/>
      <c r="R482" s="91"/>
      <c r="S482" s="91"/>
      <c r="T482" s="91"/>
      <c r="U482" s="91"/>
      <c r="V482" s="91"/>
      <c r="W482" s="91"/>
      <c r="X482" s="91"/>
      <c r="Y482" s="91"/>
      <c r="Z482" s="91"/>
      <c r="AA482" s="91"/>
      <c r="AB482" s="91"/>
      <c r="AC482" s="87">
        <f t="shared" si="296"/>
        <v>0</v>
      </c>
      <c r="AD482" s="92"/>
      <c r="AE482" s="92"/>
      <c r="AF482" s="1396"/>
      <c r="AG482" s="92"/>
      <c r="AH482" s="92"/>
      <c r="AI482" s="92"/>
      <c r="AJ482" s="92"/>
      <c r="AK482" s="92"/>
      <c r="AL482" s="92"/>
      <c r="AM482" s="92"/>
      <c r="AN482" s="1363"/>
      <c r="AO482" s="92"/>
      <c r="AP482" s="92"/>
      <c r="AQ482" s="92"/>
      <c r="AR482" s="92"/>
      <c r="AS482" s="92"/>
      <c r="AT482" s="93"/>
      <c r="AU482" s="94"/>
      <c r="AV482" s="991">
        <f t="shared" ref="AV482:AV506" si="320">A482</f>
        <v>0</v>
      </c>
      <c r="AW482" s="991">
        <f t="shared" ref="AW482:AW506" si="321">B482</f>
        <v>0</v>
      </c>
      <c r="AX482" s="991">
        <f t="shared" ref="AX482:AX506" si="322">C482</f>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1363"/>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1363"/>
      <c r="N484" s="91"/>
      <c r="O484" s="91"/>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1363"/>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1363"/>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1363"/>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si="319"/>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ref="E506:E537" si="323">IF($C$3="是",ROUND($A$3*G506/$B$3,2),ROUND($A$3*(G506-AT506)/$B$3,2))</f>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si="320"/>
        <v>0</v>
      </c>
      <c r="AW506" s="991">
        <f t="shared" si="321"/>
        <v>0</v>
      </c>
      <c r="AX506" s="991">
        <f t="shared" si="322"/>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ref="AV507:AV538" si="324">A507</f>
        <v>0</v>
      </c>
      <c r="AW507" s="991">
        <f t="shared" ref="AW507:AW538" si="325">B507</f>
        <v>0</v>
      </c>
      <c r="AX507" s="991">
        <f t="shared" ref="AX507:AX538" si="326">C507</f>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si="294"/>
        <v>0</v>
      </c>
      <c r="H510" s="90">
        <f t="shared" si="295"/>
        <v>0</v>
      </c>
      <c r="I510" s="1393"/>
      <c r="J510" s="91"/>
      <c r="K510" s="1393"/>
      <c r="L510" s="91"/>
      <c r="M510" s="91"/>
      <c r="N510" s="91"/>
      <c r="O510" s="91"/>
      <c r="P510" s="91"/>
      <c r="Q510" s="91"/>
      <c r="R510" s="91"/>
      <c r="S510" s="91"/>
      <c r="T510" s="91"/>
      <c r="U510" s="91"/>
      <c r="V510" s="91"/>
      <c r="W510" s="91"/>
      <c r="X510" s="91"/>
      <c r="Y510" s="91"/>
      <c r="Z510" s="91"/>
      <c r="AA510" s="91"/>
      <c r="AB510" s="91"/>
      <c r="AC510" s="87">
        <f t="shared" si="296"/>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si="297"/>
        <v>0</v>
      </c>
      <c r="AZ510" s="87">
        <f t="shared" si="298"/>
        <v>0</v>
      </c>
      <c r="BA510" s="87">
        <f t="shared" si="299"/>
        <v>0</v>
      </c>
      <c r="BB510" s="87">
        <f t="shared" si="300"/>
        <v>0</v>
      </c>
      <c r="BC510" s="87">
        <f t="shared" si="301"/>
        <v>0</v>
      </c>
      <c r="BD510" s="87">
        <f t="shared" si="302"/>
        <v>0</v>
      </c>
      <c r="BE510" s="87">
        <f t="shared" si="303"/>
        <v>0</v>
      </c>
      <c r="BF510" s="87">
        <f t="shared" si="304"/>
        <v>0</v>
      </c>
      <c r="BG510" s="87">
        <f t="shared" si="305"/>
        <v>0</v>
      </c>
      <c r="BH510" s="87">
        <f t="shared" si="306"/>
        <v>0</v>
      </c>
      <c r="BI510" s="87">
        <f t="shared" si="307"/>
        <v>0</v>
      </c>
      <c r="BJ510" s="87">
        <f t="shared" si="308"/>
        <v>0</v>
      </c>
      <c r="BK510" s="87">
        <f t="shared" si="309"/>
        <v>0</v>
      </c>
      <c r="BL510" s="87">
        <f t="shared" si="310"/>
        <v>0</v>
      </c>
      <c r="BM510" s="87">
        <f t="shared" si="311"/>
        <v>0</v>
      </c>
      <c r="BN510" s="87">
        <f t="shared" si="312"/>
        <v>0</v>
      </c>
      <c r="BO510" s="87">
        <f t="shared" si="313"/>
        <v>0</v>
      </c>
      <c r="BP510" s="87">
        <f t="shared" si="314"/>
        <v>0</v>
      </c>
      <c r="BQ510" s="87">
        <f t="shared" si="315"/>
        <v>0</v>
      </c>
      <c r="BR510" s="87">
        <f t="shared" si="316"/>
        <v>0</v>
      </c>
      <c r="BS510" s="87">
        <f t="shared" si="317"/>
        <v>0</v>
      </c>
      <c r="BT510" s="96">
        <f t="shared" si="318"/>
        <v>0</v>
      </c>
    </row>
    <row r="511" spans="1:72">
      <c r="A511" s="84"/>
      <c r="B511" s="1392"/>
      <c r="C511" s="1393"/>
      <c r="D511" s="80"/>
      <c r="E511" s="87">
        <f t="shared" si="323"/>
        <v>0</v>
      </c>
      <c r="F511" s="88"/>
      <c r="G511" s="89">
        <f t="shared" ref="G511:G538" si="327">H511+AC511+AT511</f>
        <v>0</v>
      </c>
      <c r="H511" s="90">
        <f t="shared" ref="H511:H538" si="328">SUMIF(I$12:AB$12,"总值",I511:AB511)</f>
        <v>0</v>
      </c>
      <c r="I511" s="1393"/>
      <c r="J511" s="91"/>
      <c r="K511" s="1393"/>
      <c r="L511" s="91"/>
      <c r="M511" s="91"/>
      <c r="N511" s="91"/>
      <c r="O511" s="91"/>
      <c r="P511" s="91"/>
      <c r="Q511" s="91"/>
      <c r="R511" s="91"/>
      <c r="S511" s="91"/>
      <c r="T511" s="91"/>
      <c r="U511" s="91"/>
      <c r="V511" s="91"/>
      <c r="W511" s="91"/>
      <c r="X511" s="91"/>
      <c r="Y511" s="91"/>
      <c r="Z511" s="91"/>
      <c r="AA511" s="91"/>
      <c r="AB511" s="91"/>
      <c r="AC511" s="87">
        <f t="shared" ref="AC511:AC538" si="329">SUMIF(AD$12:AS$12,"总值",AD511:AS511)</f>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ref="AY511:AY538" si="330">ROUND($AY$6*AZ511/$AZ$5,2)</f>
        <v>0</v>
      </c>
      <c r="AZ511" s="87">
        <f t="shared" ref="AZ511:AZ538" si="331">BA511+BL511</f>
        <v>0</v>
      </c>
      <c r="BA511" s="87">
        <f t="shared" ref="BA511:BA538" si="332">SUM(BB511:BK511)</f>
        <v>0</v>
      </c>
      <c r="BB511" s="87">
        <f t="shared" ref="BB511:BB538" si="333">IF($D511="是",I511-J511,0)</f>
        <v>0</v>
      </c>
      <c r="BC511" s="87">
        <f t="shared" ref="BC511:BC538" si="334">IF($D511="是",K511-L511,0)</f>
        <v>0</v>
      </c>
      <c r="BD511" s="87">
        <f t="shared" ref="BD511:BD538" si="335">IF($D511="是",M511-N511,0)</f>
        <v>0</v>
      </c>
      <c r="BE511" s="87">
        <f t="shared" ref="BE511:BE538" si="336">IF($D511="是",O511-P511,0)</f>
        <v>0</v>
      </c>
      <c r="BF511" s="87">
        <f t="shared" ref="BF511:BF538" si="337">IF($D511="是",Q511-R511,0)</f>
        <v>0</v>
      </c>
      <c r="BG511" s="87">
        <f t="shared" ref="BG511:BG538" si="338">IF($D511="是",S511-T511,0)</f>
        <v>0</v>
      </c>
      <c r="BH511" s="87">
        <f t="shared" ref="BH511:BH538" si="339">IF($D511="是",U511-V511,0)</f>
        <v>0</v>
      </c>
      <c r="BI511" s="87">
        <f t="shared" ref="BI511:BI538" si="340">IF($D511="是",W511-X511,0)</f>
        <v>0</v>
      </c>
      <c r="BJ511" s="87">
        <f t="shared" ref="BJ511:BJ538" si="341">IF($D511="是",Y511-Z511,0)</f>
        <v>0</v>
      </c>
      <c r="BK511" s="87">
        <f t="shared" ref="BK511:BK538" si="342">IF($D511="是",AA511-AB511,0)</f>
        <v>0</v>
      </c>
      <c r="BL511" s="87">
        <f t="shared" ref="BL511:BL538" si="343">SUM(BM511:BT511)</f>
        <v>0</v>
      </c>
      <c r="BM511" s="87">
        <f t="shared" ref="BM511:BM538" si="344">IF($D511="是",AD511-AE511,0)</f>
        <v>0</v>
      </c>
      <c r="BN511" s="87">
        <f t="shared" ref="BN511:BN538" si="345">IF($D511="是",AF511-AG511,0)</f>
        <v>0</v>
      </c>
      <c r="BO511" s="87">
        <f t="shared" ref="BO511:BO538" si="346">IF($D511="是",AH511-AI511,0)</f>
        <v>0</v>
      </c>
      <c r="BP511" s="87">
        <f t="shared" ref="BP511:BP538" si="347">IF($D511="是",AJ511-AK511,0)</f>
        <v>0</v>
      </c>
      <c r="BQ511" s="87">
        <f t="shared" ref="BQ511:BQ538" si="348">IF($D511="是",AL511-AM511,0)</f>
        <v>0</v>
      </c>
      <c r="BR511" s="87">
        <f t="shared" ref="BR511:BR538" si="349">IF($D511="是",AN511-AO511,0)</f>
        <v>0</v>
      </c>
      <c r="BS511" s="87">
        <f t="shared" ref="BS511:BS538" si="350">IF($D511="是",AP511-AQ511,0)</f>
        <v>0</v>
      </c>
      <c r="BT511" s="96">
        <f t="shared" ref="BT511:BT538" si="351">IF($D511="是",AR511-AS511,0)</f>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3"/>
      <c r="J515" s="91"/>
      <c r="K515" s="1393"/>
      <c r="L515" s="91"/>
      <c r="M515" s="91"/>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1394"/>
      <c r="C516" s="1395"/>
      <c r="D516" s="80"/>
      <c r="E516" s="87">
        <f t="shared" si="323"/>
        <v>0</v>
      </c>
      <c r="F516" s="88"/>
      <c r="G516" s="89">
        <f t="shared" si="327"/>
        <v>0</v>
      </c>
      <c r="H516" s="90">
        <f t="shared" si="328"/>
        <v>0</v>
      </c>
      <c r="I516" s="1393"/>
      <c r="J516" s="91"/>
      <c r="K516" s="1393"/>
      <c r="L516" s="91"/>
      <c r="M516" s="1393"/>
      <c r="N516" s="91"/>
      <c r="O516" s="91"/>
      <c r="P516" s="91"/>
      <c r="Q516" s="91"/>
      <c r="R516" s="91"/>
      <c r="S516" s="91"/>
      <c r="T516" s="91"/>
      <c r="U516" s="91"/>
      <c r="V516" s="91"/>
      <c r="W516" s="91"/>
      <c r="X516" s="91"/>
      <c r="Y516" s="91"/>
      <c r="Z516" s="91"/>
      <c r="AA516" s="91"/>
      <c r="AB516" s="91"/>
      <c r="AC516" s="87">
        <f t="shared" si="329"/>
        <v>0</v>
      </c>
      <c r="AD516" s="92"/>
      <c r="AE516" s="92"/>
      <c r="AF516" s="1393"/>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si="323"/>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ref="E538:E573" si="352">IF($C$3="是",ROUND($A$3*G538/$B$3,2),ROUND($A$3*(G538-AT538)/$B$3,2))</f>
        <v>0</v>
      </c>
      <c r="F538" s="88"/>
      <c r="G538" s="89">
        <f t="shared" si="327"/>
        <v>0</v>
      </c>
      <c r="H538" s="90">
        <f t="shared" si="328"/>
        <v>0</v>
      </c>
      <c r="I538" s="91"/>
      <c r="J538" s="91"/>
      <c r="K538" s="91"/>
      <c r="L538" s="91"/>
      <c r="M538" s="91"/>
      <c r="N538" s="91"/>
      <c r="O538" s="91"/>
      <c r="P538" s="91"/>
      <c r="Q538" s="91"/>
      <c r="R538" s="91"/>
      <c r="S538" s="91"/>
      <c r="T538" s="91"/>
      <c r="U538" s="91"/>
      <c r="V538" s="91"/>
      <c r="W538" s="91"/>
      <c r="X538" s="91"/>
      <c r="Y538" s="91"/>
      <c r="Z538" s="91"/>
      <c r="AA538" s="91"/>
      <c r="AB538" s="91"/>
      <c r="AC538" s="87">
        <f t="shared" si="329"/>
        <v>0</v>
      </c>
      <c r="AD538" s="92"/>
      <c r="AE538" s="92"/>
      <c r="AF538" s="92"/>
      <c r="AG538" s="92"/>
      <c r="AH538" s="92"/>
      <c r="AI538" s="92"/>
      <c r="AJ538" s="92"/>
      <c r="AK538" s="92"/>
      <c r="AL538" s="92"/>
      <c r="AM538" s="92"/>
      <c r="AN538" s="92"/>
      <c r="AO538" s="92"/>
      <c r="AP538" s="92"/>
      <c r="AQ538" s="92"/>
      <c r="AR538" s="92"/>
      <c r="AS538" s="92"/>
      <c r="AT538" s="93"/>
      <c r="AU538" s="94"/>
      <c r="AV538" s="991">
        <f t="shared" si="324"/>
        <v>0</v>
      </c>
      <c r="AW538" s="991">
        <f t="shared" si="325"/>
        <v>0</v>
      </c>
      <c r="AX538" s="991">
        <f t="shared" si="326"/>
        <v>0</v>
      </c>
      <c r="AY538" s="95">
        <f t="shared" si="330"/>
        <v>0</v>
      </c>
      <c r="AZ538" s="87">
        <f t="shared" si="331"/>
        <v>0</v>
      </c>
      <c r="BA538" s="87">
        <f t="shared" si="332"/>
        <v>0</v>
      </c>
      <c r="BB538" s="87">
        <f t="shared" si="333"/>
        <v>0</v>
      </c>
      <c r="BC538" s="87">
        <f t="shared" si="334"/>
        <v>0</v>
      </c>
      <c r="BD538" s="87">
        <f t="shared" si="335"/>
        <v>0</v>
      </c>
      <c r="BE538" s="87">
        <f t="shared" si="336"/>
        <v>0</v>
      </c>
      <c r="BF538" s="87">
        <f t="shared" si="337"/>
        <v>0</v>
      </c>
      <c r="BG538" s="87">
        <f t="shared" si="338"/>
        <v>0</v>
      </c>
      <c r="BH538" s="87">
        <f t="shared" si="339"/>
        <v>0</v>
      </c>
      <c r="BI538" s="87">
        <f t="shared" si="340"/>
        <v>0</v>
      </c>
      <c r="BJ538" s="87">
        <f t="shared" si="341"/>
        <v>0</v>
      </c>
      <c r="BK538" s="87">
        <f t="shared" si="342"/>
        <v>0</v>
      </c>
      <c r="BL538" s="87">
        <f t="shared" si="343"/>
        <v>0</v>
      </c>
      <c r="BM538" s="87">
        <f t="shared" si="344"/>
        <v>0</v>
      </c>
      <c r="BN538" s="87">
        <f t="shared" si="345"/>
        <v>0</v>
      </c>
      <c r="BO538" s="87">
        <f t="shared" si="346"/>
        <v>0</v>
      </c>
      <c r="BP538" s="87">
        <f t="shared" si="347"/>
        <v>0</v>
      </c>
      <c r="BQ538" s="87">
        <f t="shared" si="348"/>
        <v>0</v>
      </c>
      <c r="BR538" s="87">
        <f t="shared" si="349"/>
        <v>0</v>
      </c>
      <c r="BS538" s="87">
        <f t="shared" si="350"/>
        <v>0</v>
      </c>
      <c r="BT538" s="96">
        <f t="shared" si="351"/>
        <v>0</v>
      </c>
    </row>
    <row r="539" spans="1:72">
      <c r="A539" s="84"/>
      <c r="B539" s="85"/>
      <c r="C539" s="85"/>
      <c r="D539" s="86"/>
      <c r="E539" s="87">
        <f t="shared" si="352"/>
        <v>0</v>
      </c>
      <c r="F539" s="88"/>
      <c r="G539" s="89">
        <f t="shared" ref="G539:G570" si="353">H539+AC539+AT539</f>
        <v>0</v>
      </c>
      <c r="H539" s="90">
        <f t="shared" ref="H539:H570" si="354">SUMIF(I$12:AB$12,"总值",I539:AB539)</f>
        <v>0</v>
      </c>
      <c r="I539" s="91"/>
      <c r="J539" s="91"/>
      <c r="K539" s="91"/>
      <c r="L539" s="91"/>
      <c r="M539" s="91"/>
      <c r="N539" s="91"/>
      <c r="O539" s="91"/>
      <c r="P539" s="91"/>
      <c r="Q539" s="91"/>
      <c r="R539" s="91"/>
      <c r="S539" s="91"/>
      <c r="T539" s="91"/>
      <c r="U539" s="91"/>
      <c r="V539" s="91"/>
      <c r="W539" s="91"/>
      <c r="X539" s="91"/>
      <c r="Y539" s="91"/>
      <c r="Z539" s="91"/>
      <c r="AA539" s="91"/>
      <c r="AB539" s="91"/>
      <c r="AC539" s="87">
        <f t="shared" ref="AC539:AC570" si="355">SUMIF(AD$12:AS$12,"总值",AD539:AS539)</f>
        <v>0</v>
      </c>
      <c r="AD539" s="92"/>
      <c r="AE539" s="92"/>
      <c r="AF539" s="92"/>
      <c r="AG539" s="92"/>
      <c r="AH539" s="92"/>
      <c r="AI539" s="92"/>
      <c r="AJ539" s="92"/>
      <c r="AK539" s="92"/>
      <c r="AL539" s="92"/>
      <c r="AM539" s="92"/>
      <c r="AN539" s="92"/>
      <c r="AO539" s="92"/>
      <c r="AP539" s="92"/>
      <c r="AQ539" s="92"/>
      <c r="AR539" s="92"/>
      <c r="AS539" s="92"/>
      <c r="AT539" s="93"/>
      <c r="AU539" s="94"/>
      <c r="AV539" s="991">
        <f t="shared" ref="AV539:AV573" si="356">A539</f>
        <v>0</v>
      </c>
      <c r="AW539" s="991">
        <f t="shared" ref="AW539:AW573" si="357">B539</f>
        <v>0</v>
      </c>
      <c r="AX539" s="991">
        <f t="shared" ref="AX539:AX573" si="358">C539</f>
        <v>0</v>
      </c>
      <c r="AY539" s="95">
        <f t="shared" ref="AY539:AY570" si="359">ROUND($AY$6*AZ539/$AZ$5,2)</f>
        <v>0</v>
      </c>
      <c r="AZ539" s="87">
        <f t="shared" ref="AZ539:AZ570" si="360">BA539+BL539</f>
        <v>0</v>
      </c>
      <c r="BA539" s="87">
        <f t="shared" ref="BA539:BA570" si="361">SUM(BB539:BK539)</f>
        <v>0</v>
      </c>
      <c r="BB539" s="87">
        <f t="shared" ref="BB539:BB570" si="362">IF($D539="是",I539-J539,0)</f>
        <v>0</v>
      </c>
      <c r="BC539" s="87">
        <f t="shared" ref="BC539:BC570" si="363">IF($D539="是",K539-L539,0)</f>
        <v>0</v>
      </c>
      <c r="BD539" s="87">
        <f t="shared" ref="BD539:BD570" si="364">IF($D539="是",M539-N539,0)</f>
        <v>0</v>
      </c>
      <c r="BE539" s="87">
        <f t="shared" ref="BE539:BE570" si="365">IF($D539="是",O539-P539,0)</f>
        <v>0</v>
      </c>
      <c r="BF539" s="87">
        <f t="shared" ref="BF539:BF570" si="366">IF($D539="是",Q539-R539,0)</f>
        <v>0</v>
      </c>
      <c r="BG539" s="87">
        <f t="shared" ref="BG539:BG570" si="367">IF($D539="是",S539-T539,0)</f>
        <v>0</v>
      </c>
      <c r="BH539" s="87">
        <f t="shared" ref="BH539:BH570" si="368">IF($D539="是",U539-V539,0)</f>
        <v>0</v>
      </c>
      <c r="BI539" s="87">
        <f t="shared" ref="BI539:BI570" si="369">IF($D539="是",W539-X539,0)</f>
        <v>0</v>
      </c>
      <c r="BJ539" s="87">
        <f t="shared" ref="BJ539:BJ570" si="370">IF($D539="是",Y539-Z539,0)</f>
        <v>0</v>
      </c>
      <c r="BK539" s="87">
        <f t="shared" ref="BK539:BK570" si="371">IF($D539="是",AA539-AB539,0)</f>
        <v>0</v>
      </c>
      <c r="BL539" s="87">
        <f t="shared" ref="BL539:BL570" si="372">SUM(BM539:BT539)</f>
        <v>0</v>
      </c>
      <c r="BM539" s="87">
        <f t="shared" ref="BM539:BM570" si="373">IF($D539="是",AD539-AE539,0)</f>
        <v>0</v>
      </c>
      <c r="BN539" s="87">
        <f t="shared" ref="BN539:BN570" si="374">IF($D539="是",AF539-AG539,0)</f>
        <v>0</v>
      </c>
      <c r="BO539" s="87">
        <f t="shared" ref="BO539:BO570" si="375">IF($D539="是",AH539-AI539,0)</f>
        <v>0</v>
      </c>
      <c r="BP539" s="87">
        <f t="shared" ref="BP539:BP570" si="376">IF($D539="是",AJ539-AK539,0)</f>
        <v>0</v>
      </c>
      <c r="BQ539" s="87">
        <f t="shared" ref="BQ539:BQ570" si="377">IF($D539="是",AL539-AM539,0)</f>
        <v>0</v>
      </c>
      <c r="BR539" s="87">
        <f t="shared" ref="BR539:BR570" si="378">IF($D539="是",AN539-AO539,0)</f>
        <v>0</v>
      </c>
      <c r="BS539" s="87">
        <f t="shared" ref="BS539:BS570" si="379">IF($D539="是",AP539-AQ539,0)</f>
        <v>0</v>
      </c>
      <c r="BT539" s="96">
        <f t="shared" ref="BT539:BT570" si="380">IF($D539="是",AR539-AS539,0)</f>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5"/>
      <c r="C570" s="85"/>
      <c r="D570" s="86"/>
      <c r="E570" s="87">
        <f t="shared" si="352"/>
        <v>0</v>
      </c>
      <c r="F570" s="88"/>
      <c r="G570" s="89">
        <f t="shared" si="353"/>
        <v>0</v>
      </c>
      <c r="H570" s="90">
        <f t="shared" si="354"/>
        <v>0</v>
      </c>
      <c r="I570" s="91"/>
      <c r="J570" s="91"/>
      <c r="K570" s="91"/>
      <c r="L570" s="91"/>
      <c r="M570" s="91"/>
      <c r="N570" s="91"/>
      <c r="O570" s="91"/>
      <c r="P570" s="91"/>
      <c r="Q570" s="91"/>
      <c r="R570" s="91"/>
      <c r="S570" s="91"/>
      <c r="T570" s="91"/>
      <c r="U570" s="91"/>
      <c r="V570" s="91"/>
      <c r="W570" s="91"/>
      <c r="X570" s="91"/>
      <c r="Y570" s="91"/>
      <c r="Z570" s="91"/>
      <c r="AA570" s="91"/>
      <c r="AB570" s="91"/>
      <c r="AC570" s="87">
        <f t="shared" si="355"/>
        <v>0</v>
      </c>
      <c r="AD570" s="92"/>
      <c r="AE570" s="92"/>
      <c r="AF570" s="92"/>
      <c r="AG570" s="92"/>
      <c r="AH570" s="92"/>
      <c r="AI570" s="92"/>
      <c r="AJ570" s="92"/>
      <c r="AK570" s="92"/>
      <c r="AL570" s="92"/>
      <c r="AM570" s="92"/>
      <c r="AN570" s="92"/>
      <c r="AO570" s="92"/>
      <c r="AP570" s="92"/>
      <c r="AQ570" s="92"/>
      <c r="AR570" s="92"/>
      <c r="AS570" s="92"/>
      <c r="AT570" s="93"/>
      <c r="AU570" s="94"/>
      <c r="AV570" s="991">
        <f t="shared" si="356"/>
        <v>0</v>
      </c>
      <c r="AW570" s="991">
        <f t="shared" si="357"/>
        <v>0</v>
      </c>
      <c r="AX570" s="991">
        <f t="shared" si="358"/>
        <v>0</v>
      </c>
      <c r="AY570" s="95">
        <f t="shared" si="359"/>
        <v>0</v>
      </c>
      <c r="AZ570" s="87">
        <f t="shared" si="360"/>
        <v>0</v>
      </c>
      <c r="BA570" s="87">
        <f t="shared" si="361"/>
        <v>0</v>
      </c>
      <c r="BB570" s="87">
        <f t="shared" si="362"/>
        <v>0</v>
      </c>
      <c r="BC570" s="87">
        <f t="shared" si="363"/>
        <v>0</v>
      </c>
      <c r="BD570" s="87">
        <f t="shared" si="364"/>
        <v>0</v>
      </c>
      <c r="BE570" s="87">
        <f t="shared" si="365"/>
        <v>0</v>
      </c>
      <c r="BF570" s="87">
        <f t="shared" si="366"/>
        <v>0</v>
      </c>
      <c r="BG570" s="87">
        <f t="shared" si="367"/>
        <v>0</v>
      </c>
      <c r="BH570" s="87">
        <f t="shared" si="368"/>
        <v>0</v>
      </c>
      <c r="BI570" s="87">
        <f t="shared" si="369"/>
        <v>0</v>
      </c>
      <c r="BJ570" s="87">
        <f t="shared" si="370"/>
        <v>0</v>
      </c>
      <c r="BK570" s="87">
        <f t="shared" si="371"/>
        <v>0</v>
      </c>
      <c r="BL570" s="87">
        <f t="shared" si="372"/>
        <v>0</v>
      </c>
      <c r="BM570" s="87">
        <f t="shared" si="373"/>
        <v>0</v>
      </c>
      <c r="BN570" s="87">
        <f t="shared" si="374"/>
        <v>0</v>
      </c>
      <c r="BO570" s="87">
        <f t="shared" si="375"/>
        <v>0</v>
      </c>
      <c r="BP570" s="87">
        <f t="shared" si="376"/>
        <v>0</v>
      </c>
      <c r="BQ570" s="87">
        <f t="shared" si="377"/>
        <v>0</v>
      </c>
      <c r="BR570" s="87">
        <f t="shared" si="378"/>
        <v>0</v>
      </c>
      <c r="BS570" s="87">
        <f t="shared" si="379"/>
        <v>0</v>
      </c>
      <c r="BT570" s="96">
        <f t="shared" si="380"/>
        <v>0</v>
      </c>
    </row>
    <row r="571" spans="1:72">
      <c r="A571" s="84"/>
      <c r="B571" s="84"/>
      <c r="C571" s="84"/>
      <c r="D571" s="86"/>
      <c r="E571" s="87">
        <f t="shared" si="352"/>
        <v>0</v>
      </c>
      <c r="F571" s="97"/>
      <c r="G571" s="89">
        <f>H571+AC571+AT571</f>
        <v>0</v>
      </c>
      <c r="H571" s="90">
        <f>SUMIF(I$12:AB$12,"总值",I571:AB571)</f>
        <v>0</v>
      </c>
      <c r="I571" s="98"/>
      <c r="J571" s="98"/>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c r="A573" s="84"/>
      <c r="B573" s="84"/>
      <c r="C573" s="84"/>
      <c r="D573" s="86"/>
      <c r="E573" s="87">
        <f t="shared" si="352"/>
        <v>0</v>
      </c>
      <c r="F573" s="97"/>
      <c r="G573" s="89">
        <f>H573+AC573+AT573</f>
        <v>0</v>
      </c>
      <c r="H573" s="90">
        <f>SUMIF(I$12:AB$12,"总值",I573:AB573)</f>
        <v>0</v>
      </c>
      <c r="I573" s="91"/>
      <c r="J573" s="91"/>
      <c r="K573" s="91"/>
      <c r="L573" s="91"/>
      <c r="M573" s="91"/>
      <c r="N573" s="91"/>
      <c r="O573" s="91"/>
      <c r="P573" s="91"/>
      <c r="Q573" s="91"/>
      <c r="R573" s="91"/>
      <c r="S573" s="91"/>
      <c r="T573" s="91"/>
      <c r="U573" s="91"/>
      <c r="V573" s="91"/>
      <c r="W573" s="91"/>
      <c r="X573" s="91"/>
      <c r="Y573" s="91"/>
      <c r="Z573" s="91"/>
      <c r="AA573" s="91"/>
      <c r="AB573" s="91"/>
      <c r="AC573" s="87">
        <f>SUMIF(AD$12:AS$12,"总值",AD573:AS573)</f>
        <v>0</v>
      </c>
      <c r="AD573" s="92"/>
      <c r="AE573" s="92"/>
      <c r="AF573" s="92"/>
      <c r="AG573" s="92"/>
      <c r="AH573" s="92"/>
      <c r="AI573" s="92"/>
      <c r="AJ573" s="92"/>
      <c r="AK573" s="92"/>
      <c r="AL573" s="92"/>
      <c r="AM573" s="92"/>
      <c r="AN573" s="92"/>
      <c r="AO573" s="92"/>
      <c r="AP573" s="92"/>
      <c r="AQ573" s="92"/>
      <c r="AR573" s="92"/>
      <c r="AS573" s="92"/>
      <c r="AT573" s="92"/>
      <c r="AU573" s="99"/>
      <c r="AV573" s="991">
        <f t="shared" si="356"/>
        <v>0</v>
      </c>
      <c r="AW573" s="991">
        <f t="shared" si="357"/>
        <v>0</v>
      </c>
      <c r="AX573" s="991">
        <f t="shared" si="358"/>
        <v>0</v>
      </c>
      <c r="AY573" s="95">
        <f>ROUND($AY$6*AZ573/$AZ$5,2)</f>
        <v>0</v>
      </c>
      <c r="AZ573" s="87">
        <f>BA573+BL573</f>
        <v>0</v>
      </c>
      <c r="BA573" s="87">
        <f>SUM(BB573:BK573)</f>
        <v>0</v>
      </c>
      <c r="BB573" s="87">
        <f>IF($D573="是",I573-J573,0)</f>
        <v>0</v>
      </c>
      <c r="BC573" s="87">
        <f>IF($D573="是",K573-L573,0)</f>
        <v>0</v>
      </c>
      <c r="BD573" s="87">
        <f>IF($D573="是",M573-N573,0)</f>
        <v>0</v>
      </c>
      <c r="BE573" s="87">
        <f>IF($D573="是",O573-P573,0)</f>
        <v>0</v>
      </c>
      <c r="BF573" s="87">
        <f>IF($D573="是",Q573-R573,0)</f>
        <v>0</v>
      </c>
      <c r="BG573" s="87">
        <f>IF($D573="是",S573-T573,0)</f>
        <v>0</v>
      </c>
      <c r="BH573" s="87">
        <f>IF($D573="是",U573-V573,0)</f>
        <v>0</v>
      </c>
      <c r="BI573" s="87">
        <f>IF($D573="是",W573-X573,0)</f>
        <v>0</v>
      </c>
      <c r="BJ573" s="87">
        <f>IF($D573="是",Y573-Z573,0)</f>
        <v>0</v>
      </c>
      <c r="BK573" s="87">
        <f>IF($D573="是",AA573-AB573,0)</f>
        <v>0</v>
      </c>
      <c r="BL573" s="87">
        <f>SUM(BM573:BT573)</f>
        <v>0</v>
      </c>
      <c r="BM573" s="87">
        <f>IF($D573="是",AD573-AE573,0)</f>
        <v>0</v>
      </c>
      <c r="BN573" s="87">
        <f>IF($D573="是",AF573-AG573,0)</f>
        <v>0</v>
      </c>
      <c r="BO573" s="87">
        <f>IF($D573="是",AH573-AI573,0)</f>
        <v>0</v>
      </c>
      <c r="BP573" s="87">
        <f>IF($D573="是",AJ573-AK573,0)</f>
        <v>0</v>
      </c>
      <c r="BQ573" s="87">
        <f>IF($D573="是",AL573-AM573,0)</f>
        <v>0</v>
      </c>
      <c r="BR573" s="87">
        <f>IF($D573="是",AN573-AO573,0)</f>
        <v>0</v>
      </c>
      <c r="BS573" s="87">
        <f>IF($D573="是",AP573-AQ573,0)</f>
        <v>0</v>
      </c>
      <c r="BT573" s="96">
        <f>IF($D573="是",AR573-AS573,0)</f>
        <v>0</v>
      </c>
    </row>
    <row r="574" spans="1:72" s="16" customFormat="1">
      <c r="A574" s="100"/>
      <c r="B574" s="100"/>
      <c r="C574" s="100"/>
      <c r="D574" s="100"/>
      <c r="E574" s="101"/>
      <c r="F574" s="101"/>
      <c r="G574" s="100"/>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0"/>
      <c r="AV574" s="100"/>
      <c r="AW574" s="100"/>
      <c r="AX574" s="100"/>
    </row>
    <row r="575" spans="1:72" s="102" customFormat="1">
      <c r="C575" s="103"/>
      <c r="D575" s="103"/>
    </row>
    <row r="576" spans="1:72" s="102" customFormat="1">
      <c r="C576" s="103"/>
      <c r="D576" s="103"/>
    </row>
    <row r="579" spans="2:2">
      <c r="B579" s="103"/>
    </row>
  </sheetData>
  <sheetProtection password="C66D" sheet="1" objects="1" scenarios="1" formatCells="0" formatColumns="0" formatRows="0"/>
  <phoneticPr fontId="4" type="noConversion"/>
  <dataValidations count="4">
    <dataValidation type="list" allowBlank="1" showInputMessage="1" showErrorMessage="1" sqref="C3 D13:D573">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I36" sqref="I36"/>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30" t="s">
        <v>203</v>
      </c>
      <c r="B2" s="3330"/>
      <c r="C2" s="3330"/>
      <c r="D2" s="1973" t="s">
        <v>204</v>
      </c>
      <c r="E2" s="106" t="s">
        <v>205</v>
      </c>
      <c r="F2" s="1982"/>
      <c r="G2" s="1197"/>
      <c r="H2" s="1198"/>
      <c r="I2" s="1199" t="s">
        <v>858</v>
      </c>
      <c r="J2" s="1982"/>
      <c r="K2" s="1982"/>
      <c r="L2" s="1982"/>
    </row>
    <row r="3" spans="1:16" ht="15.75" thickBot="1">
      <c r="A3" s="3331" t="s">
        <v>206</v>
      </c>
      <c r="B3" s="3331"/>
      <c r="C3" s="3331"/>
      <c r="D3" s="107">
        <f>'数据-基础表'!AY6</f>
        <v>158684</v>
      </c>
      <c r="E3" s="107">
        <f>'数据-基础表'!AZ5</f>
        <v>457656.17999999993</v>
      </c>
      <c r="F3" s="1982"/>
      <c r="G3" s="280" t="s">
        <v>859</v>
      </c>
      <c r="H3" s="275" t="s">
        <v>860</v>
      </c>
      <c r="I3" s="1974">
        <f>ROUND('数据-基础表'!B3/'数据-基础表'!A3,2)</f>
        <v>2.88</v>
      </c>
      <c r="J3" s="1982"/>
      <c r="K3" s="1982"/>
      <c r="L3" s="1982"/>
    </row>
    <row r="4" spans="1:16" ht="15">
      <c r="A4" s="3332"/>
      <c r="B4" s="3333"/>
      <c r="C4" s="3334"/>
      <c r="D4" s="108" t="s">
        <v>204</v>
      </c>
      <c r="E4" s="109" t="s">
        <v>205</v>
      </c>
      <c r="F4" s="1982"/>
      <c r="G4" s="1200"/>
      <c r="H4" s="275" t="s">
        <v>861</v>
      </c>
      <c r="I4" s="1974">
        <f>ROUND(SUMIF('数据-基础表'!I9:AS9,"地上",'数据-基础表'!I5:AS5)/'数据-基础表'!A3,2)</f>
        <v>2.1</v>
      </c>
      <c r="J4" s="1982"/>
      <c r="K4" s="1982"/>
      <c r="L4" s="1982"/>
    </row>
    <row r="5" spans="1:16">
      <c r="A5" s="110" t="s">
        <v>207</v>
      </c>
      <c r="B5" s="3335" t="s">
        <v>230</v>
      </c>
      <c r="C5" s="3335"/>
      <c r="D5" s="111">
        <f>ROUND($D$3*E5/$E$3,2)</f>
        <v>106759.16</v>
      </c>
      <c r="E5" s="112">
        <f>SUMIF('数据-基础表'!$11:$11,"住宅",'数据-基础表'!$5:$5)</f>
        <v>307901.16999999993</v>
      </c>
      <c r="F5" s="1982"/>
      <c r="G5" s="280" t="s">
        <v>862</v>
      </c>
      <c r="H5" s="275" t="s">
        <v>860</v>
      </c>
      <c r="I5" s="1974">
        <f>ROUND(E31/D31,2)</f>
        <v>2.88</v>
      </c>
      <c r="J5" s="1982"/>
      <c r="K5" s="1982"/>
      <c r="L5" s="1982"/>
    </row>
    <row r="6" spans="1:16" ht="15" thickBot="1">
      <c r="A6" s="113"/>
      <c r="B6" s="3335" t="s">
        <v>208</v>
      </c>
      <c r="C6" s="3335"/>
      <c r="D6" s="111">
        <f>ROUND($D$3*E6/$E$3,2)</f>
        <v>51924.84</v>
      </c>
      <c r="E6" s="112">
        <f>E3-E5</f>
        <v>149755.01</v>
      </c>
      <c r="F6" s="1982"/>
      <c r="G6" s="1200"/>
      <c r="H6" s="275" t="s">
        <v>861</v>
      </c>
      <c r="I6" s="1974">
        <f>ROUND(F31/D31,2)</f>
        <v>2.1</v>
      </c>
      <c r="J6" s="1982"/>
      <c r="K6" s="1982"/>
      <c r="L6" s="1982"/>
    </row>
    <row r="7" spans="1:16" ht="15">
      <c r="A7" s="3327"/>
      <c r="B7" s="3328"/>
      <c r="C7" s="3329"/>
      <c r="D7" s="108" t="s">
        <v>204</v>
      </c>
      <c r="E7" s="114" t="s">
        <v>231</v>
      </c>
      <c r="F7" s="1982"/>
      <c r="G7" s="1155" t="s">
        <v>1647</v>
      </c>
      <c r="H7" s="1156"/>
      <c r="I7" s="1845">
        <v>2.1</v>
      </c>
      <c r="J7" s="1982"/>
      <c r="K7" s="1982"/>
      <c r="L7" s="1982"/>
    </row>
    <row r="8" spans="1:16">
      <c r="A8" s="110" t="s">
        <v>209</v>
      </c>
      <c r="B8" s="115" t="s">
        <v>210</v>
      </c>
      <c r="C8" s="111" t="s">
        <v>211</v>
      </c>
      <c r="D8" s="111">
        <f t="shared" ref="D8:D15" si="0">ROUND($D$3*E8/$E$3,2)</f>
        <v>112405.31</v>
      </c>
      <c r="E8" s="116">
        <f>SUMIF('数据-基础表'!BB10:BK10,"地上",'数据-基础表'!BB5:BK5)</f>
        <v>324185.06999999995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112405.31</v>
      </c>
      <c r="E16" s="120">
        <f>SUM(E8:E15)</f>
        <v>324185.06999999995</v>
      </c>
      <c r="F16" s="1982"/>
      <c r="G16" s="1984"/>
      <c r="H16" s="967" t="s">
        <v>219</v>
      </c>
      <c r="I16" s="968"/>
      <c r="J16" s="1982"/>
      <c r="K16" s="3321" t="s">
        <v>2570</v>
      </c>
      <c r="L16" s="3322"/>
      <c r="M16" s="3322"/>
      <c r="N16" s="3322"/>
      <c r="O16" s="3322"/>
      <c r="P16" s="3323"/>
    </row>
    <row r="17" spans="1:19" ht="15">
      <c r="A17" s="121" t="s">
        <v>216</v>
      </c>
      <c r="B17" s="122" t="s">
        <v>217</v>
      </c>
      <c r="C17" s="2294" t="s">
        <v>2314</v>
      </c>
      <c r="D17" s="108" t="s">
        <v>204</v>
      </c>
      <c r="E17" s="124" t="s">
        <v>205</v>
      </c>
      <c r="F17" s="125"/>
      <c r="G17" s="1365"/>
      <c r="H17" s="969" t="s">
        <v>218</v>
      </c>
      <c r="I17" s="970" t="s">
        <v>2313</v>
      </c>
      <c r="J17" s="1982"/>
      <c r="K17" s="3324" t="s">
        <v>2571</v>
      </c>
      <c r="L17" s="3325"/>
      <c r="M17" s="3326"/>
      <c r="N17" s="3324" t="s">
        <v>2572</v>
      </c>
      <c r="O17" s="3325"/>
      <c r="P17" s="3326"/>
      <c r="R17" s="2295" t="s">
        <v>2312</v>
      </c>
      <c r="S17" s="144"/>
    </row>
    <row r="18" spans="1:19" ht="15">
      <c r="A18" s="117"/>
      <c r="B18" s="128"/>
      <c r="C18" s="129"/>
      <c r="D18" s="2663"/>
      <c r="E18" s="130" t="s">
        <v>220</v>
      </c>
      <c r="F18" s="131" t="s">
        <v>221</v>
      </c>
      <c r="G18" s="1366" t="s">
        <v>222</v>
      </c>
      <c r="H18" s="971" t="s">
        <v>223</v>
      </c>
      <c r="I18" s="972" t="s">
        <v>224</v>
      </c>
      <c r="J18" s="1982"/>
      <c r="K18" s="2625" t="s">
        <v>2573</v>
      </c>
      <c r="L18" s="2626" t="s">
        <v>2574</v>
      </c>
      <c r="M18" s="2627" t="s">
        <v>2575</v>
      </c>
      <c r="N18" s="2625" t="s">
        <v>2573</v>
      </c>
      <c r="O18" s="2626" t="s">
        <v>2574</v>
      </c>
      <c r="P18" s="2627" t="s">
        <v>2575</v>
      </c>
      <c r="R18" s="2296" t="s">
        <v>2310</v>
      </c>
      <c r="S18" s="2296" t="s">
        <v>2311</v>
      </c>
    </row>
    <row r="19" spans="1:19">
      <c r="A19" s="133"/>
      <c r="B19" s="115" t="s">
        <v>225</v>
      </c>
      <c r="C19" s="3045" t="s">
        <v>2985</v>
      </c>
      <c r="D19" s="111">
        <f t="shared" ref="D19:D26" si="1">ROUND($D$3*E19/$E$3,2)</f>
        <v>106759.16</v>
      </c>
      <c r="E19" s="134">
        <f t="shared" ref="E19:E26" si="2">SUM(F19:G19)</f>
        <v>307901.16999999993</v>
      </c>
      <c r="F19" s="135">
        <f>'数据-基础表'!I5</f>
        <v>307901.16999999993</v>
      </c>
      <c r="G19" s="1367"/>
      <c r="H19" s="973">
        <f>ROUND($D$3*I19/$E$3,2)</f>
        <v>44109.919999999998</v>
      </c>
      <c r="I19" s="116">
        <f>IF($I$17="自定义",P19,M19)</f>
        <v>127216.22</v>
      </c>
      <c r="J19" s="1982"/>
      <c r="K19" s="2628">
        <f t="shared" ref="K19:K26" si="3">ROUND(E$28*E19/E$27,2)</f>
        <v>118269.41</v>
      </c>
      <c r="L19" s="275">
        <f t="shared" ref="L19:L26" si="4">ROUND(IF(COUNTIF(C19,"*住宅*")&gt;0,E$29*E19/E$32,0),2)</f>
        <v>8946.81</v>
      </c>
      <c r="M19" s="2629">
        <f>K19+L19</f>
        <v>127216.22</v>
      </c>
      <c r="N19" s="2630"/>
      <c r="O19" s="2631"/>
      <c r="P19" s="2632">
        <f>N19+O19</f>
        <v>0</v>
      </c>
      <c r="R19" s="275">
        <f t="shared" ref="R19:S26" si="5">D19+H19</f>
        <v>150869.08000000002</v>
      </c>
      <c r="S19" s="2297">
        <f t="shared" si="5"/>
        <v>435117.3899999999</v>
      </c>
    </row>
    <row r="20" spans="1:19">
      <c r="A20" s="138"/>
      <c r="B20" s="115" t="s">
        <v>226</v>
      </c>
      <c r="C20" s="3045" t="s">
        <v>2986</v>
      </c>
      <c r="D20" s="111">
        <f t="shared" si="1"/>
        <v>5646.15</v>
      </c>
      <c r="E20" s="134">
        <f t="shared" si="2"/>
        <v>16283.900000000001</v>
      </c>
      <c r="F20" s="135">
        <f>'数据-基础表'!K5</f>
        <v>16283.900000000001</v>
      </c>
      <c r="G20" s="1367"/>
      <c r="H20" s="973">
        <f t="shared" ref="H20:H26" si="6">ROUND($D$3*I20/$E$3,2)</f>
        <v>2168.77</v>
      </c>
      <c r="I20" s="116">
        <f t="shared" ref="I20:I26" si="7">IF($I$17="自定义",P20,M20)</f>
        <v>6254.89</v>
      </c>
      <c r="J20" s="1982"/>
      <c r="K20" s="2628">
        <f t="shared" si="3"/>
        <v>6254.89</v>
      </c>
      <c r="L20" s="275">
        <f t="shared" si="4"/>
        <v>0</v>
      </c>
      <c r="M20" s="2629">
        <f t="shared" ref="M20:M26" si="8">K20+L20</f>
        <v>6254.89</v>
      </c>
      <c r="N20" s="2630"/>
      <c r="O20" s="2631"/>
      <c r="P20" s="2632">
        <f t="shared" ref="P20:P26" si="9">N20+O20</f>
        <v>0</v>
      </c>
      <c r="R20" s="275">
        <f t="shared" si="5"/>
        <v>7814.92</v>
      </c>
      <c r="S20" s="2297">
        <f t="shared" si="5"/>
        <v>22538.79</v>
      </c>
    </row>
    <row r="21" spans="1:19">
      <c r="A21" s="138"/>
      <c r="B21" s="115" t="s">
        <v>226</v>
      </c>
      <c r="C21" s="3045"/>
      <c r="D21" s="111">
        <f t="shared" si="1"/>
        <v>0</v>
      </c>
      <c r="E21" s="134">
        <f t="shared" si="2"/>
        <v>0</v>
      </c>
      <c r="F21" s="135"/>
      <c r="G21" s="1367"/>
      <c r="H21" s="973">
        <f t="shared" si="6"/>
        <v>0</v>
      </c>
      <c r="I21" s="116">
        <f t="shared" si="7"/>
        <v>0</v>
      </c>
      <c r="J21" s="1982"/>
      <c r="K21" s="2628">
        <f t="shared" si="3"/>
        <v>0</v>
      </c>
      <c r="L21" s="275">
        <f t="shared" si="4"/>
        <v>0</v>
      </c>
      <c r="M21" s="2629">
        <f t="shared" si="8"/>
        <v>0</v>
      </c>
      <c r="N21" s="2630"/>
      <c r="O21" s="2631"/>
      <c r="P21" s="2632">
        <f t="shared" si="9"/>
        <v>0</v>
      </c>
      <c r="R21" s="275">
        <f t="shared" si="5"/>
        <v>0</v>
      </c>
      <c r="S21" s="2297">
        <f t="shared" si="5"/>
        <v>0</v>
      </c>
    </row>
    <row r="22" spans="1:19">
      <c r="A22" s="138"/>
      <c r="B22" s="115" t="s">
        <v>226</v>
      </c>
      <c r="C22" s="1364"/>
      <c r="D22" s="111">
        <f t="shared" si="1"/>
        <v>0</v>
      </c>
      <c r="E22" s="134">
        <f t="shared" si="2"/>
        <v>0</v>
      </c>
      <c r="F22" s="140"/>
      <c r="G22" s="1368"/>
      <c r="H22" s="973">
        <f t="shared" si="6"/>
        <v>0</v>
      </c>
      <c r="I22" s="116">
        <f t="shared" si="7"/>
        <v>0</v>
      </c>
      <c r="J22" s="1982"/>
      <c r="K22" s="2628">
        <f t="shared" si="3"/>
        <v>0</v>
      </c>
      <c r="L22" s="275">
        <f t="shared" si="4"/>
        <v>0</v>
      </c>
      <c r="M22" s="2629">
        <f t="shared" si="8"/>
        <v>0</v>
      </c>
      <c r="N22" s="2630"/>
      <c r="O22" s="2631"/>
      <c r="P22" s="2632">
        <f t="shared" si="9"/>
        <v>0</v>
      </c>
      <c r="R22" s="275">
        <f t="shared" si="5"/>
        <v>0</v>
      </c>
      <c r="S22" s="2297">
        <f t="shared" si="5"/>
        <v>0</v>
      </c>
    </row>
    <row r="23" spans="1:19">
      <c r="A23" s="138"/>
      <c r="B23" s="115" t="s">
        <v>226</v>
      </c>
      <c r="C23" s="139"/>
      <c r="D23" s="111">
        <f>ROUND($D$3*E23/$E$3,2)</f>
        <v>0</v>
      </c>
      <c r="E23" s="134">
        <f>SUM(F23:G23)</f>
        <v>0</v>
      </c>
      <c r="F23" s="140"/>
      <c r="G23" s="1368"/>
      <c r="H23" s="973">
        <f>ROUND($D$3*I23/$E$3,2)</f>
        <v>0</v>
      </c>
      <c r="I23" s="116">
        <f t="shared" si="7"/>
        <v>0</v>
      </c>
      <c r="J23" s="1982"/>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8"/>
      <c r="H24" s="973">
        <f>ROUND($D$3*I24/$E$3,2)</f>
        <v>0</v>
      </c>
      <c r="I24" s="116">
        <f t="shared" si="7"/>
        <v>0</v>
      </c>
      <c r="J24" s="1982"/>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8"/>
      <c r="H25" s="110">
        <f t="shared" si="6"/>
        <v>0</v>
      </c>
      <c r="I25" s="116">
        <f t="shared" si="7"/>
        <v>0</v>
      </c>
      <c r="J25" s="1982"/>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8"/>
      <c r="H26" s="110">
        <f t="shared" si="6"/>
        <v>0</v>
      </c>
      <c r="I26" s="116">
        <f t="shared" si="7"/>
        <v>0</v>
      </c>
      <c r="J26" s="1982"/>
      <c r="K26" s="2633">
        <f t="shared" si="3"/>
        <v>0</v>
      </c>
      <c r="L26" s="280">
        <f t="shared" si="4"/>
        <v>0</v>
      </c>
      <c r="M26" s="146">
        <f t="shared" si="8"/>
        <v>0</v>
      </c>
      <c r="N26" s="2634"/>
      <c r="O26" s="2635"/>
      <c r="P26" s="2636">
        <f t="shared" si="9"/>
        <v>0</v>
      </c>
      <c r="R26" s="275">
        <f t="shared" si="5"/>
        <v>0</v>
      </c>
      <c r="S26" s="2297">
        <f t="shared" si="5"/>
        <v>0</v>
      </c>
    </row>
    <row r="27" spans="1:19" ht="15.75" thickBot="1">
      <c r="A27" s="138"/>
      <c r="B27" s="111"/>
      <c r="C27" s="127" t="s">
        <v>215</v>
      </c>
      <c r="D27" s="134">
        <f>SUM(D19:D26)</f>
        <v>112405.31</v>
      </c>
      <c r="E27" s="143">
        <f>IF(SUM(E19:E26)='数据-基础表'!BA5,SUM(E19:E26),IF(F27="地上面积有误","面积有误","地下面积有误"))</f>
        <v>324185.06999999995</v>
      </c>
      <c r="F27" s="134">
        <f>IF(SUM(F19:F26)=E8,SUM(F19:F26),"地上面积有误")</f>
        <v>324185.06999999995</v>
      </c>
      <c r="G27" s="112">
        <f>SUM(G19:G26)</f>
        <v>0</v>
      </c>
      <c r="H27" s="974">
        <f>SUM(H19:H26)</f>
        <v>46278.689999999995</v>
      </c>
      <c r="I27" s="975">
        <f>SUM(I19:I26)</f>
        <v>133471.11000000002</v>
      </c>
      <c r="J27" s="1982"/>
      <c r="K27" s="2637">
        <f>SUM(K19:K26)</f>
        <v>124524.3</v>
      </c>
      <c r="L27" s="2638">
        <f>SUM(L19:L26)</f>
        <v>8946.81</v>
      </c>
      <c r="M27" s="2639">
        <f>SUM(M19:M26)</f>
        <v>133471.11000000002</v>
      </c>
      <c r="N27" s="2637">
        <f t="shared" ref="N27:O27" si="10">SUM(N19:N26)</f>
        <v>0</v>
      </c>
      <c r="O27" s="2638">
        <f t="shared" si="10"/>
        <v>0</v>
      </c>
      <c r="P27" s="2640">
        <f>SUM(P19:P26)</f>
        <v>0</v>
      </c>
      <c r="R27" s="2301">
        <f>IF(SUM(R19:R26)=$D$3,SUM(R19:R26),SUM(R19:R26)&amp;"误差"&amp;ROUND(SUM(R19:R26)-$D$3,2))</f>
        <v>158684.00000000003</v>
      </c>
      <c r="S27" s="275">
        <f>IF(SUM(S19:S26)=$E$3,SUM(S19:S26),SUM(S19:S26)&amp;"误差"&amp;ROUND(SUM(S19:S26)-E3,2))</f>
        <v>457656.17999999988</v>
      </c>
    </row>
    <row r="28" spans="1:19">
      <c r="A28" s="138"/>
      <c r="B28" s="115" t="s">
        <v>227</v>
      </c>
      <c r="C28" s="136" t="s">
        <v>228</v>
      </c>
      <c r="D28" s="111">
        <f>ROUND($D$3*E28/$E$3,2)</f>
        <v>43176.55</v>
      </c>
      <c r="E28" s="134">
        <f>SUM(F28:G28)</f>
        <v>124524.3</v>
      </c>
      <c r="F28" s="144">
        <f>'数据-基础表'!BQ5+'数据-基础表'!BS5</f>
        <v>0</v>
      </c>
      <c r="G28" s="145">
        <f>'数据-基础表'!BR5+'数据-基础表'!BT5</f>
        <v>124524.3</v>
      </c>
      <c r="H28" s="1982"/>
      <c r="I28" s="1982"/>
      <c r="J28" s="1982"/>
      <c r="K28" s="1982"/>
      <c r="L28" s="1982"/>
    </row>
    <row r="29" spans="1:19">
      <c r="A29" s="138"/>
      <c r="B29" s="115" t="s">
        <v>227</v>
      </c>
      <c r="C29" s="2309" t="s">
        <v>2321</v>
      </c>
      <c r="D29" s="111">
        <f>ROUND($D$3*E29/$E$3,2)</f>
        <v>3102.14</v>
      </c>
      <c r="E29" s="134">
        <f>SUM(F29:G29)</f>
        <v>8946.8099999999977</v>
      </c>
      <c r="F29" s="144">
        <f>'数据-基础表'!BM5+'数据-基础表'!BO5</f>
        <v>8946.8099999999977</v>
      </c>
      <c r="G29" s="146">
        <f>'数据-基础表'!BN5+'数据-基础表'!BP5</f>
        <v>0</v>
      </c>
      <c r="H29" s="1982"/>
      <c r="I29" s="1982"/>
      <c r="J29" s="1982"/>
      <c r="K29" s="1982"/>
      <c r="L29" s="1982"/>
    </row>
    <row r="30" spans="1:19">
      <c r="A30" s="138"/>
      <c r="B30" s="111"/>
      <c r="C30" s="147" t="s">
        <v>215</v>
      </c>
      <c r="D30" s="134">
        <f>SUM(D28:D29)</f>
        <v>46278.69</v>
      </c>
      <c r="E30" s="134">
        <f>SUM(E28:E29)</f>
        <v>133471.10999999999</v>
      </c>
      <c r="F30" s="134">
        <f>SUM(F28:F29)</f>
        <v>8946.8099999999977</v>
      </c>
      <c r="G30" s="112">
        <f>SUM(G28:G29)</f>
        <v>124524.3</v>
      </c>
      <c r="H30" s="1982"/>
      <c r="I30" s="1982"/>
      <c r="J30" s="1982"/>
      <c r="K30" s="1982"/>
      <c r="L30" s="1982"/>
    </row>
    <row r="31" spans="1:19" ht="32.25" customHeight="1" thickBot="1">
      <c r="A31" s="1369"/>
      <c r="B31" s="1370" t="s">
        <v>229</v>
      </c>
      <c r="C31" s="2326" t="s">
        <v>2323</v>
      </c>
      <c r="D31" s="1371">
        <f>D27+D30</f>
        <v>158684</v>
      </c>
      <c r="E31" s="1371">
        <f>E27+E30</f>
        <v>457656.17999999993</v>
      </c>
      <c r="F31" s="1372">
        <f>F27+F30</f>
        <v>333131.87999999995</v>
      </c>
      <c r="G31" s="1373">
        <f>G27+G30</f>
        <v>124524.3</v>
      </c>
      <c r="H31" s="1982"/>
      <c r="I31" s="1982"/>
      <c r="J31" s="1982"/>
      <c r="K31" s="1982"/>
      <c r="L31" s="1982"/>
    </row>
    <row r="32" spans="1:19">
      <c r="A32" s="1982"/>
      <c r="B32" s="2359" t="s">
        <v>2322</v>
      </c>
      <c r="C32" s="2668"/>
      <c r="D32" s="1200"/>
      <c r="E32" s="1200">
        <f>SUMIF(C19:C26,"*住宅*",E19:E26)</f>
        <v>307901.16999999993</v>
      </c>
      <c r="F32" s="1200"/>
      <c r="G32" s="1200"/>
    </row>
    <row r="33" spans="4:9">
      <c r="D33" s="1986"/>
    </row>
    <row r="35" spans="4:9">
      <c r="I35" s="1983">
        <f ca="1">结果表!G19*10000/'数据-汇总表'!F27</f>
        <v>1786.3561699494678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4">
        <f>项目基本情况!D3</f>
        <v>43031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1"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2324</v>
      </c>
      <c r="AI5" s="171" t="s">
        <v>2293</v>
      </c>
      <c r="AJ5" s="171" t="s">
        <v>258</v>
      </c>
      <c r="AK5" s="159" t="s">
        <v>259</v>
      </c>
      <c r="AL5" s="159" t="s">
        <v>260</v>
      </c>
      <c r="AM5" s="172" t="s">
        <v>261</v>
      </c>
      <c r="AN5" s="2411"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68465</v>
      </c>
      <c r="F6" s="174">
        <f>SUMIF(项目基本情况!D$15:I$15,C6,项目基本情况!D$19:I$19)</f>
        <v>69.680000000000007</v>
      </c>
      <c r="G6" s="175">
        <f>IF(ISERROR(ROUND(POWER(1+H6,D6-F6)*(POWER(1+H6,F6)-1)/(POWER(1+H6,D6)-1),3)),0,ROUND(POWER(1+H6,D6-F6)*(POWER(1+H6,F6)-1)/(POWER(1+H6,D6)-1),3))</f>
        <v>0.999</v>
      </c>
      <c r="H6" s="3046">
        <v>0.04</v>
      </c>
      <c r="I6" s="3046">
        <v>4.4999999999999998E-2</v>
      </c>
      <c r="J6" s="176"/>
      <c r="K6" s="179">
        <f>SUMIF('数据-汇总表'!C$19:C$33,'数据-取费表'!A6,'数据-汇总表'!E$19:E$33)</f>
        <v>307901.16999999993</v>
      </c>
      <c r="L6" s="3047">
        <v>2200</v>
      </c>
      <c r="M6" s="177">
        <f t="shared" ref="M6:M14" si="0">ROUND(K6*L6/10000,0)</f>
        <v>67738</v>
      </c>
      <c r="N6" s="3048">
        <v>0</v>
      </c>
      <c r="O6" s="177">
        <f>IF($N$5="成新度","——",ROUND(M6*N6,0))</f>
        <v>0</v>
      </c>
      <c r="P6" s="178">
        <f>IF($N$5="成新度","——",M6-O6)</f>
        <v>67738</v>
      </c>
      <c r="Q6" s="3049">
        <v>0.1</v>
      </c>
      <c r="R6" s="179">
        <f>SUMIF('数据-汇总表'!C$19:C$33,A6,'数据-汇总表'!R$19:R$33)</f>
        <v>150869.08000000002</v>
      </c>
      <c r="S6" s="132">
        <f>IF('数据-汇总表'!$I$17="按面积比例",SUMIF('数据-汇总表'!C$19:C$33,A6,'数据-汇总表'!K$19:K$33),SUMIF('数据-汇总表'!C$19:C$33,A6,'数据-汇总表'!N$19:N$33))</f>
        <v>118269.41</v>
      </c>
      <c r="T6" s="2232">
        <f>IF($T$4="按面积比例",IF(ISERROR(ROUND($M$14*S6/S$16,0)),"0",ROUND($M$14*S6/S$16,0)),"需自行计算录入")</f>
        <v>17741</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298" t="str">
        <f>'数据-汇总表'!C20</f>
        <v>商业</v>
      </c>
      <c r="B7" s="2333" t="str">
        <f t="shared" ref="B7:B13" si="1">IF(A7=0,"","经营性")</f>
        <v>经营性</v>
      </c>
      <c r="C7" s="173" t="s">
        <v>2974</v>
      </c>
      <c r="D7" s="2304">
        <f>SUMIF(项目基本情况!D$15:I$15,C7,项目基本情况!D$18:I$18)</f>
        <v>40</v>
      </c>
      <c r="E7" s="2305">
        <f>IF(B7="","",SUMIF(项目基本情况!D$15:I$15,C7,项目基本情况!D$17:I$17))</f>
        <v>57508</v>
      </c>
      <c r="F7" s="174">
        <f>SUMIF(项目基本情况!D$15:I$15,C7,项目基本情况!D$19:I$19)</f>
        <v>39.659999999999997</v>
      </c>
      <c r="G7" s="175">
        <f t="shared" ref="G7:G11" si="2">IF(ISERROR(ROUND(POWER(1+H7,D7-F7)*(POWER(1+H7,F7)-1)/(POWER(1+H7,D7)-1),3)),0,ROUND(POWER(1+H7,D7-F7)*(POWER(1+H7,F7)-1)/(POWER(1+H7,D7)-1),3))</f>
        <v>0.997</v>
      </c>
      <c r="H7" s="3046">
        <v>0.05</v>
      </c>
      <c r="I7" s="3046">
        <v>5.5E-2</v>
      </c>
      <c r="J7" s="176"/>
      <c r="K7" s="179">
        <f>SUMIF('数据-汇总表'!C$19:C$33,'数据-取费表'!A7,'数据-汇总表'!E$19:E$33)</f>
        <v>16283.900000000001</v>
      </c>
      <c r="L7" s="3047">
        <v>2000</v>
      </c>
      <c r="M7" s="177">
        <f t="shared" si="0"/>
        <v>3257</v>
      </c>
      <c r="N7" s="3048">
        <v>0</v>
      </c>
      <c r="O7" s="177">
        <f t="shared" ref="O7:O14" si="3">IF($N$5="成新度","——",ROUND(M7*N7,0))</f>
        <v>0</v>
      </c>
      <c r="P7" s="178">
        <f t="shared" ref="P7:P14" si="4">IF($N$5="成新度","——",M7-O7)</f>
        <v>3257</v>
      </c>
      <c r="Q7" s="3049">
        <v>0.15</v>
      </c>
      <c r="R7" s="179">
        <f>SUMIF('数据-汇总表'!C$19:C$33,A7,'数据-汇总表'!R$19:R$33)</f>
        <v>7814.92</v>
      </c>
      <c r="S7" s="132">
        <f>IF('数据-汇总表'!$I$17="按面积比例",SUMIF('数据-汇总表'!C$19:C$33,A7,'数据-汇总表'!K$19:K$33),SUMIF('数据-汇总表'!C$19:C$33,A7,'数据-汇总表'!N$19:N$33))</f>
        <v>6254.89</v>
      </c>
      <c r="T7" s="2232">
        <f t="shared" ref="T7:T13" si="5">IF($T$4="按面积比例",IF(ISERROR(ROUND($M$14*S7/S$16,0)),"0",ROUND($M$14*S7/S$16,0)),"需自行计算录入")</f>
        <v>938</v>
      </c>
      <c r="U7" s="180">
        <v>2.5</v>
      </c>
      <c r="V7" s="181">
        <v>0.03</v>
      </c>
      <c r="W7" s="181">
        <v>0.15</v>
      </c>
      <c r="X7" s="2317"/>
      <c r="Y7" s="182">
        <v>1</v>
      </c>
      <c r="Z7" s="183"/>
      <c r="AA7" s="176"/>
      <c r="AB7" s="176"/>
      <c r="AC7" s="2320"/>
      <c r="AD7" s="184"/>
      <c r="AE7" s="971">
        <f t="shared" ref="AE7:AE13" ca="1" si="6">IF(AN7="",0,SUMIF(INDIRECT("'"&amp;AN7&amp;"'"&amp;"!E:E"),$AE$5,INDIRECT("'"&amp;AN7&amp;"'"&amp;"!F:F")))</f>
        <v>39.659999999999997</v>
      </c>
      <c r="AF7" s="141"/>
      <c r="AG7" s="1212">
        <f t="shared" ref="AG7:AG13" si="7">IF(AF7="",0,AE7-AF7)</f>
        <v>0</v>
      </c>
      <c r="AH7" s="141"/>
      <c r="AI7" s="187">
        <v>365</v>
      </c>
      <c r="AJ7" s="188"/>
      <c r="AK7" s="189">
        <v>1.4999999999999999E-2</v>
      </c>
      <c r="AL7" s="190">
        <v>1.5E-3</v>
      </c>
      <c r="AM7" s="2410">
        <v>0.01</v>
      </c>
      <c r="AN7" s="2412" t="s">
        <v>2987</v>
      </c>
      <c r="AO7" s="1998"/>
      <c r="AP7" s="1203">
        <f t="shared" ref="AP7:AP13" si="8">ROUND(1-1/(1+H7)^F7,3)</f>
        <v>0.85599999999999998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6"/>
      <c r="AN11" s="2412"/>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6"/>
      <c r="AN12" s="2412"/>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299" t="s">
        <v>2315</v>
      </c>
      <c r="B14" s="2302" t="s">
        <v>1681</v>
      </c>
      <c r="C14" s="2303" t="s">
        <v>2315</v>
      </c>
      <c r="D14" s="2304"/>
      <c r="E14" s="2305"/>
      <c r="F14" s="174"/>
      <c r="G14" s="175"/>
      <c r="H14" s="2306"/>
      <c r="I14" s="2306"/>
      <c r="J14" s="2306"/>
      <c r="K14" s="179">
        <f>SUMIF('数据-汇总表'!C$19:C$33,'数据-取费表'!A14,'数据-汇总表'!E$19:E$33)</f>
        <v>124524.3</v>
      </c>
      <c r="L14" s="193">
        <v>1500</v>
      </c>
      <c r="M14" s="177">
        <f t="shared" si="0"/>
        <v>18679</v>
      </c>
      <c r="N14" s="194">
        <v>0</v>
      </c>
      <c r="O14" s="177">
        <f t="shared" si="3"/>
        <v>0</v>
      </c>
      <c r="P14" s="178">
        <f t="shared" si="4"/>
        <v>18679</v>
      </c>
      <c r="Q14" s="2314"/>
      <c r="R14" s="179"/>
      <c r="S14" s="132"/>
      <c r="T14" s="2313"/>
      <c r="U14" s="973"/>
      <c r="V14" s="2316"/>
      <c r="W14" s="2316"/>
      <c r="X14" s="2317"/>
      <c r="Y14" s="2318"/>
      <c r="Z14" s="136"/>
      <c r="AA14" s="2319"/>
      <c r="AB14" s="2319"/>
      <c r="AC14" s="2320"/>
      <c r="AD14" s="2317"/>
      <c r="AE14" s="971"/>
      <c r="AF14" s="2292"/>
      <c r="AG14" s="1212"/>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08" t="s">
        <v>2317</v>
      </c>
      <c r="B15" s="2302" t="s">
        <v>1681</v>
      </c>
      <c r="C15" s="2303" t="s">
        <v>2316</v>
      </c>
      <c r="D15" s="2304"/>
      <c r="E15" s="2305"/>
      <c r="F15" s="174"/>
      <c r="G15" s="175"/>
      <c r="H15" s="2306"/>
      <c r="I15" s="2306"/>
      <c r="J15" s="2306"/>
      <c r="K15" s="179">
        <f>SUMIF('数据-汇总表'!C$19:C$33,'数据-取费表'!A15,'数据-汇总表'!E$19:E$33)</f>
        <v>8946.8099999999977</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457656.17999999993</v>
      </c>
      <c r="L16" s="206">
        <f>ROUND(M16*10000/SUM(K6:K14),0)</f>
        <v>1998</v>
      </c>
      <c r="M16" s="206">
        <f>SUM(M6:M14)</f>
        <v>89674</v>
      </c>
      <c r="N16" s="207">
        <f>ROUND(SUMPRODUCT(M6:M14,N6:N14)/M16,3)</f>
        <v>0</v>
      </c>
      <c r="O16" s="206">
        <f>SUM(O6:O14)</f>
        <v>0</v>
      </c>
      <c r="P16" s="206">
        <f>SUM(P6:P14)</f>
        <v>89674</v>
      </c>
      <c r="Q16" s="208">
        <f>ROUND(SUMPRODUCT(Q6:Q13,K6:K13)/SUMPRODUCT((Q6:Q13&gt;0)*(K6:K13)),2)</f>
        <v>0.1</v>
      </c>
      <c r="R16" s="2307">
        <f>SUM(R6:R13)</f>
        <v>158684.00000000003</v>
      </c>
      <c r="S16" s="209">
        <f>SUM(S6:S13)</f>
        <v>124524.3</v>
      </c>
      <c r="T16" s="210">
        <f>IF(SUMIF(T6:T13,"&lt;9E307")=M14,SUMIF(T6:T13,"&lt;9E307"),"有误，请检查")</f>
        <v>18679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0"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20</v>
      </c>
      <c r="C27" s="2363"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30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150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60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90</v>
      </c>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61"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1"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1"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1" t="s">
        <v>2899</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1"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1"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2459</v>
      </c>
      <c r="B39" s="801">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2460</v>
      </c>
      <c r="B40" s="2501">
        <f ca="1">存贷款利率!E2</f>
        <v>4.7500000000000001E-2</v>
      </c>
      <c r="C40" s="2361"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1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1"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3"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3"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1411</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2909</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2910</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2911</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2912</v>
      </c>
      <c r="B57" s="186"/>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2913</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2914</v>
      </c>
      <c r="B59" s="186">
        <v>5</v>
      </c>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36" t="s">
        <v>1665</v>
      </c>
      <c r="B1" s="3337"/>
      <c r="C1" s="3337"/>
      <c r="D1" s="3337"/>
      <c r="E1" s="3337"/>
      <c r="F1" s="3337"/>
      <c r="G1" s="3337"/>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67.5">
      <c r="A3" s="1226" t="s">
        <v>1668</v>
      </c>
      <c r="B3" s="1227" t="s">
        <v>1655</v>
      </c>
      <c r="C3" s="3159" t="s">
        <v>3112</v>
      </c>
      <c r="D3" s="2007"/>
      <c r="E3" s="1228" t="s">
        <v>1668</v>
      </c>
      <c r="F3" s="1229" t="s">
        <v>1656</v>
      </c>
      <c r="G3" s="3105"/>
      <c r="H3" s="2006"/>
      <c r="I3" s="2006"/>
      <c r="J3" s="2006"/>
      <c r="K3" s="2006"/>
      <c r="L3" s="2006"/>
      <c r="M3" s="2006"/>
      <c r="N3" s="2006"/>
      <c r="O3" s="2006"/>
      <c r="P3" s="2006"/>
      <c r="Q3" s="2006"/>
      <c r="R3" s="2006"/>
    </row>
    <row r="4" spans="1:18" ht="14.25">
      <c r="A4" s="1228"/>
      <c r="B4" s="1230" t="s">
        <v>1669</v>
      </c>
      <c r="C4" s="3160" t="s">
        <v>2991</v>
      </c>
      <c r="D4" s="2007"/>
      <c r="E4" s="1231"/>
      <c r="F4" s="1232" t="s">
        <v>1670</v>
      </c>
      <c r="G4" s="3103"/>
      <c r="H4" s="2006"/>
      <c r="I4" s="2006"/>
      <c r="J4" s="2006"/>
      <c r="K4" s="2006"/>
      <c r="L4" s="2006"/>
      <c r="M4" s="2006"/>
      <c r="N4" s="2006"/>
      <c r="O4" s="2006"/>
      <c r="P4" s="2006"/>
      <c r="Q4" s="2006"/>
      <c r="R4" s="2006"/>
    </row>
    <row r="5" spans="1:18" ht="15" thickBot="1">
      <c r="A5" s="1228"/>
      <c r="B5" s="1230" t="s">
        <v>1671</v>
      </c>
      <c r="C5" s="3102"/>
      <c r="D5" s="2007"/>
      <c r="E5" s="1231"/>
      <c r="F5" s="1230" t="s">
        <v>2550</v>
      </c>
      <c r="G5" s="3103"/>
      <c r="H5" s="2006"/>
      <c r="I5" s="2006"/>
      <c r="J5" s="2006"/>
      <c r="K5" s="2006"/>
      <c r="L5" s="2006"/>
      <c r="M5" s="2006"/>
      <c r="N5" s="2006"/>
      <c r="O5" s="2006"/>
      <c r="P5" s="2006"/>
      <c r="Q5" s="2006"/>
      <c r="R5" s="2006"/>
    </row>
    <row r="6" spans="1:18" ht="54.75" thickBot="1">
      <c r="A6" s="1228"/>
      <c r="B6" s="1230" t="s">
        <v>1657</v>
      </c>
      <c r="C6" s="3159" t="s">
        <v>3113</v>
      </c>
      <c r="D6" s="2007"/>
      <c r="E6" s="1231"/>
      <c r="F6" s="1230" t="s">
        <v>2551</v>
      </c>
      <c r="G6" s="3103"/>
      <c r="H6" s="2006"/>
      <c r="I6" s="2006"/>
      <c r="J6" s="2006"/>
      <c r="K6" s="2006"/>
      <c r="L6" s="2006"/>
      <c r="M6" s="2006"/>
      <c r="N6" s="2006"/>
      <c r="O6" s="2006"/>
      <c r="P6" s="2006"/>
      <c r="Q6" s="2006"/>
      <c r="R6" s="2006"/>
    </row>
    <row r="7" spans="1:18" ht="54.75" thickBot="1">
      <c r="A7" s="1228"/>
      <c r="B7" s="1230" t="s">
        <v>2550</v>
      </c>
      <c r="C7" s="3159" t="s">
        <v>3114</v>
      </c>
      <c r="D7" s="2008"/>
      <c r="E7" s="1233"/>
      <c r="F7" s="1234" t="s">
        <v>1672</v>
      </c>
      <c r="G7" s="3106"/>
      <c r="H7" s="2006"/>
      <c r="I7" s="2006"/>
      <c r="J7" s="2006"/>
      <c r="K7" s="2006"/>
      <c r="L7" s="2006"/>
      <c r="M7" s="2006"/>
      <c r="N7" s="2006"/>
      <c r="O7" s="2006"/>
      <c r="P7" s="2006"/>
      <c r="Q7" s="2006"/>
      <c r="R7" s="2006"/>
    </row>
    <row r="8" spans="1:18" ht="14.25" thickBot="1">
      <c r="A8" s="1228"/>
      <c r="B8" s="1230" t="s">
        <v>2551</v>
      </c>
      <c r="C8" s="3161" t="s">
        <v>2992</v>
      </c>
      <c r="D8" s="2008"/>
      <c r="E8" s="2008"/>
      <c r="F8" s="1552"/>
      <c r="G8" s="1552"/>
      <c r="H8" s="2006"/>
      <c r="I8" s="2006"/>
      <c r="J8" s="2006"/>
      <c r="K8" s="2006"/>
      <c r="L8" s="2006"/>
      <c r="M8" s="2006"/>
      <c r="N8" s="2006"/>
      <c r="O8" s="2006"/>
      <c r="P8" s="2006"/>
      <c r="Q8" s="2006"/>
      <c r="R8" s="2006"/>
    </row>
    <row r="9" spans="1:18" ht="54">
      <c r="A9" s="1228"/>
      <c r="B9" s="1230" t="s">
        <v>1658</v>
      </c>
      <c r="C9" s="3159" t="s">
        <v>3115</v>
      </c>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4"/>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1674</v>
      </c>
      <c r="B13" s="2598"/>
      <c r="C13" s="2598"/>
      <c r="D13" s="1223"/>
      <c r="E13" s="2598"/>
      <c r="F13" s="2598"/>
      <c r="G13" s="2598"/>
    </row>
    <row r="14" spans="1:18" ht="14.25" thickBot="1">
      <c r="A14" s="1237"/>
      <c r="B14" s="1238"/>
      <c r="C14" s="1239" t="s">
        <v>1666</v>
      </c>
      <c r="D14" s="2007"/>
      <c r="E14" s="1240"/>
      <c r="F14" s="1240"/>
      <c r="G14" s="1222" t="s">
        <v>1667</v>
      </c>
    </row>
    <row r="15" spans="1:18" ht="67.5">
      <c r="A15" s="2608" t="s">
        <v>1659</v>
      </c>
      <c r="B15" s="1241" t="s">
        <v>1655</v>
      </c>
      <c r="C15" s="1242" t="str">
        <f>C3</f>
        <v>咨询对象本身所属项目较大，本地块周边为本项目其他地块，尚未开发建设，综合评价居住社区成熟度较差。</v>
      </c>
      <c r="D15" s="2007"/>
      <c r="E15" s="2605" t="s">
        <v>1660</v>
      </c>
      <c r="F15" s="1241" t="s">
        <v>1675</v>
      </c>
      <c r="G15" s="1243">
        <f>G3</f>
        <v>0</v>
      </c>
    </row>
    <row r="16" spans="1:18">
      <c r="A16" s="2609"/>
      <c r="B16" s="1244" t="s">
        <v>1669</v>
      </c>
      <c r="C16" s="1245" t="str">
        <f>C4</f>
        <v>较差</v>
      </c>
      <c r="D16" s="2007"/>
      <c r="E16" s="2606"/>
      <c r="F16" s="1246" t="s">
        <v>1670</v>
      </c>
      <c r="G16" s="1004">
        <f>G4</f>
        <v>0</v>
      </c>
    </row>
    <row r="17" spans="1:7" ht="14.25">
      <c r="A17" s="2609"/>
      <c r="B17" s="1244" t="s">
        <v>1671</v>
      </c>
      <c r="C17" s="1245">
        <f>C5</f>
        <v>0</v>
      </c>
      <c r="D17" s="2008"/>
      <c r="E17" s="2606"/>
      <c r="F17" s="1246" t="s">
        <v>1676</v>
      </c>
      <c r="G17" s="2816"/>
    </row>
    <row r="18" spans="1:7" ht="54">
      <c r="A18" s="2609"/>
      <c r="B18" s="1246" t="s">
        <v>1657</v>
      </c>
      <c r="C18" s="1004" t="str">
        <f>C6</f>
        <v>咨询对象本身所属项目较大，本地块周边道路尚未建设完善，综合评价交通便捷度较差。</v>
      </c>
      <c r="D18" s="2008"/>
      <c r="E18" s="2606"/>
      <c r="F18" s="1246" t="s">
        <v>1672</v>
      </c>
      <c r="G18" s="1004">
        <f>G7</f>
        <v>0</v>
      </c>
    </row>
    <row r="19" spans="1:7">
      <c r="A19" s="2609"/>
      <c r="B19" s="1246" t="s">
        <v>1661</v>
      </c>
      <c r="C19" s="3176" t="s">
        <v>3117</v>
      </c>
      <c r="D19" s="2007"/>
      <c r="E19" s="2606"/>
      <c r="F19" s="1230" t="s">
        <v>2550</v>
      </c>
      <c r="G19" s="1004">
        <f>G5</f>
        <v>0</v>
      </c>
    </row>
    <row r="20" spans="1:7" ht="54">
      <c r="A20" s="2609"/>
      <c r="B20" s="1246" t="s">
        <v>1662</v>
      </c>
      <c r="C20" s="1245" t="str">
        <f>C9</f>
        <v>咨询对象本身所属项目较大，周边尚无自然及人文环境，综合评价自然及人文环境较差。</v>
      </c>
      <c r="D20" s="2008"/>
      <c r="E20" s="2606"/>
      <c r="F20" s="1230" t="s">
        <v>2551</v>
      </c>
      <c r="G20" s="1004">
        <f>G6</f>
        <v>0</v>
      </c>
    </row>
    <row r="21" spans="1:7" ht="54">
      <c r="A21" s="2609"/>
      <c r="B21" s="1230" t="s">
        <v>2550</v>
      </c>
      <c r="C21" s="1004" t="str">
        <f>C7</f>
        <v>咨询对象本身所属项目较大，公共配套设施尚未建设，综合评价公共配套设施较差。</v>
      </c>
      <c r="D21" s="2007"/>
      <c r="E21" s="2606"/>
      <c r="F21" s="1246" t="s">
        <v>1663</v>
      </c>
      <c r="G21" s="3107"/>
    </row>
    <row r="22" spans="1:7" ht="14.25">
      <c r="A22" s="2609"/>
      <c r="B22" s="1230" t="s">
        <v>2551</v>
      </c>
      <c r="C22" s="1004" t="str">
        <f>C8</f>
        <v xml:space="preserve"> </v>
      </c>
      <c r="D22" s="2007"/>
      <c r="E22" s="2606"/>
      <c r="F22" s="1246" t="s">
        <v>1673</v>
      </c>
      <c r="G22" s="2816"/>
    </row>
    <row r="23" spans="1:7" ht="15" thickBot="1">
      <c r="A23" s="2609"/>
      <c r="B23" s="1246" t="s">
        <v>1663</v>
      </c>
      <c r="C23" s="3107" t="s">
        <v>1663</v>
      </c>
      <c r="E23" s="2607"/>
      <c r="F23" s="1247" t="s">
        <v>1677</v>
      </c>
      <c r="G23" s="3108"/>
    </row>
    <row r="24" spans="1:7" ht="14.25" thickBot="1">
      <c r="A24" s="2610"/>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9" sqref="F29"/>
    </sheetView>
  </sheetViews>
  <sheetFormatPr defaultColWidth="14.625" defaultRowHeight="13.5"/>
  <cols>
    <col min="1" max="1" width="24.375" customWidth="1"/>
  </cols>
  <sheetData>
    <row r="1" spans="1:9" ht="16.5">
      <c r="A1" s="3066" t="s">
        <v>2850</v>
      </c>
      <c r="B1" s="3066">
        <f>SUM(B14:B23)</f>
        <v>7851426.25</v>
      </c>
      <c r="C1" s="3067"/>
      <c r="D1" s="3067"/>
      <c r="E1" s="3067"/>
      <c r="F1" s="3067"/>
    </row>
    <row r="2" spans="1:9" ht="16.5">
      <c r="A2" s="3066" t="s">
        <v>2851</v>
      </c>
      <c r="B2" s="3066">
        <f>SUM(C14:C23)</f>
        <v>3756008.9451000001</v>
      </c>
      <c r="C2" s="3067"/>
      <c r="D2" s="3067"/>
      <c r="E2" s="3067"/>
      <c r="F2" s="3067"/>
    </row>
    <row r="3" spans="1:9" ht="16.5">
      <c r="A3" s="3066" t="s">
        <v>2852</v>
      </c>
      <c r="B3" s="3068">
        <f>项目基本情况!D3</f>
        <v>43031</v>
      </c>
      <c r="C3" s="3067"/>
      <c r="D3" s="3067"/>
      <c r="E3" s="3067"/>
      <c r="F3" s="3067"/>
    </row>
    <row r="4" spans="1:9" ht="33">
      <c r="A4" s="3066" t="s">
        <v>2853</v>
      </c>
      <c r="B4" s="3066" t="s">
        <v>2854</v>
      </c>
      <c r="C4" s="3066" t="s">
        <v>2855</v>
      </c>
      <c r="D4" s="3066" t="s">
        <v>2856</v>
      </c>
      <c r="E4" s="3067"/>
      <c r="F4" s="3067"/>
    </row>
    <row r="5" spans="1:9" ht="16.5">
      <c r="A5" s="3066" t="s">
        <v>2857</v>
      </c>
      <c r="B5" s="3066">
        <f ca="1">SUM(D14:D23)</f>
        <v>1463293</v>
      </c>
      <c r="C5" s="3066">
        <f ca="1">ROUND(B5*10000/$B$1,0)</f>
        <v>1864</v>
      </c>
      <c r="D5" s="3066">
        <f ca="1">ROUND(B5*10000/$B$2,0)</f>
        <v>3896</v>
      </c>
      <c r="E5" s="3067"/>
      <c r="F5" s="3067"/>
    </row>
    <row r="6" spans="1:9" ht="16.5">
      <c r="A6" s="3066" t="s">
        <v>2858</v>
      </c>
      <c r="B6" s="3066">
        <f>SUM(G14:G23)</f>
        <v>0</v>
      </c>
      <c r="C6" s="3066">
        <f t="shared" ref="C6:C8" si="0">ROUND(B6*10000/$B$1,0)</f>
        <v>0</v>
      </c>
      <c r="D6" s="3066">
        <f t="shared" ref="D6:D8" si="1">ROUND(B6*10000/$B$2,0)</f>
        <v>0</v>
      </c>
      <c r="E6" s="3067"/>
      <c r="F6" s="3067"/>
    </row>
    <row r="7" spans="1:9" ht="16.5">
      <c r="A7" s="3066" t="s">
        <v>2859</v>
      </c>
      <c r="B7" s="3066">
        <f ca="1">SUM(H14:H23)</f>
        <v>1463293</v>
      </c>
      <c r="C7" s="3066">
        <f t="shared" ca="1" si="0"/>
        <v>1864</v>
      </c>
      <c r="D7" s="3066">
        <f t="shared" ca="1" si="1"/>
        <v>3896</v>
      </c>
      <c r="E7" s="3067"/>
      <c r="F7" s="3067"/>
    </row>
    <row r="8" spans="1:9" ht="16.5">
      <c r="A8" s="3066" t="s">
        <v>2860</v>
      </c>
      <c r="B8" s="3066">
        <f>SUM(I14:I23)</f>
        <v>0</v>
      </c>
      <c r="C8" s="3066">
        <f t="shared" si="0"/>
        <v>0</v>
      </c>
      <c r="D8" s="3066">
        <f t="shared" si="1"/>
        <v>0</v>
      </c>
      <c r="E8" s="3067"/>
      <c r="F8" s="3067"/>
    </row>
    <row r="9" spans="1:9" ht="16.5">
      <c r="A9" s="3066" t="s">
        <v>2861</v>
      </c>
      <c r="B9" s="3069"/>
      <c r="C9" s="3067"/>
      <c r="D9" s="3067"/>
      <c r="E9" s="3067"/>
      <c r="F9" s="3067"/>
    </row>
    <row r="10" spans="1:9" ht="16.5">
      <c r="A10" s="3066" t="s">
        <v>2862</v>
      </c>
      <c r="B10" s="3069"/>
      <c r="C10" s="3067"/>
      <c r="D10" s="3067"/>
      <c r="E10" s="3067"/>
      <c r="F10" s="3067"/>
    </row>
    <row r="11" spans="1:9" ht="16.5">
      <c r="A11" s="3066" t="s">
        <v>2879</v>
      </c>
      <c r="B11" s="3069"/>
      <c r="C11" s="3067"/>
      <c r="D11" s="3067"/>
      <c r="E11" s="3067"/>
      <c r="F11" s="3067"/>
    </row>
    <row r="12" spans="1:9" ht="16.5">
      <c r="A12" s="3067"/>
      <c r="B12" s="3067"/>
      <c r="C12" s="3067"/>
      <c r="D12" s="3067"/>
      <c r="E12" s="3067"/>
      <c r="F12" s="3067"/>
    </row>
    <row r="13" spans="1:9" ht="33">
      <c r="A13" s="3072" t="s">
        <v>2878</v>
      </c>
      <c r="B13" s="3070" t="s">
        <v>2850</v>
      </c>
      <c r="C13" s="3070" t="s">
        <v>2851</v>
      </c>
      <c r="D13" s="3070" t="s">
        <v>2863</v>
      </c>
      <c r="E13" s="3066" t="s">
        <v>2877</v>
      </c>
      <c r="F13" s="3066" t="s">
        <v>2856</v>
      </c>
      <c r="G13" s="3070" t="s">
        <v>2864</v>
      </c>
      <c r="H13" s="3070" t="s">
        <v>2865</v>
      </c>
      <c r="I13" s="3070" t="s">
        <v>2866</v>
      </c>
    </row>
    <row r="14" spans="1:9" ht="16.5">
      <c r="A14" s="3073" t="s">
        <v>2876</v>
      </c>
      <c r="B14" s="3070">
        <f>'数据-汇总表'!E3</f>
        <v>457656.17999999993</v>
      </c>
      <c r="C14" s="3070">
        <f>'数据-汇总表'!D3</f>
        <v>158684</v>
      </c>
      <c r="D14" s="3070">
        <f ca="1">结果表!C42</f>
        <v>57911</v>
      </c>
      <c r="E14" s="3070">
        <f ca="1">ROUND(D14*10000/B14,0)</f>
        <v>1265</v>
      </c>
      <c r="F14" s="3070">
        <f ca="1">ROUND(D14*10000/C14,0)</f>
        <v>3649</v>
      </c>
      <c r="G14" s="3070" t="str">
        <f>结果表!C44</f>
        <v>——</v>
      </c>
      <c r="H14" s="3070">
        <f ca="1">结果表!C45</f>
        <v>57911</v>
      </c>
      <c r="I14" s="3070" t="str">
        <f>结果表!C46</f>
        <v>——</v>
      </c>
    </row>
    <row r="15" spans="1:9" ht="16.5">
      <c r="A15" s="3073" t="s">
        <v>2867</v>
      </c>
      <c r="B15" s="3074">
        <f>结果表2!F43-系统读取表!B14</f>
        <v>7393770.0700000003</v>
      </c>
      <c r="C15" s="3074">
        <f>结果表2!E43-系统读取表!C14</f>
        <v>3597324.9451000001</v>
      </c>
      <c r="D15" s="3074">
        <f ca="1">结果表2!G41-系统读取表!D14</f>
        <v>1405382</v>
      </c>
      <c r="E15" s="3070">
        <f t="shared" ref="E15:E23" ca="1" si="2">ROUND(D15*10000/B15,0)</f>
        <v>1901</v>
      </c>
      <c r="F15" s="3070">
        <f t="shared" ref="F15:F23" ca="1" si="3">ROUND(D15*10000/C15,0)</f>
        <v>3907</v>
      </c>
      <c r="G15" s="3071"/>
      <c r="H15" s="3071">
        <f ca="1">D15</f>
        <v>1405382</v>
      </c>
      <c r="I15" s="3074"/>
    </row>
    <row r="16" spans="1:9" ht="16.5">
      <c r="A16" s="3073" t="s">
        <v>2868</v>
      </c>
      <c r="B16" s="3074"/>
      <c r="C16" s="3074"/>
      <c r="D16" s="3074"/>
      <c r="E16" s="3070" t="e">
        <f t="shared" si="2"/>
        <v>#DIV/0!</v>
      </c>
      <c r="F16" s="3070" t="e">
        <f t="shared" si="3"/>
        <v>#DIV/0!</v>
      </c>
      <c r="G16" s="3071"/>
      <c r="H16" s="3071"/>
      <c r="I16" s="3074"/>
    </row>
    <row r="17" spans="1:9" ht="16.5">
      <c r="A17" s="3073" t="s">
        <v>2869</v>
      </c>
      <c r="B17" s="3074"/>
      <c r="C17" s="3074"/>
      <c r="D17" s="3074"/>
      <c r="E17" s="3070" t="e">
        <f t="shared" si="2"/>
        <v>#DIV/0!</v>
      </c>
      <c r="F17" s="3070" t="e">
        <f t="shared" si="3"/>
        <v>#DIV/0!</v>
      </c>
      <c r="G17" s="3071"/>
      <c r="H17" s="3071"/>
      <c r="I17" s="3074"/>
    </row>
    <row r="18" spans="1:9" ht="16.5">
      <c r="A18" s="3073" t="s">
        <v>2870</v>
      </c>
      <c r="B18" s="3074"/>
      <c r="C18" s="3074"/>
      <c r="D18" s="3074"/>
      <c r="E18" s="3070" t="e">
        <f t="shared" si="2"/>
        <v>#DIV/0!</v>
      </c>
      <c r="F18" s="3070" t="e">
        <f t="shared" si="3"/>
        <v>#DIV/0!</v>
      </c>
      <c r="G18" s="3074"/>
      <c r="H18" s="3074"/>
      <c r="I18" s="3074"/>
    </row>
    <row r="19" spans="1:9" ht="16.5">
      <c r="A19" s="3073" t="s">
        <v>2871</v>
      </c>
      <c r="B19" s="3074"/>
      <c r="C19" s="3074"/>
      <c r="D19" s="3074"/>
      <c r="E19" s="3070" t="e">
        <f t="shared" si="2"/>
        <v>#DIV/0!</v>
      </c>
      <c r="F19" s="3070" t="e">
        <f t="shared" si="3"/>
        <v>#DIV/0!</v>
      </c>
      <c r="G19" s="3074"/>
      <c r="H19" s="3074"/>
      <c r="I19" s="3074"/>
    </row>
    <row r="20" spans="1:9" ht="16.5">
      <c r="A20" s="3073" t="s">
        <v>2872</v>
      </c>
      <c r="B20" s="3074"/>
      <c r="C20" s="3074"/>
      <c r="D20" s="3074"/>
      <c r="E20" s="3070" t="e">
        <f t="shared" si="2"/>
        <v>#DIV/0!</v>
      </c>
      <c r="F20" s="3070" t="e">
        <f t="shared" si="3"/>
        <v>#DIV/0!</v>
      </c>
      <c r="G20" s="3074"/>
      <c r="H20" s="3074"/>
      <c r="I20" s="3074"/>
    </row>
    <row r="21" spans="1:9" ht="16.5">
      <c r="A21" s="3073" t="s">
        <v>2873</v>
      </c>
      <c r="B21" s="3074"/>
      <c r="C21" s="3074"/>
      <c r="D21" s="3074"/>
      <c r="E21" s="3070" t="e">
        <f t="shared" si="2"/>
        <v>#DIV/0!</v>
      </c>
      <c r="F21" s="3070" t="e">
        <f t="shared" si="3"/>
        <v>#DIV/0!</v>
      </c>
      <c r="G21" s="3074"/>
      <c r="H21" s="3074"/>
      <c r="I21" s="3074"/>
    </row>
    <row r="22" spans="1:9" ht="16.5">
      <c r="A22" s="3073" t="s">
        <v>2874</v>
      </c>
      <c r="B22" s="3074"/>
      <c r="C22" s="3074"/>
      <c r="D22" s="3074"/>
      <c r="E22" s="3070" t="e">
        <f t="shared" si="2"/>
        <v>#DIV/0!</v>
      </c>
      <c r="F22" s="3070" t="e">
        <f t="shared" si="3"/>
        <v>#DIV/0!</v>
      </c>
      <c r="G22" s="3074"/>
      <c r="H22" s="3074"/>
      <c r="I22" s="3074"/>
    </row>
    <row r="23" spans="1:9" ht="16.5">
      <c r="A23" s="3073" t="s">
        <v>2875</v>
      </c>
      <c r="B23" s="3074"/>
      <c r="C23" s="3074"/>
      <c r="D23" s="3074"/>
      <c r="E23" s="3066" t="e">
        <f t="shared" si="2"/>
        <v>#DIV/0!</v>
      </c>
      <c r="F23" s="3066" t="e">
        <f t="shared" si="3"/>
        <v>#DIV/0!</v>
      </c>
      <c r="G23" s="3074"/>
      <c r="H23" s="3074"/>
      <c r="I23" s="3074"/>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B48" sqref="B4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3065</v>
      </c>
      <c r="E1" s="1804" t="s">
        <v>2058</v>
      </c>
      <c r="F1" s="1806"/>
      <c r="G1" s="314"/>
      <c r="H1" s="314"/>
      <c r="I1" s="314"/>
      <c r="J1" s="2027"/>
      <c r="K1" s="2027"/>
      <c r="L1" s="2027"/>
      <c r="M1" s="2027"/>
      <c r="N1" s="2027"/>
      <c r="O1" s="2027"/>
      <c r="P1" s="2027"/>
      <c r="Q1" s="2027"/>
      <c r="R1" s="2027"/>
      <c r="S1" s="2027"/>
      <c r="T1" s="2027"/>
      <c r="U1" s="2027"/>
      <c r="V1" s="2027"/>
    </row>
    <row r="2" spans="1:22" ht="21.75" customHeight="1" thickBot="1">
      <c r="A2" s="3383" t="str">
        <f>项目基本情况!K2</f>
        <v>贵州省贵阳市恒大童世界出让国有建设用地使用权</v>
      </c>
      <c r="B2" s="3384"/>
      <c r="C2" s="3385"/>
      <c r="D2" s="3385"/>
      <c r="E2" s="3385"/>
      <c r="F2" s="3385"/>
      <c r="G2" s="3384"/>
      <c r="H2" s="3384"/>
      <c r="I2" s="3386"/>
      <c r="J2" s="2028"/>
      <c r="K2" s="2027"/>
      <c r="L2" s="2027"/>
      <c r="M2" s="2027"/>
      <c r="N2" s="2027"/>
      <c r="O2" s="2027"/>
      <c r="P2" s="2027"/>
      <c r="Q2" s="2027"/>
      <c r="R2" s="2027"/>
      <c r="S2" s="2027"/>
      <c r="T2" s="2027"/>
      <c r="U2" s="2027"/>
      <c r="V2" s="2027"/>
    </row>
    <row r="3" spans="1:22" ht="14.25">
      <c r="A3" s="3394" t="s">
        <v>298</v>
      </c>
      <c r="B3" s="3395"/>
      <c r="C3" s="3395"/>
      <c r="D3" s="3395"/>
      <c r="E3" s="3395"/>
      <c r="F3" s="3395"/>
      <c r="G3" s="3395"/>
      <c r="H3" s="3395"/>
      <c r="I3" s="3395"/>
      <c r="J3" s="2028"/>
      <c r="K3" s="2027"/>
      <c r="L3" s="2027"/>
      <c r="M3" s="2027"/>
      <c r="N3" s="2027"/>
      <c r="O3" s="2027"/>
      <c r="P3" s="2027"/>
      <c r="Q3" s="2027"/>
      <c r="R3" s="2027"/>
      <c r="S3" s="2027"/>
      <c r="T3" s="2027"/>
      <c r="U3" s="2027"/>
      <c r="V3" s="2027"/>
    </row>
    <row r="4" spans="1:22" ht="14.25">
      <c r="A4" s="258" t="s">
        <v>299</v>
      </c>
      <c r="B4" s="259" t="s">
        <v>300</v>
      </c>
      <c r="C4" s="260" t="s">
        <v>3063</v>
      </c>
      <c r="D4" s="260" t="s">
        <v>3064</v>
      </c>
      <c r="E4" s="3358" t="s">
        <v>301</v>
      </c>
      <c r="F4" s="3399"/>
      <c r="G4" s="3399"/>
      <c r="H4" s="3399"/>
      <c r="I4" s="3359"/>
      <c r="J4" s="2028"/>
      <c r="K4" s="2027"/>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7" t="s">
        <v>302</v>
      </c>
      <c r="B5" s="3388">
        <v>25</v>
      </c>
      <c r="C5" s="3396">
        <v>10</v>
      </c>
      <c r="D5" s="3396">
        <v>20</v>
      </c>
      <c r="E5" s="261" t="s">
        <v>303</v>
      </c>
      <c r="F5" s="262"/>
      <c r="G5" s="262"/>
      <c r="H5" s="262"/>
      <c r="I5" s="263"/>
      <c r="J5" s="2028"/>
      <c r="K5" s="2027"/>
      <c r="L5" s="2027"/>
      <c r="M5" s="2027"/>
      <c r="N5" s="2027"/>
      <c r="O5" s="2027"/>
      <c r="P5" s="2027"/>
      <c r="Q5" s="2027"/>
      <c r="R5" s="2027"/>
      <c r="S5" s="2027"/>
      <c r="T5" s="2027"/>
      <c r="U5" s="2027"/>
      <c r="V5" s="2027"/>
    </row>
    <row r="6" spans="1:22" ht="14.25">
      <c r="A6" s="3387"/>
      <c r="B6" s="3388"/>
      <c r="C6" s="3397"/>
      <c r="D6" s="3397"/>
      <c r="E6" s="261" t="s">
        <v>304</v>
      </c>
      <c r="F6" s="262"/>
      <c r="G6" s="262"/>
      <c r="H6" s="262"/>
      <c r="I6" s="263"/>
      <c r="J6" s="2028"/>
      <c r="K6" s="2027"/>
      <c r="L6" s="2027"/>
      <c r="M6" s="2027"/>
      <c r="N6" s="2027"/>
      <c r="O6" s="2027"/>
      <c r="P6" s="2027"/>
      <c r="Q6" s="2027"/>
      <c r="R6" s="2027"/>
      <c r="S6" s="2027"/>
      <c r="T6" s="2027"/>
      <c r="U6" s="2027"/>
      <c r="V6" s="2027"/>
    </row>
    <row r="7" spans="1:22" ht="14.25">
      <c r="A7" s="3387"/>
      <c r="B7" s="3388"/>
      <c r="C7" s="3398"/>
      <c r="D7" s="3398"/>
      <c r="E7" s="261" t="s">
        <v>305</v>
      </c>
      <c r="F7" s="262"/>
      <c r="G7" s="262"/>
      <c r="H7" s="262"/>
      <c r="I7" s="263"/>
      <c r="J7" s="2028"/>
      <c r="K7" s="2027"/>
      <c r="L7" s="2027"/>
      <c r="M7" s="2027"/>
      <c r="N7" s="2027"/>
      <c r="O7" s="2027"/>
      <c r="P7" s="2027"/>
      <c r="Q7" s="2027"/>
      <c r="R7" s="2027"/>
      <c r="S7" s="2027"/>
      <c r="T7" s="2027"/>
      <c r="U7" s="2027"/>
      <c r="V7" s="2027"/>
    </row>
    <row r="8" spans="1:22" ht="14.25">
      <c r="A8" s="3387" t="s">
        <v>306</v>
      </c>
      <c r="B8" s="3388">
        <v>15</v>
      </c>
      <c r="C8" s="3396">
        <v>10</v>
      </c>
      <c r="D8" s="3396">
        <v>10</v>
      </c>
      <c r="E8" s="261" t="s">
        <v>307</v>
      </c>
      <c r="F8" s="262"/>
      <c r="G8" s="262"/>
      <c r="H8" s="262"/>
      <c r="I8" s="263"/>
      <c r="J8" s="2028"/>
      <c r="K8" s="2027"/>
      <c r="L8" s="2027"/>
      <c r="M8" s="2027"/>
      <c r="N8" s="2027"/>
      <c r="O8" s="2027"/>
      <c r="P8" s="2027"/>
      <c r="Q8" s="2027"/>
      <c r="R8" s="2027"/>
      <c r="S8" s="2027"/>
      <c r="T8" s="2027"/>
      <c r="U8" s="2027"/>
      <c r="V8" s="2027"/>
    </row>
    <row r="9" spans="1:22" ht="14.25">
      <c r="A9" s="3387"/>
      <c r="B9" s="3388"/>
      <c r="C9" s="3398"/>
      <c r="D9" s="3398"/>
      <c r="E9" s="261" t="s">
        <v>308</v>
      </c>
      <c r="F9" s="262"/>
      <c r="G9" s="262"/>
      <c r="H9" s="262"/>
      <c r="I9" s="263"/>
      <c r="J9" s="2028"/>
      <c r="K9" s="2027"/>
      <c r="L9" s="2027"/>
      <c r="M9" s="2027"/>
      <c r="N9" s="2027"/>
      <c r="O9" s="2027"/>
      <c r="P9" s="2027"/>
      <c r="Q9" s="2027"/>
      <c r="R9" s="2027"/>
      <c r="S9" s="2027"/>
      <c r="T9" s="2027"/>
      <c r="U9" s="2027"/>
      <c r="V9" s="2027"/>
    </row>
    <row r="10" spans="1:22" ht="14.25">
      <c r="A10" s="3387" t="s">
        <v>309</v>
      </c>
      <c r="B10" s="3388">
        <v>15</v>
      </c>
      <c r="C10" s="3396">
        <v>8</v>
      </c>
      <c r="D10" s="3396">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87"/>
      <c r="B11" s="3388"/>
      <c r="C11" s="3398"/>
      <c r="D11" s="3398"/>
      <c r="E11" s="261" t="s">
        <v>311</v>
      </c>
      <c r="F11" s="262"/>
      <c r="G11" s="262"/>
      <c r="H11" s="262"/>
      <c r="I11" s="263"/>
      <c r="J11" s="2028"/>
      <c r="K11" s="2027"/>
      <c r="L11" s="2027"/>
      <c r="M11" s="2027"/>
      <c r="N11" s="2027"/>
      <c r="O11" s="2027"/>
      <c r="P11" s="2027"/>
      <c r="Q11" s="2027"/>
      <c r="R11" s="2027"/>
      <c r="S11" s="2027"/>
      <c r="T11" s="2027"/>
      <c r="U11" s="2027"/>
      <c r="V11" s="2027"/>
    </row>
    <row r="12" spans="1:22" ht="14.25">
      <c r="A12" s="3387" t="s">
        <v>312</v>
      </c>
      <c r="B12" s="3388">
        <v>15</v>
      </c>
      <c r="C12" s="3396">
        <v>8</v>
      </c>
      <c r="D12" s="3396">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87"/>
      <c r="B13" s="3388"/>
      <c r="C13" s="3398"/>
      <c r="D13" s="3398"/>
      <c r="E13" s="261" t="s">
        <v>314</v>
      </c>
      <c r="F13" s="262"/>
      <c r="G13" s="262"/>
      <c r="H13" s="262"/>
      <c r="I13" s="263"/>
      <c r="J13" s="2028"/>
      <c r="K13" s="2027"/>
      <c r="L13" s="2027"/>
      <c r="M13" s="2027"/>
      <c r="N13" s="2027"/>
      <c r="O13" s="2027"/>
      <c r="P13" s="2027"/>
      <c r="Q13" s="2027"/>
      <c r="R13" s="2027"/>
      <c r="S13" s="2027"/>
      <c r="T13" s="2027"/>
      <c r="U13" s="2027"/>
      <c r="V13" s="2027"/>
    </row>
    <row r="14" spans="1:22" ht="14.25">
      <c r="A14" s="3387" t="s">
        <v>315</v>
      </c>
      <c r="B14" s="3388">
        <v>30</v>
      </c>
      <c r="C14" s="3396">
        <v>10</v>
      </c>
      <c r="D14" s="3396">
        <v>20</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87"/>
      <c r="B15" s="3388"/>
      <c r="C15" s="3397"/>
      <c r="D15" s="339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87"/>
      <c r="B16" s="3388"/>
      <c r="C16" s="3398"/>
      <c r="D16" s="3398"/>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46</v>
      </c>
      <c r="D17" s="265">
        <f>SUM(D5:D16)</f>
        <v>70</v>
      </c>
      <c r="E17" s="314"/>
      <c r="F17" s="314"/>
      <c r="G17" s="314"/>
      <c r="H17" s="314"/>
      <c r="I17" s="314"/>
      <c r="J17" s="2028"/>
      <c r="K17" s="2027"/>
      <c r="L17" s="2027"/>
      <c r="M17" s="2027"/>
      <c r="N17" s="2027"/>
      <c r="O17" s="2027"/>
      <c r="P17" s="2027"/>
      <c r="Q17" s="2027"/>
      <c r="R17" s="2027"/>
      <c r="S17" s="2027"/>
      <c r="T17" s="2027"/>
      <c r="U17" s="2027"/>
      <c r="V17" s="2027"/>
    </row>
    <row r="18" spans="1:26" ht="15.75" thickBot="1">
      <c r="A18" s="266" t="s">
        <v>320</v>
      </c>
      <c r="B18" s="105"/>
      <c r="C18" s="267">
        <f>ROUND(C17/SUM(C17:D17),2)</f>
        <v>0.4</v>
      </c>
      <c r="D18" s="267">
        <f>1-C18</f>
        <v>0.6</v>
      </c>
      <c r="E18" s="314"/>
      <c r="F18" s="314"/>
      <c r="G18" s="314"/>
      <c r="H18" s="314"/>
      <c r="I18" s="314"/>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44511</v>
      </c>
      <c r="D19" s="271">
        <f ca="1">SUMIF(INDIRECT("'"&amp;D4&amp;"'"&amp;"!A:A"),结果表!B19,INDIRECT("'"&amp;D4&amp;"'"&amp;"!B:B"))</f>
        <v>66845</v>
      </c>
      <c r="E19" s="268" t="s">
        <v>323</v>
      </c>
      <c r="F19" s="269" t="s">
        <v>322</v>
      </c>
      <c r="G19" s="272">
        <f ca="1">ROUND(C19*$C$18+D19*$D$18,0)</f>
        <v>57911</v>
      </c>
      <c r="H19" s="273" t="s">
        <v>324</v>
      </c>
      <c r="I19" s="314"/>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973</v>
      </c>
      <c r="D20" s="277">
        <f ca="1">SUMIF(INDIRECT("'"&amp;D4&amp;"'"&amp;"!A:A"),结果表!B20,INDIRECT("'"&amp;D4&amp;"'"&amp;"!B:B"))</f>
        <v>1461</v>
      </c>
      <c r="E20" s="274"/>
      <c r="F20" s="275" t="s">
        <v>325</v>
      </c>
      <c r="G20" s="278">
        <f ca="1">ROUND(C20*$C$18+D20*$D$18,0)</f>
        <v>1266</v>
      </c>
      <c r="H20" s="279" t="s">
        <v>326</v>
      </c>
      <c r="I20" s="314"/>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2805</v>
      </c>
      <c r="D21" s="151">
        <f ca="1">SUMIF(INDIRECT("'"&amp;D4&amp;"'"&amp;"!A:A"),结果表!B21,INDIRECT("'"&amp;D4&amp;"'"&amp;"!B:B"))</f>
        <v>4212</v>
      </c>
      <c r="E21" s="274"/>
      <c r="F21" s="280" t="s">
        <v>327</v>
      </c>
      <c r="G21" s="282">
        <f ca="1">ROUND(C21*$C$18+D21*$D$18,0)</f>
        <v>3649</v>
      </c>
      <c r="H21" s="1250" t="s">
        <v>326</v>
      </c>
      <c r="I21" s="314"/>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0.5017636089955293</v>
      </c>
      <c r="E22" s="284"/>
      <c r="F22" s="285"/>
      <c r="G22" s="286">
        <f ca="1">ROUND(G19/('数据-汇总表'!D3/666.67),0)</f>
        <v>243</v>
      </c>
      <c r="H22" s="287" t="s">
        <v>329</v>
      </c>
      <c r="I22" s="314"/>
      <c r="J22" s="2027"/>
      <c r="K22" s="2027"/>
      <c r="L22" s="2027"/>
      <c r="M22" s="2027"/>
      <c r="N22" s="2027"/>
      <c r="O22" s="2027"/>
      <c r="P22" s="2027"/>
      <c r="Q22" s="2027"/>
      <c r="R22" s="2027"/>
      <c r="S22" s="2027"/>
      <c r="T22" s="2027"/>
      <c r="U22" s="2027"/>
      <c r="V22" s="2027"/>
    </row>
    <row r="23" spans="1:26" ht="13.5" thickBot="1">
      <c r="A23" s="314"/>
      <c r="B23" s="314"/>
      <c r="C23" s="314"/>
      <c r="D23" s="314"/>
      <c r="E23" s="314"/>
      <c r="F23" s="314"/>
      <c r="G23" s="314"/>
      <c r="H23" s="314"/>
      <c r="I23" s="314"/>
      <c r="J23" s="2027"/>
      <c r="K23" s="2027"/>
      <c r="L23" s="2027"/>
      <c r="M23" s="2027"/>
      <c r="N23" s="2027"/>
      <c r="O23" s="2027"/>
      <c r="P23" s="2027"/>
      <c r="Q23" s="2027"/>
      <c r="R23" s="2027"/>
      <c r="S23" s="2027"/>
      <c r="T23" s="2027"/>
      <c r="U23" s="2027"/>
      <c r="V23" s="2027"/>
    </row>
    <row r="24" spans="1:26" ht="15" thickBot="1">
      <c r="A24" s="3360" t="s">
        <v>330</v>
      </c>
      <c r="B24" s="269" t="s">
        <v>322</v>
      </c>
      <c r="C24" s="288">
        <f>IF(B30=0,0,D30)</f>
        <v>0</v>
      </c>
      <c r="D24" s="289"/>
      <c r="E24" s="314"/>
      <c r="F24" s="314"/>
      <c r="G24" s="314"/>
      <c r="H24" s="314"/>
      <c r="I24" s="314"/>
      <c r="J24" s="2027"/>
      <c r="K24" s="2027"/>
      <c r="L24" s="2027"/>
      <c r="M24" s="2027"/>
      <c r="N24" s="2027"/>
      <c r="O24" s="2027"/>
      <c r="P24" s="2027"/>
      <c r="Q24" s="2027"/>
      <c r="R24" s="2027"/>
      <c r="S24" s="2027"/>
      <c r="T24" s="2027"/>
      <c r="U24" s="2027"/>
      <c r="V24" s="2027"/>
    </row>
    <row r="25" spans="1:26" ht="18">
      <c r="A25" s="3401"/>
      <c r="B25" s="1320" t="s">
        <v>331</v>
      </c>
      <c r="C25" s="290">
        <f>IF(B30=0,0,C30)</f>
        <v>0</v>
      </c>
      <c r="D25" s="291"/>
      <c r="E25" s="314"/>
      <c r="F25" s="314"/>
      <c r="G25" s="314"/>
      <c r="H25" s="314"/>
      <c r="I25" s="314"/>
      <c r="J25" s="2027"/>
      <c r="K25" s="1254" t="str">
        <f ca="1">项目基本情况!B16&amp;"国有建设用地使用权价格："&amp;O38&amp;"万元"</f>
        <v>出让国有建设用地使用权价格：57911万元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4"/>
      <c r="F26" s="314"/>
      <c r="G26" s="314"/>
      <c r="H26" s="314"/>
      <c r="I26" s="314"/>
      <c r="J26" s="2027"/>
      <c r="K26" s="1257" t="str">
        <f ca="1">"大写金额：人民币"&amp;NUMBERSTRING(INT(O38*10000),2)&amp;"元整"</f>
        <v>大写金额：人民币伍亿柒仟玖佰壹拾壹万元整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4"/>
      <c r="F27" s="314"/>
      <c r="G27" s="314"/>
      <c r="H27" s="314"/>
      <c r="I27" s="314"/>
      <c r="J27" s="2027"/>
      <c r="K27" s="1257" t="str">
        <f ca="1">"单位面积地价："&amp;M38&amp;"元/平方米"</f>
        <v>单位面积地价：3649元/平方米</v>
      </c>
      <c r="L27" s="1251"/>
      <c r="M27" s="1251"/>
      <c r="N27" s="1251"/>
      <c r="O27" s="1250"/>
      <c r="P27" s="2027"/>
      <c r="Q27" s="2027"/>
      <c r="R27" s="2027"/>
      <c r="S27" s="2027"/>
      <c r="T27" s="2027"/>
      <c r="U27" s="2027"/>
      <c r="V27" s="2027"/>
    </row>
    <row r="28" spans="1:26" ht="18.75" customHeight="1">
      <c r="A28" s="293"/>
      <c r="B28" s="294"/>
      <c r="C28" s="294"/>
      <c r="D28" s="295"/>
      <c r="E28" s="314"/>
      <c r="F28" s="314"/>
      <c r="G28" s="314"/>
      <c r="H28" s="314"/>
      <c r="I28" s="314"/>
      <c r="J28" s="2027"/>
      <c r="K28" s="1257" t="str">
        <f ca="1">"楼面地价："&amp;N38&amp;"元/平方米"</f>
        <v>楼面地价：1265元/平方米</v>
      </c>
      <c r="L28" s="1251"/>
      <c r="M28" s="1251"/>
      <c r="N28" s="1251"/>
      <c r="O28" s="1250"/>
      <c r="P28" s="2027"/>
      <c r="V28" s="2027"/>
    </row>
    <row r="29" spans="1:26" ht="18">
      <c r="A29" s="293"/>
      <c r="B29" s="294"/>
      <c r="C29" s="294"/>
      <c r="D29" s="295"/>
      <c r="E29" s="314"/>
      <c r="F29" s="314"/>
      <c r="G29" s="314"/>
      <c r="H29" s="314"/>
      <c r="I29" s="314"/>
      <c r="J29" s="2027"/>
      <c r="K29" s="1257" t="str">
        <f>IF(OR(项目基本情况!E8="抵押价格",项目基本情况!E8="已注销及未注销"),"抵押价格："&amp;O39&amp;"万元","——")</f>
        <v>——</v>
      </c>
      <c r="L29" s="1251"/>
      <c r="M29" s="1251"/>
      <c r="N29" s="1251"/>
      <c r="O29" s="1250"/>
      <c r="P29" s="2027"/>
      <c r="V29" s="2027"/>
    </row>
    <row r="30" spans="1:26" ht="18.75" thickBot="1">
      <c r="A30" s="296" t="s">
        <v>336</v>
      </c>
      <c r="B30" s="297">
        <f>SUM(B27:B29)</f>
        <v>0</v>
      </c>
      <c r="C30" s="297" t="e">
        <f>ROUND(D30*10000/B30,0)</f>
        <v>#DIV/0!</v>
      </c>
      <c r="D30" s="298">
        <f>SUM(D27:D29)</f>
        <v>0</v>
      </c>
      <c r="E30" s="314"/>
      <c r="F30" s="314"/>
      <c r="G30" s="314"/>
      <c r="H30" s="314"/>
      <c r="I30" s="314"/>
      <c r="J30" s="2027"/>
      <c r="K30" s="1257" t="str">
        <f>IF(K29="——","——","大写金额：人民币"&amp;NUMBERSTRING(INT(O39*10000),2)&amp;"元整")</f>
        <v>——</v>
      </c>
      <c r="L30" s="1251"/>
      <c r="M30" s="1251"/>
      <c r="N30" s="1251"/>
      <c r="O30" s="1250"/>
      <c r="P30" s="2027"/>
      <c r="V30" s="2027"/>
    </row>
    <row r="31" spans="1:26" ht="24" customHeight="1" thickBot="1">
      <c r="A31" s="314"/>
      <c r="B31" s="314"/>
      <c r="C31" s="314"/>
      <c r="D31" s="314"/>
      <c r="E31" s="314"/>
      <c r="F31" s="314"/>
      <c r="G31" s="314"/>
      <c r="H31" s="314"/>
      <c r="I31" s="314"/>
      <c r="J31" s="2027"/>
      <c r="K31" s="2489" t="str">
        <f ca="1">IF(项目基本情况!E8="抵押价格","——","抵押担保权已注销时的抵押价格："&amp;O40&amp;"万元")</f>
        <v>抵押担保权已注销时的抵押价格：57911万元</v>
      </c>
      <c r="L31" s="2485"/>
      <c r="M31" s="2485"/>
      <c r="N31" s="2485"/>
      <c r="O31" s="2486"/>
      <c r="P31" s="2027"/>
      <c r="V31" s="2027"/>
    </row>
    <row r="32" spans="1:26" ht="18.75" thickBot="1">
      <c r="A32" s="268" t="s">
        <v>337</v>
      </c>
      <c r="B32" s="1380" t="s">
        <v>1690</v>
      </c>
      <c r="C32" s="1381">
        <f ca="1">G19-C24</f>
        <v>57911</v>
      </c>
      <c r="D32" s="1382" t="s">
        <v>1691</v>
      </c>
      <c r="E32" s="314"/>
      <c r="F32" s="314"/>
      <c r="G32" s="314"/>
      <c r="H32" s="314"/>
      <c r="I32" s="314"/>
      <c r="J32" s="2027"/>
      <c r="K32" s="2484" t="str">
        <f ca="1">IF(K31="——","——","大写金额：人民币"&amp;NUMBERSTRING(INT(O40*10000),2)&amp;"元整")</f>
        <v>大写金额：人民币伍亿柒仟玖佰壹拾壹万元整</v>
      </c>
      <c r="L32" s="2487"/>
      <c r="M32" s="2487"/>
      <c r="N32" s="2487"/>
      <c r="O32" s="2488"/>
      <c r="P32" s="2027"/>
      <c r="V32" s="2027"/>
    </row>
    <row r="33" spans="1:26" ht="18.75" thickBot="1">
      <c r="A33" s="301" t="s">
        <v>340</v>
      </c>
      <c r="B33" s="1383" t="s">
        <v>1692</v>
      </c>
      <c r="C33" s="264">
        <f ca="1">ROUND(C32*10000/'数据-汇总表'!E3,0)</f>
        <v>1265</v>
      </c>
      <c r="D33" s="1384" t="s">
        <v>1693</v>
      </c>
      <c r="E33" s="3360" t="s">
        <v>338</v>
      </c>
      <c r="F33" s="299" t="s">
        <v>339</v>
      </c>
      <c r="G33" s="300"/>
      <c r="H33" s="979"/>
      <c r="I33" s="1258"/>
      <c r="J33" s="2027"/>
      <c r="K33" s="1257" t="str">
        <f>IF(项目基本情况!E9="——","——","抵押净值："&amp;C46&amp;"万元")</f>
        <v>抵押净值：——万元</v>
      </c>
      <c r="L33" s="1251"/>
      <c r="M33" s="1251"/>
      <c r="N33" s="1251"/>
      <c r="O33" s="1250"/>
      <c r="P33" s="2027"/>
      <c r="V33" s="2027"/>
    </row>
    <row r="34" spans="1:26" s="1253" customFormat="1" ht="18.75" thickBot="1">
      <c r="A34" s="303"/>
      <c r="B34" s="1385" t="s">
        <v>1694</v>
      </c>
      <c r="C34" s="264">
        <f ca="1">ROUND(C32*10000/'数据-汇总表'!D3,0)</f>
        <v>3649</v>
      </c>
      <c r="D34" s="1386" t="s">
        <v>1693</v>
      </c>
      <c r="E34" s="3361"/>
      <c r="F34" s="127" t="s">
        <v>341</v>
      </c>
      <c r="G34" s="302"/>
      <c r="H34" s="105"/>
      <c r="I34" s="314"/>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243</v>
      </c>
      <c r="D35" s="1389" t="s">
        <v>1695</v>
      </c>
      <c r="E35" s="3362"/>
      <c r="F35" s="304" t="s">
        <v>342</v>
      </c>
      <c r="G35" s="981"/>
      <c r="H35" s="980" t="s">
        <v>343</v>
      </c>
      <c r="I35" s="314"/>
      <c r="J35" s="2027"/>
      <c r="K35" s="3366" t="s">
        <v>350</v>
      </c>
      <c r="L35" s="3366" t="s">
        <v>351</v>
      </c>
      <c r="M35" s="1263" t="s">
        <v>352</v>
      </c>
      <c r="N35" s="3366" t="s">
        <v>353</v>
      </c>
      <c r="O35" s="3366" t="s">
        <v>354</v>
      </c>
      <c r="P35" s="2027"/>
      <c r="V35" s="2027"/>
    </row>
    <row r="36" spans="1:26" ht="16.5" customHeight="1">
      <c r="A36" s="306" t="s">
        <v>344</v>
      </c>
      <c r="B36" s="307" t="s">
        <v>333</v>
      </c>
      <c r="C36" s="308" t="s">
        <v>345</v>
      </c>
      <c r="D36" s="308" t="s">
        <v>346</v>
      </c>
      <c r="E36" s="309" t="s">
        <v>347</v>
      </c>
      <c r="F36" s="314"/>
      <c r="G36" s="314"/>
      <c r="H36" s="314"/>
      <c r="I36" s="314"/>
      <c r="J36" s="2029"/>
      <c r="K36" s="3367"/>
      <c r="L36" s="3367"/>
      <c r="M36" s="1265" t="s">
        <v>355</v>
      </c>
      <c r="N36" s="3367"/>
      <c r="O36" s="3367"/>
      <c r="P36" s="2027"/>
      <c r="V36" s="2027"/>
    </row>
    <row r="37" spans="1:26" ht="16.5" customHeight="1" thickBot="1">
      <c r="A37" s="1259" t="s">
        <v>348</v>
      </c>
      <c r="B37" s="310"/>
      <c r="C37" s="294"/>
      <c r="D37" s="294"/>
      <c r="E37" s="295"/>
      <c r="F37" s="314"/>
      <c r="G37" s="314"/>
      <c r="H37" s="314"/>
      <c r="I37" s="314"/>
      <c r="J37" s="2029"/>
      <c r="K37" s="3368"/>
      <c r="L37" s="3368"/>
      <c r="M37" s="1266"/>
      <c r="N37" s="3368"/>
      <c r="O37" s="3368"/>
      <c r="P37" s="2027"/>
      <c r="V37" s="2027"/>
    </row>
    <row r="38" spans="1:26" ht="16.5" customHeight="1" thickBot="1">
      <c r="A38" s="1259" t="s">
        <v>349</v>
      </c>
      <c r="B38" s="310"/>
      <c r="C38" s="294"/>
      <c r="D38" s="294"/>
      <c r="E38" s="295"/>
      <c r="F38" s="314"/>
      <c r="G38" s="314"/>
      <c r="H38" s="314"/>
      <c r="I38" s="314"/>
      <c r="J38" s="2029"/>
      <c r="K38" s="1267">
        <f>'数据-汇总表'!D3</f>
        <v>158684</v>
      </c>
      <c r="L38" s="1268">
        <f>'数据-汇总表'!E3</f>
        <v>457656.17999999993</v>
      </c>
      <c r="M38" s="1268">
        <f ca="1">C34</f>
        <v>3649</v>
      </c>
      <c r="N38" s="1268">
        <f ca="1">C33</f>
        <v>1265</v>
      </c>
      <c r="O38" s="1269">
        <f ca="1">C32</f>
        <v>57911</v>
      </c>
      <c r="P38" s="2027"/>
      <c r="V38" s="2027"/>
    </row>
    <row r="39" spans="1:26" ht="16.5" customHeight="1" thickBot="1">
      <c r="A39" s="1264"/>
      <c r="B39" s="311"/>
      <c r="C39" s="312"/>
      <c r="D39" s="312"/>
      <c r="E39" s="313"/>
      <c r="F39" s="314"/>
      <c r="G39" s="314"/>
      <c r="H39" s="314"/>
      <c r="I39" s="314"/>
      <c r="J39" s="2029"/>
      <c r="K39" s="3343" t="str">
        <f>MID(A44,3,LEN(A44)-2)</f>
        <v/>
      </c>
      <c r="L39" s="3344"/>
      <c r="M39" s="3344"/>
      <c r="N39" s="3345"/>
      <c r="O39" s="1391" t="str">
        <f>C44</f>
        <v>——</v>
      </c>
      <c r="P39" s="2027"/>
      <c r="V39" s="2027"/>
    </row>
    <row r="40" spans="1:26" ht="19.5" thickBot="1">
      <c r="A40" s="104" t="s">
        <v>874</v>
      </c>
      <c r="B40" s="314"/>
      <c r="C40" s="314"/>
      <c r="D40" s="314"/>
      <c r="E40" s="314"/>
      <c r="F40" s="314"/>
      <c r="G40" s="314"/>
      <c r="H40" s="314"/>
      <c r="I40" s="314"/>
      <c r="J40" s="2029"/>
      <c r="K40" s="3343" t="str">
        <f t="shared" ref="K40:K41" si="0">MID(A45,3,LEN(A45)-2)</f>
        <v>抵押担保权已注销时的抵押价格</v>
      </c>
      <c r="L40" s="3344"/>
      <c r="M40" s="3344"/>
      <c r="N40" s="3345"/>
      <c r="O40" s="1391">
        <f ca="1">C45</f>
        <v>57911</v>
      </c>
      <c r="P40" s="2027"/>
      <c r="V40" s="2027"/>
    </row>
    <row r="41" spans="1:26" ht="16.5" thickBot="1">
      <c r="A41" s="315" t="s">
        <v>356</v>
      </c>
      <c r="B41" s="316"/>
      <c r="C41" s="317" t="s">
        <v>357</v>
      </c>
      <c r="D41" s="318" t="s">
        <v>358</v>
      </c>
      <c r="E41" s="318" t="s">
        <v>359</v>
      </c>
      <c r="F41" s="319" t="s">
        <v>360</v>
      </c>
      <c r="G41" s="314"/>
      <c r="H41" s="314"/>
      <c r="I41" s="314"/>
      <c r="J41" s="2029"/>
      <c r="K41" s="3343" t="str">
        <f t="shared" si="0"/>
        <v/>
      </c>
      <c r="L41" s="3344"/>
      <c r="M41" s="3344"/>
      <c r="N41" s="3345"/>
      <c r="O41" s="1391" t="str">
        <f>C46</f>
        <v>——</v>
      </c>
      <c r="P41" s="2027"/>
      <c r="V41" s="2027"/>
    </row>
    <row r="42" spans="1:26" ht="29.25">
      <c r="A42" s="3402" t="s">
        <v>2068</v>
      </c>
      <c r="B42" s="3403"/>
      <c r="C42" s="264">
        <f ca="1">C32</f>
        <v>57911</v>
      </c>
      <c r="D42" s="320">
        <f ca="1">C33</f>
        <v>1265</v>
      </c>
      <c r="E42" s="320">
        <f ca="1">C34</f>
        <v>3649</v>
      </c>
      <c r="F42" s="321">
        <f ca="1">C35</f>
        <v>243</v>
      </c>
      <c r="G42" s="314"/>
      <c r="H42" s="314"/>
      <c r="I42" s="322"/>
      <c r="J42" s="2029"/>
      <c r="K42" s="1270" t="s">
        <v>361</v>
      </c>
      <c r="L42" s="2046" t="s">
        <v>362</v>
      </c>
      <c r="M42" s="1271" t="s">
        <v>363</v>
      </c>
      <c r="N42" s="2047" t="s">
        <v>364</v>
      </c>
      <c r="O42" s="2048" t="s">
        <v>365</v>
      </c>
      <c r="P42" s="2027"/>
      <c r="V42" s="2027"/>
    </row>
    <row r="43" spans="1:26" ht="30">
      <c r="A43" s="3412" t="s">
        <v>2736</v>
      </c>
      <c r="B43" s="3413"/>
      <c r="C43" s="264">
        <f>IF(H33="正常操作",G33+G34+G35,G34+G35)</f>
        <v>0</v>
      </c>
      <c r="D43" s="320" t="s">
        <v>43</v>
      </c>
      <c r="E43" s="320" t="s">
        <v>44</v>
      </c>
      <c r="F43" s="321" t="s">
        <v>44</v>
      </c>
      <c r="G43" s="2889" t="s">
        <v>953</v>
      </c>
      <c r="H43" s="314"/>
      <c r="I43" s="322"/>
      <c r="J43" s="2029"/>
      <c r="K43" s="1272" t="str">
        <f>C4</f>
        <v>比较法-住宅、综合</v>
      </c>
      <c r="L43" s="1273">
        <f ca="1">IF(L42="估价结果/万元",C19,C20)</f>
        <v>44511</v>
      </c>
      <c r="M43" s="1274">
        <f>C18</f>
        <v>0.4</v>
      </c>
      <c r="N43" s="1275">
        <f ca="1">IF(N42="测算结果/万元",G19,G20)</f>
        <v>57911</v>
      </c>
      <c r="O43" s="1276">
        <f ca="1">IF(O42="最终结果/万元",C32,C33)</f>
        <v>57911</v>
      </c>
      <c r="P43" s="2027"/>
      <c r="V43" s="2027"/>
    </row>
    <row r="44" spans="1:26" ht="30.75" thickBot="1">
      <c r="A44" s="3402" t="str">
        <f>IF(OR(项目基本情况!E8="抵押价格",项目基本情况!E8="已注销及未注销"),"3.抵押价格","——")</f>
        <v>——</v>
      </c>
      <c r="B44" s="3403"/>
      <c r="C44" s="264" t="str">
        <f>IF(A44="——","——",C42-C43)</f>
        <v>——</v>
      </c>
      <c r="D44" s="320" t="e">
        <f>ROUND(C44*10000/'数据-汇总表'!E3,0)</f>
        <v>#VALUE!</v>
      </c>
      <c r="E44" s="320" t="e">
        <f>ROUND(C44*10000/'数据-汇总表'!D3,0)</f>
        <v>#VALUE!</v>
      </c>
      <c r="F44" s="321" t="e">
        <f>ROUND(C44/('数据-汇总表'!D3/666.67),0)</f>
        <v>#VALUE!</v>
      </c>
      <c r="G44" s="314"/>
      <c r="H44" s="314"/>
      <c r="I44" s="322"/>
      <c r="J44" s="2029"/>
      <c r="K44" s="1277" t="str">
        <f>D4</f>
        <v>剩余法-待开发</v>
      </c>
      <c r="L44" s="1278">
        <f ca="1">IF(L42="估价结果/万元",D19,D20)</f>
        <v>66845</v>
      </c>
      <c r="M44" s="1279">
        <f>D18</f>
        <v>0.6</v>
      </c>
      <c r="N44" s="1280"/>
      <c r="O44" s="1281"/>
      <c r="P44" s="2027"/>
      <c r="V44" s="2027"/>
    </row>
    <row r="45" spans="1:26" ht="15">
      <c r="A45" s="3407" t="str">
        <f>IF(项目基本情况!E8="已注销及未注销","4.抵押担保权已注销时的抵押价格",IF(项目基本情况!E8="已注销","3.抵押担保权已注销时的抵押价格","——"))</f>
        <v>3.抵押担保权已注销时的抵押价格</v>
      </c>
      <c r="B45" s="3408"/>
      <c r="C45" s="1803">
        <f ca="1">IF(A45="——","——",IF(项目基本情况!E8="抵押价格","——",C32-G34-G35))</f>
        <v>57911</v>
      </c>
      <c r="D45" s="320">
        <f ca="1">ROUND(C45*10000/'数据-汇总表'!E3,0)</f>
        <v>1265</v>
      </c>
      <c r="E45" s="320">
        <f ca="1">ROUND(C45*10000/'数据-汇总表'!D3,0)</f>
        <v>3649</v>
      </c>
      <c r="F45" s="321">
        <f ca="1">ROUND(C45/('数据-汇总表'!D3/666.67),0)</f>
        <v>243</v>
      </c>
      <c r="G45" s="314"/>
      <c r="H45" s="314"/>
      <c r="I45" s="322"/>
      <c r="J45" s="2029"/>
      <c r="K45" s="2027"/>
      <c r="L45" s="2027"/>
      <c r="M45" s="2027"/>
      <c r="N45" s="2027"/>
      <c r="O45" s="2027"/>
      <c r="P45" s="2027"/>
      <c r="V45" s="2027"/>
    </row>
    <row r="46" spans="1:26" ht="15.75" thickBot="1">
      <c r="A46" s="3404" t="str">
        <f>IF(项目基本情况!E9="抵押净值",IF(A45="——","4.抵押净值","5.抵押净值"),"——")</f>
        <v>——</v>
      </c>
      <c r="B46" s="3405"/>
      <c r="C46" s="323" t="str">
        <f>IF(A46="——","——",O79)</f>
        <v>——</v>
      </c>
      <c r="D46" s="320" t="e">
        <f>ROUND(C46*10000/'数据-汇总表'!E3,0)</f>
        <v>#VALUE!</v>
      </c>
      <c r="E46" s="320" t="e">
        <f>ROUND(C46*10000/'数据-汇总表'!D3,0)</f>
        <v>#VALUE!</v>
      </c>
      <c r="F46" s="321" t="e">
        <f>ROUND(C46/('数据-汇总表'!D3/666.67),0)</f>
        <v>#VALUE!</v>
      </c>
      <c r="G46" s="314"/>
      <c r="H46" s="314"/>
      <c r="I46" s="322"/>
      <c r="J46" s="2029"/>
      <c r="K46" s="2027"/>
      <c r="L46" s="2027"/>
      <c r="M46" s="2027"/>
      <c r="N46" s="2027"/>
      <c r="O46" s="2027"/>
      <c r="P46" s="2027"/>
      <c r="Q46" s="2027"/>
      <c r="R46" s="2027"/>
      <c r="S46" s="2027"/>
      <c r="T46" s="2027"/>
      <c r="U46" s="2027"/>
      <c r="V46" s="2027"/>
    </row>
    <row r="47" spans="1:26" ht="15.75">
      <c r="A47" s="324" t="s">
        <v>366</v>
      </c>
      <c r="B47" s="1282"/>
      <c r="C47" s="325" t="s">
        <v>367</v>
      </c>
      <c r="D47" s="326"/>
      <c r="E47" s="326"/>
      <c r="F47" s="326"/>
      <c r="G47" s="327"/>
      <c r="H47" s="328"/>
      <c r="I47" s="329"/>
      <c r="J47" s="2029"/>
      <c r="K47" s="314"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30">
        <v>1</v>
      </c>
      <c r="B48" s="331"/>
      <c r="C48" s="331"/>
      <c r="D48" s="326"/>
      <c r="E48" s="326"/>
      <c r="F48" s="326"/>
      <c r="G48" s="326"/>
      <c r="H48" s="332"/>
      <c r="I48" s="333"/>
      <c r="J48" s="2029"/>
      <c r="K48" s="2027"/>
      <c r="L48" s="2027"/>
      <c r="M48" s="2027"/>
      <c r="N48" s="2027"/>
      <c r="O48" s="2027"/>
      <c r="P48" s="2027"/>
      <c r="Q48" s="2027"/>
      <c r="R48" s="2027"/>
      <c r="S48" s="2027"/>
      <c r="T48" s="2027"/>
      <c r="U48" s="2027"/>
      <c r="V48" s="2027"/>
    </row>
    <row r="49" spans="1:22" ht="12.75">
      <c r="A49" s="330">
        <v>2</v>
      </c>
      <c r="B49" s="331"/>
      <c r="C49" s="331"/>
      <c r="D49" s="326"/>
      <c r="E49" s="326"/>
      <c r="F49" s="326"/>
      <c r="G49" s="326"/>
      <c r="H49" s="332"/>
      <c r="I49" s="333"/>
      <c r="J49" s="2030"/>
      <c r="K49" s="2027"/>
      <c r="L49" s="2027"/>
      <c r="M49" s="2027"/>
      <c r="N49" s="2027"/>
      <c r="O49" s="2027"/>
      <c r="P49" s="2027"/>
      <c r="Q49" s="2027"/>
      <c r="R49" s="2027"/>
      <c r="S49" s="2027"/>
      <c r="T49" s="2027"/>
      <c r="U49" s="2027"/>
      <c r="V49" s="2027"/>
    </row>
    <row r="50" spans="1:22" ht="12.75">
      <c r="A50" s="330">
        <v>3</v>
      </c>
      <c r="B50" s="331"/>
      <c r="C50" s="331"/>
      <c r="D50" s="326"/>
      <c r="E50" s="326"/>
      <c r="F50" s="326"/>
      <c r="G50" s="326"/>
      <c r="H50" s="332"/>
      <c r="I50" s="333"/>
      <c r="J50" s="2030"/>
      <c r="K50" s="2027"/>
      <c r="L50" s="2027"/>
      <c r="M50" s="2027"/>
      <c r="N50" s="2027"/>
      <c r="O50" s="2027"/>
      <c r="P50" s="2027"/>
      <c r="Q50" s="2027"/>
      <c r="R50" s="2027"/>
      <c r="S50" s="2027"/>
      <c r="T50" s="2027"/>
      <c r="U50" s="2027"/>
      <c r="V50" s="2027"/>
    </row>
    <row r="51" spans="1:22" ht="12.75">
      <c r="A51" s="334"/>
      <c r="B51" s="335"/>
      <c r="C51" s="335"/>
      <c r="D51" s="336"/>
      <c r="E51" s="336"/>
      <c r="F51" s="336"/>
      <c r="G51" s="336"/>
      <c r="H51" s="337"/>
      <c r="I51" s="338"/>
      <c r="J51" s="2030"/>
      <c r="K51" s="2027"/>
      <c r="L51" s="2027"/>
      <c r="M51" s="2027"/>
      <c r="N51" s="2027"/>
      <c r="O51" s="2027"/>
      <c r="P51" s="2027"/>
      <c r="Q51" s="2027"/>
      <c r="R51" s="2027"/>
      <c r="S51" s="2027"/>
      <c r="T51" s="2027"/>
      <c r="U51" s="2027"/>
      <c r="V51" s="2027"/>
    </row>
    <row r="52" spans="1:22" ht="12.75">
      <c r="A52" s="331"/>
      <c r="B52" s="331"/>
      <c r="C52" s="331"/>
      <c r="D52" s="326"/>
      <c r="E52" s="326"/>
      <c r="F52" s="326"/>
      <c r="G52" s="326"/>
      <c r="H52" s="332"/>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9" t="s">
        <v>368</v>
      </c>
      <c r="G53" s="340"/>
      <c r="H53" s="340"/>
      <c r="I53" s="341" t="s">
        <v>369</v>
      </c>
      <c r="J53" s="2030"/>
      <c r="K53" s="2027"/>
      <c r="L53" s="2027"/>
      <c r="M53" s="2027"/>
      <c r="N53" s="2027"/>
      <c r="O53" s="2027"/>
      <c r="P53" s="2027"/>
      <c r="Q53" s="2027"/>
      <c r="R53" s="2027"/>
      <c r="S53" s="2027"/>
      <c r="T53" s="2027"/>
      <c r="U53" s="2027"/>
      <c r="V53" s="2027"/>
    </row>
    <row r="54" spans="1:22" ht="12.75">
      <c r="A54" s="257"/>
      <c r="B54" s="342"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40"/>
      <c r="C56" s="340"/>
      <c r="D56" s="340"/>
      <c r="E56" s="340"/>
      <c r="F56" s="340"/>
      <c r="G56" s="340"/>
      <c r="H56" s="340"/>
      <c r="I56" s="341" t="s">
        <v>371</v>
      </c>
      <c r="J56" s="2030"/>
      <c r="K56" s="2027"/>
      <c r="L56" s="2027"/>
      <c r="M56" s="2027"/>
      <c r="N56" s="2027"/>
      <c r="O56" s="2027"/>
      <c r="P56" s="2027"/>
      <c r="Q56" s="2027"/>
      <c r="R56" s="2027"/>
      <c r="S56" s="2027"/>
      <c r="T56" s="2027"/>
      <c r="U56" s="2027"/>
      <c r="V56" s="2027"/>
    </row>
    <row r="57" spans="1:22" ht="12.75">
      <c r="A57" s="257"/>
      <c r="B57" s="342"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42"/>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40"/>
      <c r="C59" s="340"/>
      <c r="D59" s="340"/>
      <c r="E59" s="340"/>
      <c r="F59" s="340"/>
      <c r="G59" s="340"/>
      <c r="H59" s="340"/>
      <c r="I59" s="341"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42"/>
      <c r="C61" s="343"/>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71" t="s">
        <v>374</v>
      </c>
      <c r="B63" s="3372"/>
      <c r="C63" s="3373"/>
      <c r="D63" s="344">
        <f ca="1">ROUND(C42*F63,0)</f>
        <v>34747</v>
      </c>
      <c r="E63" s="305" t="s">
        <v>375</v>
      </c>
      <c r="F63" s="345">
        <v>0.6</v>
      </c>
      <c r="G63" s="346" t="s">
        <v>376</v>
      </c>
      <c r="H63" s="314"/>
      <c r="I63" s="314"/>
      <c r="J63" s="2027"/>
      <c r="K63" s="2027"/>
      <c r="L63" s="2027"/>
      <c r="M63" s="2027"/>
      <c r="N63" s="2027"/>
      <c r="O63" s="2027"/>
      <c r="P63" s="314"/>
      <c r="Q63" s="2027"/>
      <c r="R63" s="2027"/>
      <c r="S63" s="2027"/>
      <c r="T63" s="2027"/>
      <c r="U63" s="2027"/>
      <c r="V63" s="2027"/>
    </row>
    <row r="64" spans="1:22" ht="14.25" customHeight="1">
      <c r="A64" s="3409" t="s">
        <v>378</v>
      </c>
      <c r="B64" s="3410"/>
      <c r="C64" s="3410"/>
      <c r="D64" s="3410"/>
      <c r="E64" s="3410"/>
      <c r="F64" s="3410"/>
      <c r="G64" s="3411"/>
      <c r="H64" s="1287"/>
      <c r="I64" s="949"/>
      <c r="J64" s="1989"/>
      <c r="K64" s="1560" t="s">
        <v>377</v>
      </c>
      <c r="L64" s="11"/>
      <c r="M64" s="11"/>
      <c r="N64" s="11"/>
      <c r="O64" s="11"/>
      <c r="P64" s="314"/>
      <c r="Q64" s="2027"/>
      <c r="R64" s="2027"/>
      <c r="S64" s="2027"/>
      <c r="T64" s="2027"/>
      <c r="U64" s="2027"/>
      <c r="V64" s="2027"/>
    </row>
    <row r="65" spans="1:22" ht="12" customHeight="1">
      <c r="A65" s="347" t="s">
        <v>380</v>
      </c>
      <c r="B65" s="348"/>
      <c r="C65" s="349"/>
      <c r="D65" s="350" t="s">
        <v>381</v>
      </c>
      <c r="E65" s="53" t="s">
        <v>382</v>
      </c>
      <c r="F65" s="351" t="s">
        <v>383</v>
      </c>
      <c r="G65" s="352" t="s">
        <v>384</v>
      </c>
      <c r="H65" s="1287"/>
      <c r="I65" s="949"/>
      <c r="J65" s="1989"/>
      <c r="K65" s="1288"/>
      <c r="L65" s="1289"/>
      <c r="M65" s="1289"/>
      <c r="N65" s="1321" t="s">
        <v>379</v>
      </c>
      <c r="O65" s="1322"/>
      <c r="P65" s="1323"/>
      <c r="Q65" s="2027"/>
      <c r="R65" s="2027"/>
      <c r="S65" s="2027"/>
      <c r="T65" s="2027"/>
      <c r="U65" s="2027"/>
      <c r="V65" s="2027"/>
    </row>
    <row r="66" spans="1:22" ht="25.5">
      <c r="A66" s="3406" t="s">
        <v>386</v>
      </c>
      <c r="B66" s="3378"/>
      <c r="C66" s="3378"/>
      <c r="D66" s="261">
        <f ca="1">IF(H66="情况1",0,IF(H66="情况2",D70,IF(H66="情况3",D71,IF(H66="情况4",D72))))</f>
        <v>1853</v>
      </c>
      <c r="E66" s="992" t="str">
        <f>IF(H66="情况4","(销售额-原购置价)×税（费）率","销售额×税（费）率")</f>
        <v>销售额×税（费）率</v>
      </c>
      <c r="F66" s="353">
        <f>IF(H66="情况1","免征",'数据-取费表'!B41)</f>
        <v>5.6000000000000001E-2</v>
      </c>
      <c r="G66" s="354" t="s">
        <v>387</v>
      </c>
      <c r="H66" s="191" t="s">
        <v>388</v>
      </c>
      <c r="I66" s="1287"/>
      <c r="J66" s="2033"/>
      <c r="K66" s="1290">
        <v>1</v>
      </c>
      <c r="L66" s="3347" t="s">
        <v>385</v>
      </c>
      <c r="M66" s="3348"/>
      <c r="N66" s="2479"/>
      <c r="O66" s="2480"/>
      <c r="P66" s="2481"/>
      <c r="Q66" s="2027"/>
      <c r="R66" s="2027"/>
      <c r="S66" s="2027"/>
      <c r="T66" s="2027"/>
      <c r="U66" s="2027"/>
      <c r="V66" s="2027"/>
    </row>
    <row r="67" spans="1:22" ht="25.5" customHeight="1">
      <c r="A67" s="355" t="s">
        <v>390</v>
      </c>
      <c r="B67" s="3390" t="s">
        <v>391</v>
      </c>
      <c r="C67" s="3390"/>
      <c r="D67" s="356">
        <v>0</v>
      </c>
      <c r="E67" s="41" t="s">
        <v>392</v>
      </c>
      <c r="F67" s="62" t="s">
        <v>21</v>
      </c>
      <c r="G67" s="3374"/>
      <c r="H67" s="314"/>
      <c r="I67" s="1291"/>
      <c r="J67" s="2034"/>
      <c r="K67" s="1975">
        <v>2</v>
      </c>
      <c r="L67" s="3346" t="s">
        <v>389</v>
      </c>
      <c r="M67" s="3346"/>
      <c r="N67" s="1324">
        <f>'数据-取费表'!B2</f>
        <v>43031</v>
      </c>
      <c r="O67" s="1324"/>
      <c r="P67" s="1324"/>
      <c r="Q67" s="2027"/>
      <c r="R67" s="2027"/>
      <c r="S67" s="2027"/>
      <c r="T67" s="2027"/>
      <c r="U67" s="2027"/>
      <c r="V67" s="2027"/>
    </row>
    <row r="68" spans="1:22" ht="25.5" customHeight="1">
      <c r="A68" s="357"/>
      <c r="B68" s="3390" t="s">
        <v>394</v>
      </c>
      <c r="C68" s="3390"/>
      <c r="D68" s="358"/>
      <c r="E68" s="77"/>
      <c r="F68" s="359"/>
      <c r="G68" s="3375"/>
      <c r="H68" s="314"/>
      <c r="I68" s="1291"/>
      <c r="J68" s="2034"/>
      <c r="K68" s="1975">
        <v>3</v>
      </c>
      <c r="L68" s="3346" t="s">
        <v>393</v>
      </c>
      <c r="M68" s="3346"/>
      <c r="N68" s="1292">
        <f ca="1">C42</f>
        <v>57911</v>
      </c>
      <c r="O68" s="1292"/>
      <c r="P68" s="1292"/>
      <c r="Q68" s="2027"/>
      <c r="R68" s="2027"/>
      <c r="S68" s="2027"/>
      <c r="T68" s="2027"/>
      <c r="U68" s="2027"/>
      <c r="V68" s="2027"/>
    </row>
    <row r="69" spans="1:22" ht="12" customHeight="1">
      <c r="A69" s="360"/>
      <c r="B69" s="3390" t="s">
        <v>395</v>
      </c>
      <c r="C69" s="3390"/>
      <c r="D69" s="361"/>
      <c r="E69" s="73"/>
      <c r="F69" s="359"/>
      <c r="G69" s="3376"/>
      <c r="H69" s="314"/>
      <c r="I69" s="1291"/>
      <c r="J69" s="2034"/>
      <c r="K69" s="1293">
        <v>4</v>
      </c>
      <c r="L69" s="3352" t="s">
        <v>2889</v>
      </c>
      <c r="M69" s="3353"/>
      <c r="N69" s="1294" t="str">
        <f>C44</f>
        <v>——</v>
      </c>
      <c r="O69" s="1294"/>
      <c r="P69" s="1294"/>
      <c r="Q69" s="2027"/>
      <c r="R69" s="2027"/>
      <c r="S69" s="2027"/>
      <c r="T69" s="2027"/>
      <c r="U69" s="2027"/>
      <c r="V69" s="2027"/>
    </row>
    <row r="70" spans="1:22" ht="24" customHeight="1">
      <c r="A70" s="362" t="s">
        <v>396</v>
      </c>
      <c r="B70" s="3390" t="s">
        <v>397</v>
      </c>
      <c r="C70" s="3390"/>
      <c r="D70" s="361">
        <f ca="1">ROUND(D63*'数据-取费表'!B41/(1+'数据-取费表'!C42),0)</f>
        <v>1853</v>
      </c>
      <c r="E70" s="17" t="s">
        <v>398</v>
      </c>
      <c r="F70" s="363">
        <f>'数据-取费表'!B41</f>
        <v>5.6000000000000001E-2</v>
      </c>
      <c r="G70" s="364"/>
      <c r="H70" s="314"/>
      <c r="I70" s="1291"/>
      <c r="J70" s="2034"/>
      <c r="K70" s="3083"/>
      <c r="L70" s="3084"/>
      <c r="M70" s="3084"/>
      <c r="N70" s="3085" t="s">
        <v>2894</v>
      </c>
      <c r="O70" s="3084"/>
      <c r="P70" s="3086"/>
      <c r="Q70" s="2027"/>
      <c r="R70" s="2027"/>
      <c r="S70" s="2027"/>
      <c r="T70" s="2027"/>
      <c r="U70" s="2027"/>
      <c r="V70" s="2027"/>
    </row>
    <row r="71" spans="1:22" ht="12" customHeight="1">
      <c r="A71" s="362" t="s">
        <v>404</v>
      </c>
      <c r="B71" s="3389" t="s">
        <v>405</v>
      </c>
      <c r="C71" s="3400"/>
      <c r="D71" s="361">
        <f ca="1">ROUND(D63*'数据-取费表'!B41/(1+'数据-取费表'!C42),0)</f>
        <v>1853</v>
      </c>
      <c r="E71" s="17" t="s">
        <v>398</v>
      </c>
      <c r="F71" s="363">
        <f>'数据-取费表'!B41</f>
        <v>5.6000000000000001E-2</v>
      </c>
      <c r="G71" s="364"/>
      <c r="H71" s="314"/>
      <c r="I71" s="1291"/>
      <c r="J71" s="2034"/>
      <c r="K71" s="3082" t="s">
        <v>399</v>
      </c>
      <c r="L71" s="3354" t="s">
        <v>400</v>
      </c>
      <c r="M71" s="3354"/>
      <c r="N71" s="3082" t="s">
        <v>401</v>
      </c>
      <c r="O71" s="3082" t="s">
        <v>402</v>
      </c>
      <c r="P71" s="3082" t="s">
        <v>403</v>
      </c>
      <c r="Q71" s="2027"/>
      <c r="R71" s="2027"/>
      <c r="S71" s="2027"/>
      <c r="T71" s="2027"/>
      <c r="U71" s="2027"/>
      <c r="V71" s="2027"/>
    </row>
    <row r="72" spans="1:22" ht="12" customHeight="1">
      <c r="A72" s="362" t="s">
        <v>407</v>
      </c>
      <c r="B72" s="3389" t="s">
        <v>408</v>
      </c>
      <c r="C72" s="3400"/>
      <c r="D72" s="361">
        <f ca="1">C86</f>
        <v>1741</v>
      </c>
      <c r="E72" s="73" t="s">
        <v>409</v>
      </c>
      <c r="F72" s="363">
        <f>'数据-取费表'!B41</f>
        <v>5.6000000000000001E-2</v>
      </c>
      <c r="G72" s="364"/>
      <c r="H72" s="1297"/>
      <c r="I72" s="1291"/>
      <c r="J72" s="2034"/>
      <c r="K72" s="1975">
        <v>1</v>
      </c>
      <c r="L72" s="3351" t="s">
        <v>406</v>
      </c>
      <c r="M72" s="3351"/>
      <c r="N72" s="1295">
        <f ca="1">D66</f>
        <v>1853</v>
      </c>
      <c r="O72" s="1859" t="str">
        <f>E66</f>
        <v>销售额×税（费）率</v>
      </c>
      <c r="P72" s="1296">
        <f>F66</f>
        <v>5.6000000000000001E-2</v>
      </c>
      <c r="Q72" s="2027"/>
      <c r="R72" s="2027"/>
      <c r="S72" s="2027"/>
      <c r="T72" s="2027"/>
      <c r="U72" s="2027"/>
      <c r="V72" s="2027"/>
    </row>
    <row r="73" spans="1:22" ht="24" customHeight="1">
      <c r="A73" s="3377" t="s">
        <v>411</v>
      </c>
      <c r="B73" s="3378"/>
      <c r="C73" s="3378"/>
      <c r="D73" s="365">
        <f>IF(H73="个人住宅",0,ROUND(D63*I73,0))</f>
        <v>0</v>
      </c>
      <c r="E73" s="17" t="s">
        <v>412</v>
      </c>
      <c r="F73" s="363" t="str">
        <f>IF(H73="正常",I73,"免征")</f>
        <v>免征</v>
      </c>
      <c r="G73" s="364"/>
      <c r="H73" s="191" t="s">
        <v>2458</v>
      </c>
      <c r="I73" s="363">
        <f>'数据-取费表'!B49</f>
        <v>5.0000000000000001E-4</v>
      </c>
      <c r="J73" s="2034"/>
      <c r="K73" s="1975">
        <v>2</v>
      </c>
      <c r="L73" s="3351" t="s">
        <v>410</v>
      </c>
      <c r="M73" s="3351"/>
      <c r="N73" s="1295">
        <f t="shared" ref="N73:P74" si="1">D73</f>
        <v>0</v>
      </c>
      <c r="O73" s="1859" t="str">
        <f t="shared" si="1"/>
        <v>销售额×税（费）率</v>
      </c>
      <c r="P73" s="1296" t="str">
        <f t="shared" si="1"/>
        <v>免征</v>
      </c>
      <c r="Q73" s="2027"/>
      <c r="R73" s="2027"/>
      <c r="S73" s="2027"/>
      <c r="T73" s="2027"/>
      <c r="U73" s="2027"/>
      <c r="V73" s="2027"/>
    </row>
    <row r="74" spans="1:22" ht="24.75">
      <c r="A74" s="3377" t="s">
        <v>415</v>
      </c>
      <c r="B74" s="3378"/>
      <c r="C74" s="3378"/>
      <c r="D74" s="365">
        <f ca="1">IF(H74="个人住宅",D75,D76)</f>
        <v>19011</v>
      </c>
      <c r="E74" s="17" t="s">
        <v>416</v>
      </c>
      <c r="F74" s="363" t="str">
        <f>IF(H74="正常",F76,"免征")</f>
        <v>——</v>
      </c>
      <c r="G74" s="982" t="s">
        <v>417</v>
      </c>
      <c r="H74" s="366" t="s">
        <v>413</v>
      </c>
      <c r="I74" s="42"/>
      <c r="J74" s="2034"/>
      <c r="K74" s="1975">
        <v>3</v>
      </c>
      <c r="L74" s="3351" t="s">
        <v>414</v>
      </c>
      <c r="M74" s="3351"/>
      <c r="N74" s="1295">
        <f t="shared" ca="1" si="1"/>
        <v>19011</v>
      </c>
      <c r="O74" s="1859" t="str">
        <f t="shared" si="1"/>
        <v>增值额×税（费）率</v>
      </c>
      <c r="P74" s="1298" t="str">
        <f t="shared" si="1"/>
        <v>——</v>
      </c>
      <c r="Q74" s="2027"/>
      <c r="R74" s="2027"/>
      <c r="S74" s="2027"/>
      <c r="T74" s="2027"/>
      <c r="U74" s="2027"/>
      <c r="V74" s="2027"/>
    </row>
    <row r="75" spans="1:22" ht="24">
      <c r="A75" s="362" t="s">
        <v>418</v>
      </c>
      <c r="B75" s="3358" t="s">
        <v>419</v>
      </c>
      <c r="C75" s="3359"/>
      <c r="D75" s="367">
        <v>0</v>
      </c>
      <c r="E75" s="41" t="s">
        <v>420</v>
      </c>
      <c r="F75" s="368"/>
      <c r="G75" s="364"/>
      <c r="H75" s="42"/>
      <c r="I75" s="42"/>
      <c r="J75" s="2034"/>
      <c r="K75" s="3075">
        <f>IF(H77="非个人房产","",4)</f>
        <v>4</v>
      </c>
      <c r="L75" s="3351" t="str">
        <f>IF(H77="非个人房产","——","个人所得税")</f>
        <v>个人所得税</v>
      </c>
      <c r="M75" s="3351"/>
      <c r="N75" s="1299">
        <f ca="1">D77</f>
        <v>347</v>
      </c>
      <c r="O75" s="1872" t="str">
        <f>E77</f>
        <v>销售额×税（费）率</v>
      </c>
      <c r="P75" s="1300">
        <f>F77</f>
        <v>0.01</v>
      </c>
      <c r="Q75" s="2027"/>
      <c r="R75" s="2027"/>
      <c r="S75" s="2027"/>
      <c r="T75" s="2027"/>
      <c r="U75" s="2027"/>
      <c r="V75" s="2027"/>
    </row>
    <row r="76" spans="1:22" ht="24.75">
      <c r="A76" s="362" t="s">
        <v>396</v>
      </c>
      <c r="B76" s="3358" t="s">
        <v>422</v>
      </c>
      <c r="C76" s="3399"/>
      <c r="D76" s="365">
        <f ca="1">IF(H76="转让取得",C99,C115)</f>
        <v>19011</v>
      </c>
      <c r="E76" s="17" t="s">
        <v>423</v>
      </c>
      <c r="F76" s="53" t="s">
        <v>21</v>
      </c>
      <c r="G76" s="364"/>
      <c r="H76" s="366" t="s">
        <v>424</v>
      </c>
      <c r="I76" s="42"/>
      <c r="J76" s="2034"/>
      <c r="K76" s="3075"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7"/>
      <c r="R76" s="2027"/>
      <c r="S76" s="2027"/>
      <c r="T76" s="2027"/>
      <c r="U76" s="2027"/>
      <c r="V76" s="2027"/>
    </row>
    <row r="77" spans="1:22" ht="26.25" thickBot="1">
      <c r="A77" s="3369" t="s">
        <v>426</v>
      </c>
      <c r="B77" s="3370"/>
      <c r="C77" s="3370"/>
      <c r="D77" s="369">
        <f ca="1">IF(H77="非个人房产","——",IF(H77="个人住宅",0,ROUND(D63*I77,0)))</f>
        <v>347</v>
      </c>
      <c r="E77" s="370" t="str">
        <f>IF(H77="非个人房产","——","销售额×税（费）率")</f>
        <v>销售额×税（费）率</v>
      </c>
      <c r="F77" s="371">
        <f>IF(H77="非个人房产","——",IF(H77="个人住宅","免征",I77))</f>
        <v>0.01</v>
      </c>
      <c r="G77" s="983" t="s">
        <v>417</v>
      </c>
      <c r="H77" s="366" t="s">
        <v>2890</v>
      </c>
      <c r="I77" s="372">
        <v>0.01</v>
      </c>
      <c r="J77" s="2034"/>
      <c r="K77" s="3365">
        <f>IF(AND(K75="",K76=""),4,IF(项目基本情况!K6="上海银行",K76+1,K75+1))</f>
        <v>5</v>
      </c>
      <c r="L77" s="3351" t="s">
        <v>2891</v>
      </c>
      <c r="M77" s="3081" t="s">
        <v>421</v>
      </c>
      <c r="N77" s="1301"/>
      <c r="O77" s="1302">
        <f ca="1">SUMIF(N72:N76,"&lt;9e307")</f>
        <v>21211</v>
      </c>
      <c r="P77" s="1303"/>
      <c r="Q77" s="3079" t="e">
        <f ca="1">O77/N69</f>
        <v>#VALUE!</v>
      </c>
      <c r="R77" s="2027"/>
      <c r="S77" s="2027"/>
      <c r="T77" s="2027"/>
      <c r="U77" s="2027"/>
      <c r="V77" s="2027"/>
    </row>
    <row r="78" spans="1:22" ht="12" customHeight="1">
      <c r="A78" s="1304"/>
      <c r="B78" s="314"/>
      <c r="C78" s="314"/>
      <c r="D78" s="314"/>
      <c r="E78" s="42"/>
      <c r="F78" s="42"/>
      <c r="G78" s="42"/>
      <c r="H78" s="1002"/>
      <c r="I78" s="314"/>
      <c r="J78" s="2034"/>
      <c r="K78" s="3365"/>
      <c r="L78" s="3351"/>
      <c r="M78" s="3081" t="s">
        <v>425</v>
      </c>
      <c r="N78" s="1301"/>
      <c r="O78" s="1302" t="str">
        <f ca="1">NUMBERSTRING(INT(O77*10000),2)&amp;"元整"</f>
        <v>贰亿壹仟贰佰壹拾壹万元整</v>
      </c>
      <c r="P78" s="1303"/>
      <c r="Q78" s="2027"/>
      <c r="R78" s="2027"/>
      <c r="S78" s="2027"/>
      <c r="T78" s="2027"/>
      <c r="U78" s="2027"/>
      <c r="V78" s="2027"/>
    </row>
    <row r="79" spans="1:22" ht="13.5" thickBot="1">
      <c r="A79" s="3355" t="s">
        <v>427</v>
      </c>
      <c r="B79" s="3355"/>
      <c r="C79" s="3355"/>
      <c r="D79" s="3355"/>
      <c r="E79" s="3355"/>
      <c r="F79" s="42"/>
      <c r="G79" s="42"/>
      <c r="H79" s="1002"/>
      <c r="I79" s="314"/>
      <c r="J79" s="2034"/>
      <c r="K79" s="3349">
        <f>K77+1</f>
        <v>6</v>
      </c>
      <c r="L79" s="3351" t="s">
        <v>2892</v>
      </c>
      <c r="M79" s="3081" t="s">
        <v>421</v>
      </c>
      <c r="N79" s="1301"/>
      <c r="O79" s="1302" t="e">
        <f ca="1">N69-O77</f>
        <v>#VALUE!</v>
      </c>
      <c r="P79" s="1303"/>
      <c r="Q79" s="2027"/>
      <c r="R79" s="2027"/>
      <c r="S79" s="2027"/>
      <c r="T79" s="2027"/>
      <c r="U79" s="2027"/>
      <c r="V79" s="2027"/>
    </row>
    <row r="80" spans="1:22" ht="12.75">
      <c r="A80" s="3356" t="s">
        <v>428</v>
      </c>
      <c r="B80" s="3357"/>
      <c r="C80" s="993"/>
      <c r="D80" s="993" t="s">
        <v>429</v>
      </c>
      <c r="E80" s="373" t="s">
        <v>430</v>
      </c>
      <c r="F80" s="42"/>
      <c r="G80" s="42"/>
      <c r="H80" s="1002"/>
      <c r="I80" s="314"/>
      <c r="J80" s="2027"/>
      <c r="K80" s="3350"/>
      <c r="L80" s="3351"/>
      <c r="M80" s="3081" t="s">
        <v>425</v>
      </c>
      <c r="N80" s="1301"/>
      <c r="O80" s="1302" t="e">
        <f ca="1">NUMBERSTRING(INT(O79*10000),2)&amp;"元整"</f>
        <v>#VALUE!</v>
      </c>
      <c r="P80" s="1303"/>
      <c r="Q80" s="2027"/>
      <c r="R80" s="2027"/>
      <c r="S80" s="2027"/>
      <c r="T80" s="2027"/>
      <c r="U80" s="2027"/>
      <c r="V80" s="2027"/>
    </row>
    <row r="81" spans="1:26" ht="13.5" thickBot="1">
      <c r="A81" s="384" t="s">
        <v>1825</v>
      </c>
      <c r="B81" s="374" t="s">
        <v>431</v>
      </c>
      <c r="C81" s="375">
        <f ca="1">ROUND((C82+C83)/(1+'数据-取费表'!C42),0)</f>
        <v>33092</v>
      </c>
      <c r="D81" s="376"/>
      <c r="E81" s="377"/>
      <c r="F81" s="42"/>
      <c r="G81" s="42"/>
      <c r="H81" s="1002"/>
      <c r="I81" s="314"/>
      <c r="J81" s="2027"/>
      <c r="K81" s="3075">
        <f>K79+1</f>
        <v>7</v>
      </c>
      <c r="L81" s="3363" t="s">
        <v>2893</v>
      </c>
      <c r="M81" s="3364"/>
      <c r="N81" s="1305"/>
      <c r="O81" s="1306" t="e">
        <f ca="1">ROUND(O79*10000/'数据-汇总表'!E3,0)</f>
        <v>#VALUE!</v>
      </c>
      <c r="P81" s="1307"/>
      <c r="Q81" s="2027"/>
      <c r="R81" s="2027"/>
      <c r="S81" s="2027"/>
      <c r="T81" s="2027"/>
      <c r="U81" s="2027"/>
      <c r="V81" s="2027"/>
    </row>
    <row r="82" spans="1:26" ht="13.5" thickTop="1">
      <c r="A82" s="378" t="s">
        <v>1826</v>
      </c>
      <c r="B82" s="379" t="s">
        <v>432</v>
      </c>
      <c r="C82" s="380">
        <f ca="1">D63</f>
        <v>34747</v>
      </c>
      <c r="D82" s="381" t="s">
        <v>19</v>
      </c>
      <c r="E82" s="382"/>
      <c r="F82" s="42"/>
      <c r="G82" s="42"/>
      <c r="H82" s="1002"/>
      <c r="I82" s="314"/>
      <c r="J82" s="2027"/>
      <c r="K82" s="2027"/>
      <c r="L82" s="2027"/>
      <c r="M82" s="2027"/>
      <c r="N82" s="2027"/>
      <c r="O82" s="2027"/>
      <c r="P82" s="2027"/>
      <c r="Q82" s="2027"/>
      <c r="R82" s="2027"/>
      <c r="S82" s="2027"/>
      <c r="T82" s="2027"/>
      <c r="U82" s="2027"/>
      <c r="V82" s="2027"/>
    </row>
    <row r="83" spans="1:26" ht="12.75">
      <c r="A83" s="378" t="s">
        <v>1827</v>
      </c>
      <c r="B83" s="379" t="s">
        <v>433</v>
      </c>
      <c r="C83" s="383">
        <v>0</v>
      </c>
      <c r="D83" s="381"/>
      <c r="E83" s="382"/>
      <c r="F83" s="42"/>
      <c r="G83" s="42"/>
      <c r="H83" s="1002"/>
      <c r="I83" s="314"/>
      <c r="J83" s="2027"/>
      <c r="K83" s="3338" t="s">
        <v>2880</v>
      </c>
      <c r="L83" s="3087" t="s">
        <v>2881</v>
      </c>
      <c r="M83" s="3077" t="e">
        <f>IF(N69&gt;10000,N69*0.5%,IF(AND(N69&gt;1000,N69&lt;=10000),N69*1%,IF(AND(N69&gt;100,N69&lt;=1000),N69*3%,IF(AND(N69&gt;10,N69&lt;=100),N69*5%,N69*8%))))</f>
        <v>#VALUE!</v>
      </c>
      <c r="N83" s="53" t="e">
        <f>ROUND(M83,1)</f>
        <v>#VALUE!</v>
      </c>
      <c r="O83" s="3080"/>
      <c r="P83" s="2027"/>
      <c r="Q83" s="2027"/>
      <c r="R83" s="2027"/>
      <c r="S83" s="2027"/>
      <c r="T83" s="2027"/>
      <c r="U83" s="2027"/>
      <c r="V83" s="2027"/>
    </row>
    <row r="84" spans="1:26" ht="12.75">
      <c r="A84" s="384" t="s">
        <v>1828</v>
      </c>
      <c r="B84" s="385" t="s">
        <v>434</v>
      </c>
      <c r="C84" s="386">
        <v>2000</v>
      </c>
      <c r="D84" s="387" t="s">
        <v>19</v>
      </c>
      <c r="E84" s="3119" t="s">
        <v>2931</v>
      </c>
      <c r="F84" s="42"/>
      <c r="G84" s="42"/>
      <c r="H84" s="1002"/>
      <c r="I84" s="314"/>
      <c r="J84" s="2027"/>
      <c r="K84" s="3338"/>
      <c r="L84" s="3087" t="s">
        <v>2882</v>
      </c>
      <c r="M84" s="30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2883</v>
      </c>
      <c r="P84" s="2027"/>
      <c r="Q84" s="2027"/>
      <c r="R84" s="2027"/>
      <c r="S84" s="2027"/>
      <c r="T84" s="2027"/>
      <c r="U84" s="2027"/>
      <c r="V84" s="2027"/>
    </row>
    <row r="85" spans="1:26" ht="12.75">
      <c r="A85" s="384" t="s">
        <v>1829</v>
      </c>
      <c r="B85" s="385" t="s">
        <v>435</v>
      </c>
      <c r="C85" s="388">
        <f ca="1">C81-C84</f>
        <v>31092</v>
      </c>
      <c r="D85" s="381" t="s">
        <v>19</v>
      </c>
      <c r="E85" s="382"/>
      <c r="F85" s="42"/>
      <c r="G85" s="42"/>
      <c r="H85" s="1002"/>
      <c r="I85" s="314"/>
      <c r="J85" s="2027"/>
      <c r="K85" s="3338"/>
      <c r="L85" s="3087" t="s">
        <v>2884</v>
      </c>
      <c r="M85" s="3077" t="e">
        <f>IF(N69&gt;1000,N69*0.1%,IF(AND(N69&gt;500,N69&lt;=1000),N69*0.5%,IF(AND(N69&gt;50,N69&lt;=500),N69*1%,IF(AND(N69&gt;1,N69&lt;=50),N69*1.5%))))</f>
        <v>#VALUE!</v>
      </c>
      <c r="N85" s="53" t="e">
        <f t="shared" si="2"/>
        <v>#VALUE!</v>
      </c>
      <c r="O85" s="2027" t="s">
        <v>2883</v>
      </c>
      <c r="P85" s="2027"/>
      <c r="Q85" s="2027"/>
      <c r="R85" s="2027"/>
      <c r="S85" s="2027"/>
      <c r="T85" s="2027"/>
      <c r="U85" s="2027"/>
      <c r="V85" s="2027"/>
    </row>
    <row r="86" spans="1:26" ht="13.5" thickBot="1">
      <c r="A86" s="389" t="s">
        <v>1830</v>
      </c>
      <c r="B86" s="390" t="s">
        <v>436</v>
      </c>
      <c r="C86" s="391">
        <f ca="1">IF(C85&lt;=0,0,ROUND(C85*D86,0))</f>
        <v>1741</v>
      </c>
      <c r="D86" s="392">
        <f>'数据-取费表'!B41</f>
        <v>5.6000000000000001E-2</v>
      </c>
      <c r="E86" s="393"/>
      <c r="F86" s="42"/>
      <c r="G86" s="42"/>
      <c r="H86" s="1002"/>
      <c r="I86" s="314"/>
      <c r="J86" s="2027"/>
      <c r="K86" s="3338"/>
      <c r="L86" s="3087" t="s">
        <v>2885</v>
      </c>
      <c r="M86" s="3077" t="e">
        <f>N69*0.5%</f>
        <v>#VALUE!</v>
      </c>
      <c r="N86" s="53" t="e">
        <f>IF(M86&gt;0.5,0.5,ROUND(M86,0))</f>
        <v>#VALUE!</v>
      </c>
      <c r="O86" s="2027" t="s">
        <v>2886</v>
      </c>
      <c r="P86" s="2027"/>
      <c r="Q86" s="2027"/>
      <c r="R86" s="2027"/>
      <c r="S86" s="2027"/>
      <c r="T86" s="2027"/>
      <c r="U86" s="2027"/>
      <c r="V86" s="2027"/>
    </row>
    <row r="87" spans="1:26" s="1253" customFormat="1" ht="14.25" customHeight="1">
      <c r="A87" s="1308"/>
      <c r="B87" s="1309"/>
      <c r="C87" s="1310"/>
      <c r="D87" s="1311"/>
      <c r="E87" s="1312"/>
      <c r="F87" s="42"/>
      <c r="G87" s="42"/>
      <c r="H87" s="1002"/>
      <c r="I87" s="314"/>
      <c r="J87" s="2027"/>
      <c r="K87" s="3338"/>
      <c r="L87" s="3087" t="s">
        <v>2887</v>
      </c>
      <c r="M87" s="30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0"/>
      <c r="P87" s="314"/>
      <c r="Q87" s="2027"/>
      <c r="R87" s="2027"/>
      <c r="S87" s="2027"/>
      <c r="T87" s="2027"/>
      <c r="U87" s="2027"/>
      <c r="V87" s="2027"/>
      <c r="W87" s="292"/>
      <c r="X87" s="292"/>
      <c r="Y87" s="292"/>
      <c r="Z87" s="292"/>
    </row>
    <row r="88" spans="1:26" s="1313" customFormat="1" ht="15" thickBot="1">
      <c r="A88" s="3392" t="s">
        <v>437</v>
      </c>
      <c r="B88" s="3393"/>
      <c r="C88" s="3393"/>
      <c r="D88" s="3393"/>
      <c r="E88" s="3393"/>
      <c r="F88" s="3393"/>
      <c r="G88" s="3393"/>
      <c r="H88" s="3393"/>
      <c r="I88" s="1314"/>
      <c r="J88" s="2035"/>
      <c r="K88" s="3338"/>
      <c r="L88" s="3087" t="s">
        <v>2888</v>
      </c>
      <c r="M88" s="3077" t="e">
        <f>IF(N69&gt;10000,N69*0.5%,IF(AND(N69&gt;5000,N69&lt;=10000),N69*1%,IF(AND(N69&gt;1000,N69&lt;=5000),N69*2%,IF(AND(N69&gt;200,N69&lt;=1000),N69*3%,N69*5%))))</f>
        <v>#VALUE!</v>
      </c>
      <c r="N88" s="53" t="e">
        <f>ROUND(M88,1)</f>
        <v>#VALUE!</v>
      </c>
      <c r="O88" s="3080"/>
      <c r="P88" s="11"/>
      <c r="Q88" s="2032"/>
      <c r="R88" s="2032"/>
      <c r="S88" s="2032"/>
      <c r="T88" s="2032"/>
      <c r="U88" s="2032"/>
      <c r="V88" s="2032"/>
      <c r="W88" s="2036"/>
      <c r="X88" s="2036"/>
      <c r="Y88" s="2036"/>
      <c r="Z88" s="2036"/>
    </row>
    <row r="89" spans="1:26" s="1313" customFormat="1" ht="14.25">
      <c r="A89" s="3356" t="s">
        <v>428</v>
      </c>
      <c r="B89" s="3357"/>
      <c r="C89" s="993"/>
      <c r="D89" s="993" t="s">
        <v>429</v>
      </c>
      <c r="E89" s="394" t="s">
        <v>438</v>
      </c>
      <c r="F89" s="395"/>
      <c r="G89" s="395"/>
      <c r="H89" s="396"/>
      <c r="I89" s="1315"/>
      <c r="J89" s="2037"/>
      <c r="K89" s="3338"/>
      <c r="L89" s="3087" t="s">
        <v>27</v>
      </c>
      <c r="M89" s="3078"/>
      <c r="N89" s="53" t="e">
        <f>ROUND(SUM(N83:N88),0)</f>
        <v>#VALUE!</v>
      </c>
      <c r="O89" s="3088" t="e">
        <f>N89/N69</f>
        <v>#VALUE!</v>
      </c>
      <c r="P89" s="2032"/>
      <c r="Q89" s="2032"/>
      <c r="R89" s="2032"/>
      <c r="S89" s="2032"/>
      <c r="T89" s="2032"/>
      <c r="U89" s="2032"/>
      <c r="V89" s="2032"/>
      <c r="W89" s="2036"/>
      <c r="X89" s="2036"/>
      <c r="Y89" s="2036"/>
      <c r="Z89" s="2036"/>
    </row>
    <row r="90" spans="1:26" s="1313" customFormat="1" ht="14.25">
      <c r="A90" s="384" t="s">
        <v>1825</v>
      </c>
      <c r="B90" s="385" t="s">
        <v>439</v>
      </c>
      <c r="C90" s="388">
        <f ca="1">ROUND(D63/(1+'数据-取费表'!C42),0)</f>
        <v>33092</v>
      </c>
      <c r="D90" s="381" t="s">
        <v>19</v>
      </c>
      <c r="E90" s="990"/>
      <c r="F90" s="989"/>
      <c r="G90" s="989"/>
      <c r="H90" s="397"/>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4" t="s">
        <v>1831</v>
      </c>
      <c r="B91" s="351" t="s">
        <v>440</v>
      </c>
      <c r="C91" s="388">
        <f ca="1">C92+C96</f>
        <v>2760</v>
      </c>
      <c r="D91" s="381" t="s">
        <v>19</v>
      </c>
      <c r="E91" s="990"/>
      <c r="F91" s="989"/>
      <c r="G91" s="989"/>
      <c r="H91" s="397"/>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8" t="s">
        <v>1832</v>
      </c>
      <c r="B92" s="379" t="s">
        <v>441</v>
      </c>
      <c r="C92" s="381">
        <f>ROUND(IF(G95="2016年5月1日后购买",C93/(1+'数据-取费表'!C30)+C94+C95,C93+C94+C95),0)</f>
        <v>2561</v>
      </c>
      <c r="D92" s="381" t="s">
        <v>19</v>
      </c>
      <c r="E92" s="990"/>
      <c r="F92" s="989"/>
      <c r="G92" s="989"/>
      <c r="H92" s="397"/>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8" t="s">
        <v>1833</v>
      </c>
      <c r="B93" s="379" t="s">
        <v>442</v>
      </c>
      <c r="C93" s="399">
        <v>2000</v>
      </c>
      <c r="D93" s="381" t="s">
        <v>19</v>
      </c>
      <c r="E93" s="400" t="s">
        <v>443</v>
      </c>
      <c r="F93" s="401" t="s">
        <v>444</v>
      </c>
      <c r="G93" s="400" t="s">
        <v>445</v>
      </c>
      <c r="H93" s="402">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8" t="s">
        <v>1834</v>
      </c>
      <c r="B94" s="403" t="s">
        <v>446</v>
      </c>
      <c r="C94" s="381">
        <f>IF(F93="购房发票",ROUND(C93*H93*5%,0),0)</f>
        <v>500</v>
      </c>
      <c r="D94" s="404">
        <v>0.05</v>
      </c>
      <c r="E94" s="3389" t="s">
        <v>447</v>
      </c>
      <c r="F94" s="3390"/>
      <c r="G94" s="3390"/>
      <c r="H94" s="339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2431</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8" t="s">
        <v>1836</v>
      </c>
      <c r="B96" s="379" t="s">
        <v>450</v>
      </c>
      <c r="C96" s="408">
        <f ca="1">ROUND(D63*D96/(1+'数据-取费表'!C42),0)</f>
        <v>199</v>
      </c>
      <c r="D96" s="409">
        <f>'数据-取费表'!B43</f>
        <v>6.000000000000001E-3</v>
      </c>
      <c r="E96" s="3379" t="s">
        <v>2430</v>
      </c>
      <c r="F96" s="3380"/>
      <c r="G96" s="3380"/>
      <c r="H96" s="338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5" t="s">
        <v>451</v>
      </c>
      <c r="C97" s="388">
        <f ca="1">C90-C91</f>
        <v>30332</v>
      </c>
      <c r="D97" s="381" t="s">
        <v>19</v>
      </c>
      <c r="E97" s="990"/>
      <c r="F97" s="989"/>
      <c r="G97" s="989"/>
      <c r="H97" s="397"/>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5" t="s">
        <v>452</v>
      </c>
      <c r="C98" s="410">
        <f ca="1">IF(C97&lt;=0,0,C97/C91)</f>
        <v>10.989855072463769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7"/>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90" t="s">
        <v>453</v>
      </c>
      <c r="C99" s="411">
        <f ca="1">ROUND(IF(C97&lt;=0,0,IF(C98&gt;=200%,C97*60%-C91*35%,IF(C98&gt;=100%,C97*50%-C91*15%,IF(C98&gt;=50%,C97*40%-C91*5%,IF(C98&lt;50%,C97*30%,0))))),0)</f>
        <v>17233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92" t="s">
        <v>454</v>
      </c>
      <c r="B101" s="3393"/>
      <c r="C101" s="3393"/>
      <c r="D101" s="3393"/>
      <c r="E101" s="3393"/>
      <c r="F101" s="3393"/>
      <c r="G101" s="3393"/>
      <c r="H101" s="339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6" t="s">
        <v>428</v>
      </c>
      <c r="B102" s="3357"/>
      <c r="C102" s="993"/>
      <c r="D102" s="993" t="s">
        <v>429</v>
      </c>
      <c r="E102" s="394" t="s">
        <v>438</v>
      </c>
      <c r="F102" s="395"/>
      <c r="G102" s="395"/>
      <c r="H102" s="416"/>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4" t="s">
        <v>1825</v>
      </c>
      <c r="B103" s="385" t="s">
        <v>439</v>
      </c>
      <c r="C103" s="388">
        <f ca="1">ROUND(D63/(1+'数据-取费表'!C42),0)</f>
        <v>33092</v>
      </c>
      <c r="D103" s="381" t="s">
        <v>19</v>
      </c>
      <c r="E103" s="990"/>
      <c r="F103" s="989"/>
      <c r="G103" s="989"/>
      <c r="H103" s="417"/>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4" t="s">
        <v>1831</v>
      </c>
      <c r="B104" s="351" t="s">
        <v>440</v>
      </c>
      <c r="C104" s="388">
        <f ca="1">IF(H106="仅含出让金",C105+C108+C109+C110+C111+C112,C105+C109+C110+C111+C112)</f>
        <v>889</v>
      </c>
      <c r="D104" s="418"/>
      <c r="E104" s="990"/>
      <c r="F104" s="989"/>
      <c r="G104" s="989"/>
      <c r="H104" s="417"/>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8" t="s">
        <v>1832</v>
      </c>
      <c r="B105" s="379" t="s">
        <v>455</v>
      </c>
      <c r="C105" s="408">
        <f>C106+C107</f>
        <v>572</v>
      </c>
      <c r="D105" s="409"/>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8" t="s">
        <v>1833</v>
      </c>
      <c r="B106" s="379" t="s">
        <v>456</v>
      </c>
      <c r="C106" s="419">
        <v>555</v>
      </c>
      <c r="D106" s="409"/>
      <c r="E106" s="420" t="s">
        <v>457</v>
      </c>
      <c r="F106" s="985"/>
      <c r="G106" s="421" t="s">
        <v>458</v>
      </c>
      <c r="H106" s="422"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8" t="s">
        <v>1834</v>
      </c>
      <c r="B107" s="379" t="s">
        <v>448</v>
      </c>
      <c r="C107" s="408">
        <f>ROUND(C106*D107,0)</f>
        <v>17</v>
      </c>
      <c r="D107" s="409">
        <f>'数据-取费表'!B48+'数据-取费表'!B49</f>
        <v>3.0499999999999999E-2</v>
      </c>
      <c r="E107" s="420"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8" t="s">
        <v>1836</v>
      </c>
      <c r="B108" s="379" t="s">
        <v>460</v>
      </c>
      <c r="C108" s="419"/>
      <c r="D108" s="409"/>
      <c r="E108" s="420"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9" t="s">
        <v>461</v>
      </c>
      <c r="C109" s="408">
        <f>IF(H109="——",IF(F1="现房",'剩余法-现房'!C18,'剩余法-待开发'!C18),I109)</f>
        <v>55</v>
      </c>
      <c r="D109" s="409"/>
      <c r="E109" s="3382" t="s">
        <v>462</v>
      </c>
      <c r="F109" s="3380"/>
      <c r="G109" s="3380"/>
      <c r="H109" s="1941" t="s">
        <v>2280</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9" t="s">
        <v>463</v>
      </c>
      <c r="C110" s="408">
        <f>ROUND((C105+C108+C109)*D110,0)</f>
        <v>63</v>
      </c>
      <c r="D110" s="409">
        <v>0.1</v>
      </c>
      <c r="E110" s="3382" t="s">
        <v>464</v>
      </c>
      <c r="F110" s="3380"/>
      <c r="G110" s="3380"/>
      <c r="H110" s="338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9" t="s">
        <v>450</v>
      </c>
      <c r="C111" s="408">
        <f ca="1">ROUND(D63*D111/(1+'数据-取费表'!C42),0)</f>
        <v>199</v>
      </c>
      <c r="D111" s="409">
        <f>'数据-取费表'!B43</f>
        <v>6.000000000000001E-3</v>
      </c>
      <c r="E111" s="3379" t="s">
        <v>2430</v>
      </c>
      <c r="F111" s="3380"/>
      <c r="G111" s="3380"/>
      <c r="H111" s="338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9" t="s">
        <v>465</v>
      </c>
      <c r="C112" s="408">
        <f>ROUND(C108*D112,0)</f>
        <v>0</v>
      </c>
      <c r="D112" s="409">
        <v>0.2</v>
      </c>
      <c r="E112" s="3382" t="s">
        <v>2455</v>
      </c>
      <c r="F112" s="3380"/>
      <c r="G112" s="3380"/>
      <c r="H112" s="338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5" t="s">
        <v>451</v>
      </c>
      <c r="C113" s="388">
        <f ca="1">ROUND(C103-C104,0)</f>
        <v>32203</v>
      </c>
      <c r="D113" s="381" t="s">
        <v>19</v>
      </c>
      <c r="E113" s="990"/>
      <c r="F113" s="989"/>
      <c r="G113" s="989"/>
      <c r="H113" s="417"/>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5" t="s">
        <v>452</v>
      </c>
      <c r="C114" s="410">
        <f ca="1">IF(C113&lt;=0,0,C113/C104)</f>
        <v>36.223847019122609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7"/>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90" t="s">
        <v>453</v>
      </c>
      <c r="C115" s="411">
        <f ca="1">ROUND(IF(C113&lt;=0,0,IF(C114&gt;=200%,C113*60%-C104*35%,IF(C114&gt;=100%,C113*50%-C104*15%,IF(C114&gt;=50%,C113*40%-C104*5%,IF(C114&lt;50%,C113*30%,0))))),0)</f>
        <v>19011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3" priority="25" stopIfTrue="1" operator="equal">
      <formula>25</formula>
    </cfRule>
  </conditionalFormatting>
  <conditionalFormatting sqref="C8:C9">
    <cfRule type="cellIs" dxfId="152" priority="23" stopIfTrue="1" operator="equal">
      <formula>15</formula>
    </cfRule>
  </conditionalFormatting>
  <conditionalFormatting sqref="C14:C16">
    <cfRule type="cellIs" dxfId="151" priority="17" stopIfTrue="1" operator="equal">
      <formula>30</formula>
    </cfRule>
  </conditionalFormatting>
  <conditionalFormatting sqref="C10:C13">
    <cfRule type="cellIs" dxfId="150" priority="12" stopIfTrue="1" operator="equal">
      <formula>15</formula>
    </cfRule>
  </conditionalFormatting>
  <conditionalFormatting sqref="C108">
    <cfRule type="expression" dxfId="149" priority="7" stopIfTrue="1">
      <formula>$H$106&lt;&gt;"仅含出让金"</formula>
    </cfRule>
  </conditionalFormatting>
  <conditionalFormatting sqref="C109">
    <cfRule type="expression" dxfId="148" priority="6" stopIfTrue="1">
      <formula>$H$109="由企业提供"</formula>
    </cfRule>
  </conditionalFormatting>
  <conditionalFormatting sqref="I33">
    <cfRule type="expression" dxfId="147" priority="5" stopIfTrue="1">
      <formula>$H$33="同一抵押权人同一抵押物续贷"</formula>
    </cfRule>
  </conditionalFormatting>
  <conditionalFormatting sqref="D5:D7">
    <cfRule type="cellIs" dxfId="146" priority="4" stopIfTrue="1" operator="equal">
      <formula>25</formula>
    </cfRule>
  </conditionalFormatting>
  <conditionalFormatting sqref="D8:D9">
    <cfRule type="cellIs" dxfId="145" priority="3" stopIfTrue="1" operator="equal">
      <formula>15</formula>
    </cfRule>
  </conditionalFormatting>
  <conditionalFormatting sqref="D14:D16">
    <cfRule type="cellIs" dxfId="144" priority="2" stopIfTrue="1" operator="equal">
      <formula>30</formula>
    </cfRule>
  </conditionalFormatting>
  <conditionalFormatting sqref="D10:D13">
    <cfRule type="cellIs" dxfId="14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abSelected="1" topLeftCell="A7" workbookViewId="0">
      <selection activeCell="G41" sqref="G41"/>
    </sheetView>
  </sheetViews>
  <sheetFormatPr defaultRowHeight="13.5"/>
  <cols>
    <col min="2" max="2" width="16.125" customWidth="1"/>
    <col min="3" max="3" width="16.125" style="3179" customWidth="1"/>
    <col min="5" max="5" width="13.875" style="3180" bestFit="1" customWidth="1"/>
    <col min="6" max="6" width="12.75" style="3180" customWidth="1"/>
    <col min="9" max="9" width="10.5" bestFit="1" customWidth="1"/>
    <col min="10" max="10" width="13.125" customWidth="1"/>
  </cols>
  <sheetData>
    <row r="1" spans="1:10">
      <c r="A1" s="3196" t="s">
        <v>3241</v>
      </c>
      <c r="B1" s="3203" t="s">
        <v>3242</v>
      </c>
      <c r="C1" s="3204" t="s">
        <v>3182</v>
      </c>
      <c r="D1" s="3205" t="s">
        <v>3181</v>
      </c>
      <c r="E1" s="3206" t="s">
        <v>3186</v>
      </c>
      <c r="F1" s="3207" t="s">
        <v>3243</v>
      </c>
      <c r="G1" s="3181" t="s">
        <v>3217</v>
      </c>
      <c r="H1" s="3197" t="s">
        <v>3244</v>
      </c>
      <c r="I1" s="3196" t="s">
        <v>3265</v>
      </c>
      <c r="J1" s="3196" t="s">
        <v>3266</v>
      </c>
    </row>
    <row r="2" spans="1:10">
      <c r="B2" s="3208" t="s">
        <v>3183</v>
      </c>
      <c r="C2" s="3209" t="s">
        <v>3184</v>
      </c>
      <c r="D2" s="3210">
        <f ca="1">结果表!C34</f>
        <v>3649</v>
      </c>
      <c r="E2" s="3211">
        <v>117826</v>
      </c>
      <c r="F2" s="3414">
        <f>'数据-汇总表'!E3</f>
        <v>457656.17999999993</v>
      </c>
      <c r="G2" s="3182">
        <f ca="1">ROUND(E2*$D$2/10000,0)</f>
        <v>42995</v>
      </c>
      <c r="H2" s="3198">
        <v>2.1</v>
      </c>
      <c r="I2">
        <v>321239890</v>
      </c>
      <c r="J2">
        <v>964</v>
      </c>
    </row>
    <row r="3" spans="1:10">
      <c r="B3" s="3208" t="s">
        <v>3183</v>
      </c>
      <c r="C3" s="3209" t="s">
        <v>3185</v>
      </c>
      <c r="D3" s="3210">
        <f ca="1">D2</f>
        <v>3649</v>
      </c>
      <c r="E3" s="3211">
        <v>40858</v>
      </c>
      <c r="F3" s="3415"/>
      <c r="G3" s="3182">
        <f t="shared" ref="G3:G39" ca="1" si="0">ROUND(E3*$D$2/10000,0)</f>
        <v>14909</v>
      </c>
      <c r="H3" s="3198">
        <v>2.1</v>
      </c>
    </row>
    <row r="4" spans="1:10">
      <c r="B4" s="3208" t="s">
        <v>3197</v>
      </c>
      <c r="C4" s="3209" t="s">
        <v>3187</v>
      </c>
      <c r="D4" s="3210"/>
      <c r="E4" s="3211">
        <v>21294</v>
      </c>
      <c r="F4" s="3212">
        <f>ROUND(E4*H4,2)</f>
        <v>46846.8</v>
      </c>
      <c r="G4" s="3182">
        <f t="shared" ca="1" si="0"/>
        <v>7770</v>
      </c>
      <c r="H4" s="3198">
        <v>2.2000000000000002</v>
      </c>
      <c r="I4">
        <v>261294594</v>
      </c>
      <c r="J4">
        <v>965</v>
      </c>
    </row>
    <row r="5" spans="1:10">
      <c r="B5" s="3208" t="s">
        <v>3197</v>
      </c>
      <c r="C5" s="3209" t="s">
        <v>3188</v>
      </c>
      <c r="D5" s="3210"/>
      <c r="E5" s="3211">
        <v>56700</v>
      </c>
      <c r="F5" s="3212">
        <f t="shared" ref="F5:F39" si="1">ROUND(E5*H5,2)</f>
        <v>124740</v>
      </c>
      <c r="G5" s="3182">
        <f t="shared" ca="1" si="0"/>
        <v>20690</v>
      </c>
      <c r="H5" s="3198">
        <v>2.2000000000000002</v>
      </c>
    </row>
    <row r="6" spans="1:10">
      <c r="B6" s="3208" t="s">
        <v>3197</v>
      </c>
      <c r="C6" s="3209" t="s">
        <v>3235</v>
      </c>
      <c r="D6" s="3210"/>
      <c r="E6" s="3211">
        <v>39507</v>
      </c>
      <c r="F6" s="3212">
        <f t="shared" si="1"/>
        <v>86915.4</v>
      </c>
      <c r="G6" s="3182">
        <f t="shared" ca="1" si="0"/>
        <v>14416</v>
      </c>
      <c r="H6" s="3198">
        <v>2.2000000000000002</v>
      </c>
    </row>
    <row r="7" spans="1:10">
      <c r="B7" s="3208" t="s">
        <v>3196</v>
      </c>
      <c r="C7" s="3209" t="s">
        <v>3189</v>
      </c>
      <c r="D7" s="3210"/>
      <c r="E7" s="3211">
        <v>84029</v>
      </c>
      <c r="F7" s="3414">
        <v>643288.21</v>
      </c>
      <c r="G7" s="3182">
        <f t="shared" ca="1" si="0"/>
        <v>30662</v>
      </c>
      <c r="H7" s="3198">
        <v>2.5</v>
      </c>
      <c r="I7">
        <v>454307013</v>
      </c>
      <c r="J7">
        <f>ROUND(I7/(F7+F8+F9),2)</f>
        <v>706.23</v>
      </c>
    </row>
    <row r="8" spans="1:10">
      <c r="B8" s="3208" t="s">
        <v>3195</v>
      </c>
      <c r="C8" s="3209" t="s">
        <v>3236</v>
      </c>
      <c r="D8" s="3210"/>
      <c r="E8" s="3211">
        <v>54253.1</v>
      </c>
      <c r="F8" s="3416"/>
      <c r="G8" s="3182">
        <f t="shared" ca="1" si="0"/>
        <v>19797</v>
      </c>
      <c r="H8" s="3198">
        <v>2.5</v>
      </c>
    </row>
    <row r="9" spans="1:10">
      <c r="B9" s="3208" t="s">
        <v>3195</v>
      </c>
      <c r="C9" s="3209" t="s">
        <v>3237</v>
      </c>
      <c r="D9" s="3210"/>
      <c r="E9" s="3211">
        <v>39095.9</v>
      </c>
      <c r="F9" s="3415"/>
      <c r="G9" s="3182">
        <f t="shared" ca="1" si="0"/>
        <v>14266</v>
      </c>
      <c r="H9" s="3198">
        <v>2.5</v>
      </c>
    </row>
    <row r="10" spans="1:10">
      <c r="B10" s="3208" t="s">
        <v>3194</v>
      </c>
      <c r="C10" s="3209" t="s">
        <v>3238</v>
      </c>
      <c r="D10" s="3210"/>
      <c r="E10" s="3211">
        <v>85895.5</v>
      </c>
      <c r="F10" s="3414">
        <v>573343.48</v>
      </c>
      <c r="G10" s="3182">
        <f t="shared" ca="1" si="0"/>
        <v>31343</v>
      </c>
      <c r="H10" s="3198">
        <v>2.5</v>
      </c>
      <c r="I10">
        <v>213326620</v>
      </c>
      <c r="J10">
        <f>ROUND(I10/(F10+F11),2)</f>
        <v>372.07</v>
      </c>
    </row>
    <row r="11" spans="1:10">
      <c r="B11" s="3208" t="s">
        <v>3194</v>
      </c>
      <c r="C11" s="3209" t="s">
        <v>3199</v>
      </c>
      <c r="D11" s="3210"/>
      <c r="E11" s="3211">
        <v>844.5</v>
      </c>
      <c r="F11" s="3416"/>
      <c r="G11" s="3182">
        <f t="shared" ca="1" si="0"/>
        <v>308</v>
      </c>
      <c r="H11" s="3198">
        <f>H10</f>
        <v>2.5</v>
      </c>
    </row>
    <row r="12" spans="1:10">
      <c r="B12" s="3208" t="s">
        <v>3198</v>
      </c>
      <c r="C12" s="3209" t="s">
        <v>3200</v>
      </c>
      <c r="D12" s="3210"/>
      <c r="E12" s="3211">
        <v>76655</v>
      </c>
      <c r="F12" s="3415"/>
      <c r="G12" s="3182">
        <f t="shared" ca="1" si="0"/>
        <v>27971</v>
      </c>
      <c r="H12" s="3198">
        <v>2.5</v>
      </c>
      <c r="I12">
        <v>183584700</v>
      </c>
      <c r="J12" t="e">
        <f>ROUND(I12/F12,2)</f>
        <v>#DIV/0!</v>
      </c>
    </row>
    <row r="13" spans="1:10">
      <c r="B13" s="3208" t="s">
        <v>3193</v>
      </c>
      <c r="C13" s="3209" t="s">
        <v>3190</v>
      </c>
      <c r="D13" s="3210"/>
      <c r="E13" s="3211">
        <v>163026</v>
      </c>
      <c r="F13" s="3212">
        <f t="shared" si="1"/>
        <v>407565</v>
      </c>
      <c r="G13" s="3182">
        <f t="shared" ca="1" si="0"/>
        <v>59488</v>
      </c>
      <c r="H13" s="3198">
        <v>2.5</v>
      </c>
      <c r="I13">
        <v>314232615</v>
      </c>
      <c r="J13">
        <f t="shared" ref="J13:J14" si="2">ROUND(I13/F13,2)</f>
        <v>771</v>
      </c>
    </row>
    <row r="14" spans="1:10">
      <c r="B14" s="3208" t="s">
        <v>3192</v>
      </c>
      <c r="C14" s="3209" t="s">
        <v>3191</v>
      </c>
      <c r="D14" s="3210"/>
      <c r="E14" s="3211">
        <v>102374</v>
      </c>
      <c r="F14" s="3212">
        <f t="shared" si="1"/>
        <v>255935</v>
      </c>
      <c r="G14" s="3182">
        <f t="shared" ca="1" si="0"/>
        <v>37356</v>
      </c>
      <c r="H14" s="3198">
        <v>2.5</v>
      </c>
      <c r="I14">
        <v>236739875</v>
      </c>
      <c r="J14">
        <f t="shared" si="2"/>
        <v>925</v>
      </c>
    </row>
    <row r="15" spans="1:10" s="3222" customFormat="1">
      <c r="B15" s="3208" t="s">
        <v>3260</v>
      </c>
      <c r="C15" s="3209"/>
      <c r="D15" s="3210"/>
      <c r="E15" s="3211">
        <v>46518.1</v>
      </c>
      <c r="F15" s="3212">
        <f t="shared" si="1"/>
        <v>102339.82</v>
      </c>
      <c r="G15" s="3235">
        <f t="shared" ca="1" si="0"/>
        <v>16974</v>
      </c>
      <c r="H15" s="3221">
        <v>2.2000000000000002</v>
      </c>
      <c r="I15" s="3222">
        <v>94869013.140000001</v>
      </c>
      <c r="J15" s="3222">
        <v>2039.4</v>
      </c>
    </row>
    <row r="16" spans="1:10" s="3222" customFormat="1">
      <c r="B16" s="3208" t="s">
        <v>3261</v>
      </c>
      <c r="C16" s="3209"/>
      <c r="D16" s="3210"/>
      <c r="E16" s="3211">
        <v>87203.83</v>
      </c>
      <c r="F16" s="3212">
        <f t="shared" si="1"/>
        <v>191848.43</v>
      </c>
      <c r="G16" s="3235">
        <f t="shared" ca="1" si="0"/>
        <v>31821</v>
      </c>
      <c r="H16" s="3221">
        <v>2.2000000000000002</v>
      </c>
      <c r="I16" s="3222">
        <v>178035339.33000001</v>
      </c>
      <c r="J16" s="3222">
        <v>2041.6</v>
      </c>
    </row>
    <row r="17" spans="2:10" s="3222" customFormat="1">
      <c r="B17" s="3208" t="s">
        <v>3262</v>
      </c>
      <c r="C17" s="3214"/>
      <c r="D17" s="3210"/>
      <c r="E17" s="3211">
        <v>149271.76</v>
      </c>
      <c r="F17" s="3212">
        <f t="shared" si="1"/>
        <v>328397.87</v>
      </c>
      <c r="G17" s="3235">
        <f t="shared" ca="1" si="0"/>
        <v>54469</v>
      </c>
      <c r="H17" s="3221">
        <v>2.2000000000000002</v>
      </c>
      <c r="I17" s="3222">
        <v>315918752.86000001</v>
      </c>
      <c r="J17" s="3222">
        <v>2116.4</v>
      </c>
    </row>
    <row r="18" spans="2:10" s="3222" customFormat="1">
      <c r="B18" s="3208">
        <v>4</v>
      </c>
      <c r="C18" s="3214"/>
      <c r="D18" s="3210"/>
      <c r="E18" s="3211">
        <v>117482.68</v>
      </c>
      <c r="F18" s="3212">
        <f t="shared" si="1"/>
        <v>258461.9</v>
      </c>
      <c r="G18" s="3235">
        <f t="shared" ca="1" si="0"/>
        <v>42869</v>
      </c>
      <c r="H18" s="3221">
        <v>2.2000000000000002</v>
      </c>
    </row>
    <row r="19" spans="2:10" s="3222" customFormat="1">
      <c r="B19" s="3208" t="s">
        <v>3263</v>
      </c>
      <c r="C19" s="3214"/>
      <c r="D19" s="3210"/>
      <c r="E19" s="3211">
        <v>166529.57999999999</v>
      </c>
      <c r="F19" s="3212">
        <f t="shared" si="1"/>
        <v>366365.08</v>
      </c>
      <c r="G19" s="3235">
        <f t="shared" ca="1" si="0"/>
        <v>60767</v>
      </c>
      <c r="H19" s="3221">
        <v>2.2000000000000002</v>
      </c>
      <c r="I19" s="3222">
        <v>352443203.11000001</v>
      </c>
      <c r="J19" s="3222">
        <v>2116.4</v>
      </c>
    </row>
    <row r="20" spans="2:10">
      <c r="B20" s="3213">
        <v>6</v>
      </c>
      <c r="C20" s="3214"/>
      <c r="D20" s="3210"/>
      <c r="E20" s="3211">
        <v>130818.72</v>
      </c>
      <c r="F20" s="3212">
        <f t="shared" si="1"/>
        <v>287801.18</v>
      </c>
      <c r="G20" s="3182">
        <f t="shared" ca="1" si="0"/>
        <v>47736</v>
      </c>
      <c r="H20" s="3198">
        <v>2.2000000000000002</v>
      </c>
    </row>
    <row r="21" spans="2:10">
      <c r="B21" s="3208">
        <v>7</v>
      </c>
      <c r="C21" s="3214"/>
      <c r="D21" s="3210"/>
      <c r="E21" s="3211">
        <v>24103.78</v>
      </c>
      <c r="F21" s="3212">
        <f t="shared" si="1"/>
        <v>48207.56</v>
      </c>
      <c r="G21" s="3182">
        <f t="shared" ca="1" si="0"/>
        <v>8795</v>
      </c>
      <c r="H21" s="3198">
        <v>2</v>
      </c>
    </row>
    <row r="22" spans="2:10">
      <c r="B22" s="3208">
        <v>8</v>
      </c>
      <c r="C22" s="3214"/>
      <c r="D22" s="3210"/>
      <c r="E22" s="3211">
        <v>56585.97</v>
      </c>
      <c r="F22" s="3212">
        <f t="shared" si="1"/>
        <v>113171.94</v>
      </c>
      <c r="G22" s="3182">
        <f t="shared" ca="1" si="0"/>
        <v>20648</v>
      </c>
      <c r="H22" s="3198">
        <v>2</v>
      </c>
      <c r="I22" s="3242" t="s">
        <v>3326</v>
      </c>
      <c r="J22" s="3242" t="s">
        <v>3327</v>
      </c>
    </row>
    <row r="23" spans="2:10">
      <c r="B23" s="3240">
        <v>9</v>
      </c>
      <c r="C23" s="3237"/>
      <c r="D23" s="3238"/>
      <c r="E23" s="3239">
        <f>85387.93-M85</f>
        <v>47887.929999999993</v>
      </c>
      <c r="F23" s="3241">
        <f t="shared" si="1"/>
        <v>95775.86</v>
      </c>
      <c r="G23" s="3182">
        <f t="shared" ca="1" si="0"/>
        <v>17474</v>
      </c>
      <c r="H23" s="3198">
        <v>2</v>
      </c>
      <c r="I23" s="3243">
        <v>30330</v>
      </c>
      <c r="J23" s="3243">
        <f ca="1">I23-G23</f>
        <v>12856</v>
      </c>
    </row>
    <row r="24" spans="2:10">
      <c r="B24" s="3215" t="s">
        <v>3201</v>
      </c>
      <c r="C24" s="3214"/>
      <c r="D24" s="3210"/>
      <c r="E24" s="3211">
        <v>35713.9</v>
      </c>
      <c r="F24" s="3212">
        <f t="shared" si="1"/>
        <v>78570.58</v>
      </c>
      <c r="G24" s="3182">
        <f t="shared" ca="1" si="0"/>
        <v>13032</v>
      </c>
      <c r="H24" s="3198">
        <v>2.2000000000000002</v>
      </c>
    </row>
    <row r="25" spans="2:10">
      <c r="B25" s="3236" t="s">
        <v>3202</v>
      </c>
      <c r="C25" s="3237"/>
      <c r="D25" s="3238"/>
      <c r="E25" s="3239">
        <f>67404.18-6868.0149</f>
        <v>60536.165099999991</v>
      </c>
      <c r="F25" s="3212">
        <f t="shared" si="1"/>
        <v>133179.56</v>
      </c>
      <c r="G25" s="3182">
        <f t="shared" ca="1" si="0"/>
        <v>22090</v>
      </c>
      <c r="H25" s="3198">
        <v>2.2000000000000002</v>
      </c>
    </row>
    <row r="26" spans="2:10">
      <c r="B26" s="3215" t="s">
        <v>3203</v>
      </c>
      <c r="C26" s="3214"/>
      <c r="D26" s="3210"/>
      <c r="E26" s="3211">
        <v>18811.72</v>
      </c>
      <c r="F26" s="3212">
        <f t="shared" si="1"/>
        <v>41385.78</v>
      </c>
      <c r="G26" s="3182">
        <f t="shared" ca="1" si="0"/>
        <v>6864</v>
      </c>
      <c r="H26" s="3198">
        <v>2.2000000000000002</v>
      </c>
    </row>
    <row r="27" spans="2:10">
      <c r="B27" s="3215" t="s">
        <v>3204</v>
      </c>
      <c r="C27" s="3214"/>
      <c r="D27" s="3210"/>
      <c r="E27" s="3211">
        <v>60548.87</v>
      </c>
      <c r="F27" s="3212">
        <f t="shared" si="1"/>
        <v>133207.51</v>
      </c>
      <c r="G27" s="3182">
        <f t="shared" ca="1" si="0"/>
        <v>22094</v>
      </c>
      <c r="H27" s="3198">
        <v>2.2000000000000002</v>
      </c>
    </row>
    <row r="28" spans="2:10">
      <c r="B28" s="3215" t="s">
        <v>3205</v>
      </c>
      <c r="C28" s="3214"/>
      <c r="D28" s="3210"/>
      <c r="E28" s="3211">
        <v>142472.78</v>
      </c>
      <c r="F28" s="3212">
        <f t="shared" si="1"/>
        <v>313440.12</v>
      </c>
      <c r="G28" s="3182">
        <f t="shared" ca="1" si="0"/>
        <v>51988</v>
      </c>
      <c r="H28" s="3198">
        <v>2.2000000000000002</v>
      </c>
    </row>
    <row r="29" spans="2:10">
      <c r="B29" s="3215" t="s">
        <v>3206</v>
      </c>
      <c r="C29" s="3214"/>
      <c r="D29" s="3210"/>
      <c r="E29" s="3211">
        <v>149530.99</v>
      </c>
      <c r="F29" s="3212">
        <f t="shared" si="1"/>
        <v>299061.98</v>
      </c>
      <c r="G29" s="3182">
        <f t="shared" ca="1" si="0"/>
        <v>54564</v>
      </c>
      <c r="H29" s="3198">
        <v>2</v>
      </c>
    </row>
    <row r="30" spans="2:10">
      <c r="B30" s="3215" t="s">
        <v>3207</v>
      </c>
      <c r="C30" s="3214"/>
      <c r="D30" s="3210"/>
      <c r="E30" s="3211">
        <v>91779.91</v>
      </c>
      <c r="F30" s="3212">
        <f t="shared" si="1"/>
        <v>211093.79</v>
      </c>
      <c r="G30" s="3182">
        <f t="shared" ca="1" si="0"/>
        <v>33490</v>
      </c>
      <c r="H30" s="3198">
        <v>2.2999999999999998</v>
      </c>
    </row>
    <row r="31" spans="2:10">
      <c r="B31" s="3215" t="s">
        <v>3208</v>
      </c>
      <c r="C31" s="3214"/>
      <c r="D31" s="3210"/>
      <c r="E31" s="3211">
        <v>66845.759999999995</v>
      </c>
      <c r="F31" s="3212">
        <f t="shared" si="1"/>
        <v>133691.51999999999</v>
      </c>
      <c r="G31" s="3182">
        <f t="shared" ca="1" si="0"/>
        <v>24392</v>
      </c>
      <c r="H31" s="3198">
        <v>2</v>
      </c>
    </row>
    <row r="32" spans="2:10">
      <c r="B32" s="3215" t="s">
        <v>3209</v>
      </c>
      <c r="C32" s="3214"/>
      <c r="D32" s="3210"/>
      <c r="E32" s="3211">
        <v>22225.41</v>
      </c>
      <c r="F32" s="3212">
        <f t="shared" si="1"/>
        <v>55563.53</v>
      </c>
      <c r="G32" s="3182">
        <f t="shared" ca="1" si="0"/>
        <v>8110</v>
      </c>
      <c r="H32" s="3198">
        <v>2.5</v>
      </c>
    </row>
    <row r="33" spans="2:8">
      <c r="B33" s="3215" t="s">
        <v>3210</v>
      </c>
      <c r="C33" s="3214"/>
      <c r="D33" s="3210"/>
      <c r="E33" s="3211">
        <v>15178.47</v>
      </c>
      <c r="F33" s="3212">
        <f t="shared" si="1"/>
        <v>37946.18</v>
      </c>
      <c r="G33" s="3182">
        <f t="shared" ca="1" si="0"/>
        <v>5539</v>
      </c>
      <c r="H33" s="3198">
        <v>2.5</v>
      </c>
    </row>
    <row r="34" spans="2:8">
      <c r="B34" s="3215" t="s">
        <v>3211</v>
      </c>
      <c r="C34" s="3214"/>
      <c r="D34" s="3210"/>
      <c r="E34" s="3211">
        <v>110691.74</v>
      </c>
      <c r="F34" s="3212">
        <f t="shared" si="1"/>
        <v>265660.18</v>
      </c>
      <c r="G34" s="3182">
        <f t="shared" ca="1" si="0"/>
        <v>40391</v>
      </c>
      <c r="H34" s="3198">
        <v>2.4</v>
      </c>
    </row>
    <row r="35" spans="2:8">
      <c r="B35" s="3215" t="s">
        <v>3212</v>
      </c>
      <c r="C35" s="3214"/>
      <c r="D35" s="3210"/>
      <c r="E35" s="3211">
        <v>63908.59</v>
      </c>
      <c r="F35" s="3212">
        <f t="shared" si="1"/>
        <v>153380.62</v>
      </c>
      <c r="G35" s="3182">
        <f t="shared" ca="1" si="0"/>
        <v>23320</v>
      </c>
      <c r="H35" s="3198">
        <v>2.4</v>
      </c>
    </row>
    <row r="36" spans="2:8">
      <c r="B36" s="3215" t="s">
        <v>3213</v>
      </c>
      <c r="C36" s="3214"/>
      <c r="D36" s="3210"/>
      <c r="E36" s="3211">
        <v>95290.4</v>
      </c>
      <c r="F36" s="3212">
        <f t="shared" si="1"/>
        <v>190580.8</v>
      </c>
      <c r="G36" s="3182">
        <f t="shared" ca="1" si="0"/>
        <v>34771</v>
      </c>
      <c r="H36" s="3198">
        <v>2</v>
      </c>
    </row>
    <row r="37" spans="2:8">
      <c r="B37" s="3215" t="s">
        <v>3214</v>
      </c>
      <c r="C37" s="3214"/>
      <c r="D37" s="3210"/>
      <c r="E37" s="3211">
        <v>21230.46</v>
      </c>
      <c r="F37" s="3212">
        <f t="shared" si="1"/>
        <v>42460.92</v>
      </c>
      <c r="G37" s="3182">
        <f t="shared" ca="1" si="0"/>
        <v>7747</v>
      </c>
      <c r="H37" s="3198">
        <v>2</v>
      </c>
    </row>
    <row r="38" spans="2:8">
      <c r="B38" s="3215" t="s">
        <v>3215</v>
      </c>
      <c r="C38" s="3214"/>
      <c r="D38" s="3210"/>
      <c r="E38" s="3211">
        <v>22416.85</v>
      </c>
      <c r="F38" s="3212">
        <f t="shared" si="1"/>
        <v>44833.7</v>
      </c>
      <c r="G38" s="3182">
        <f t="shared" ca="1" si="0"/>
        <v>8180</v>
      </c>
      <c r="H38" s="3198">
        <v>2</v>
      </c>
    </row>
    <row r="39" spans="2:8">
      <c r="B39" s="3215" t="s">
        <v>3216</v>
      </c>
      <c r="C39" s="3214"/>
      <c r="D39" s="3210"/>
      <c r="E39" s="3211">
        <v>62545.01</v>
      </c>
      <c r="F39" s="3212">
        <f t="shared" si="1"/>
        <v>156362.53</v>
      </c>
      <c r="G39" s="3182">
        <f t="shared" ca="1" si="0"/>
        <v>22823</v>
      </c>
      <c r="H39" s="3198">
        <v>2.5</v>
      </c>
    </row>
    <row r="40" spans="2:8" ht="14.25" thickBot="1">
      <c r="B40" s="3216"/>
      <c r="C40" s="3217"/>
      <c r="D40" s="3218" t="s">
        <v>3218</v>
      </c>
      <c r="E40" s="3218">
        <f>SUM(E2:E39)</f>
        <v>2748487.3751000003</v>
      </c>
      <c r="F40" s="3219">
        <f>SUM(F2:F39)</f>
        <v>6679079.0099999998</v>
      </c>
      <c r="G40" s="3189">
        <f ca="1">SUM(G2:G39)</f>
        <v>1002919</v>
      </c>
      <c r="H40" s="3199"/>
    </row>
    <row r="41" spans="2:8">
      <c r="E41" s="3180">
        <f>ROUND(E40/666.67,0)</f>
        <v>4123</v>
      </c>
      <c r="G41" s="3188">
        <f ca="1">G40+[1]预评贴表结果!$H$19</f>
        <v>1463293</v>
      </c>
      <c r="H41" s="3199"/>
    </row>
    <row r="42" spans="2:8">
      <c r="D42" s="3196" t="s">
        <v>3239</v>
      </c>
      <c r="E42" s="3180">
        <f>E41+[2]结果表2!$D$19+E46/666.67</f>
        <v>5707.2909985450069</v>
      </c>
    </row>
    <row r="43" spans="2:8">
      <c r="D43" s="3196" t="s">
        <v>3240</v>
      </c>
      <c r="E43" s="3180">
        <f>E40+[2]结果表2!$D$18</f>
        <v>3756008.9451000001</v>
      </c>
      <c r="F43" s="3180">
        <f>F40+[2]结果表2!$E$18</f>
        <v>7851426.25</v>
      </c>
    </row>
    <row r="44" spans="2:8">
      <c r="D44" s="3220" t="s">
        <v>3258</v>
      </c>
      <c r="E44" s="3180">
        <v>287.74</v>
      </c>
    </row>
    <row r="45" spans="2:8">
      <c r="D45" s="3220" t="s">
        <v>3259</v>
      </c>
      <c r="E45" s="3180">
        <f>ROUND(E43*E44/10000,0)</f>
        <v>108075</v>
      </c>
    </row>
    <row r="46" spans="2:8">
      <c r="D46" s="3246" t="s">
        <v>3322</v>
      </c>
      <c r="E46" s="3245">
        <f>35377.67+13483.24</f>
        <v>48860.909999999996</v>
      </c>
      <c r="F46" s="3245">
        <f>ROUND(E46*H46,2)</f>
        <v>39088.730000000003</v>
      </c>
      <c r="G46" s="3244">
        <v>3647</v>
      </c>
      <c r="H46" s="3244">
        <v>0.8</v>
      </c>
    </row>
    <row r="47" spans="2:8">
      <c r="D47" s="3244">
        <v>1</v>
      </c>
      <c r="E47" s="3245">
        <v>35377.67</v>
      </c>
      <c r="F47" s="3245">
        <f>ROUND(E47*H46,2)</f>
        <v>28302.14</v>
      </c>
      <c r="G47" s="3244"/>
      <c r="H47" s="3244"/>
    </row>
    <row r="48" spans="2:8">
      <c r="D48" s="3244">
        <v>2</v>
      </c>
      <c r="E48" s="3245">
        <v>13483.24</v>
      </c>
      <c r="F48" s="3245">
        <f>ROUND(E48*H46,2)</f>
        <v>10786.59</v>
      </c>
      <c r="G48" s="3244" t="s">
        <v>3333</v>
      </c>
      <c r="H48" s="3244"/>
    </row>
    <row r="50" spans="4:11">
      <c r="D50" s="3244" t="s">
        <v>3328</v>
      </c>
      <c r="E50" s="3245">
        <f>SUM(E4:E6)</f>
        <v>117501</v>
      </c>
      <c r="F50" s="3245" t="s">
        <v>3331</v>
      </c>
    </row>
    <row r="51" spans="4:11">
      <c r="D51" s="3244" t="s">
        <v>3329</v>
      </c>
      <c r="E51" s="3245">
        <f>ROUND(13657099,0)</f>
        <v>13657099</v>
      </c>
      <c r="K51" s="3196" t="s">
        <v>3321</v>
      </c>
    </row>
    <row r="52" spans="4:11">
      <c r="D52" s="3244" t="s">
        <v>3330</v>
      </c>
      <c r="E52" s="3245">
        <f>E51/E50</f>
        <v>116.22964059880341</v>
      </c>
    </row>
    <row r="53" spans="4:11">
      <c r="D53" s="3244"/>
      <c r="E53" s="3245">
        <f>ROUND(E52*E43/10000,0)</f>
        <v>43656</v>
      </c>
    </row>
    <row r="83" spans="12:13">
      <c r="L83" s="3196" t="s">
        <v>3323</v>
      </c>
    </row>
    <row r="84" spans="12:13">
      <c r="L84" s="3196" t="s">
        <v>3324</v>
      </c>
    </row>
    <row r="85" spans="12:13">
      <c r="L85" s="3196" t="s">
        <v>3325</v>
      </c>
      <c r="M85">
        <f>75000/2</f>
        <v>37500</v>
      </c>
    </row>
  </sheetData>
  <mergeCells count="3">
    <mergeCell ref="F2:F3"/>
    <mergeCell ref="F7:F9"/>
    <mergeCell ref="F10:F12"/>
  </mergeCells>
  <phoneticPr fontId="2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47" t="str">
        <f>项目基本情况!B1</f>
        <v>贵州省贵阳市恒大童世界出让国有建设用地使用权抵押价格预评估</v>
      </c>
      <c r="C37" s="3247"/>
      <c r="D37" s="3247"/>
      <c r="E37" s="3247"/>
      <c r="F37" s="3247"/>
      <c r="G37" s="3247"/>
      <c r="H37" s="3247"/>
      <c r="I37" s="3247"/>
    </row>
    <row r="38" spans="1:9">
      <c r="A38" s="1655"/>
      <c r="B38" s="1655"/>
    </row>
    <row r="39" spans="1:9">
      <c r="A39" s="1653" t="s">
        <v>1903</v>
      </c>
      <c r="B39" s="1653" t="s">
        <v>2047</v>
      </c>
    </row>
    <row r="40" spans="1:9">
      <c r="A40" s="1653"/>
      <c r="B40" s="1653" t="str">
        <f>项目基本情况!B5</f>
        <v>恒大</v>
      </c>
    </row>
    <row r="41" spans="1:9">
      <c r="A41" s="1653"/>
      <c r="B41" s="1653"/>
    </row>
    <row r="42" spans="1:9">
      <c r="A42" s="1653" t="s">
        <v>1903</v>
      </c>
      <c r="B42" s="1653" t="s">
        <v>2048</v>
      </c>
    </row>
    <row r="43" spans="1:9">
      <c r="A43" s="1653"/>
      <c r="B43" s="1653" t="s">
        <v>1905</v>
      </c>
    </row>
    <row r="44" spans="1:9">
      <c r="A44" s="1653"/>
      <c r="B44" s="1653"/>
    </row>
    <row r="45" spans="1:9">
      <c r="A45" s="1653" t="s">
        <v>1903</v>
      </c>
      <c r="B45" s="1653" t="s">
        <v>2046</v>
      </c>
    </row>
    <row r="46" spans="1:9" s="1653" customFormat="1" ht="12.75">
      <c r="B46" s="1653" t="str">
        <f>项目基本情况!K4</f>
        <v>欧红伟、梁津</v>
      </c>
    </row>
    <row r="47" spans="1:9">
      <c r="A47" s="1653"/>
      <c r="B47" s="1653"/>
    </row>
    <row r="48" spans="1:9">
      <c r="A48" s="1653" t="s">
        <v>1903</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 sqref="C12"/>
    </sheetView>
  </sheetViews>
  <sheetFormatPr defaultRowHeight="14.25"/>
  <cols>
    <col min="1" max="1" width="15.625" style="1336" customWidth="1"/>
    <col min="2" max="2" width="15.75" style="1336" customWidth="1"/>
    <col min="3" max="3" width="21.375" style="1336" customWidth="1"/>
    <col min="4" max="4" width="12.25" style="1336" customWidth="1"/>
    <col min="5" max="5" width="24.125" style="1336" customWidth="1"/>
    <col min="6" max="6" width="12.25" style="1336" customWidth="1"/>
    <col min="7" max="7" width="23" style="1336" customWidth="1"/>
    <col min="8" max="8" width="12.25" style="1336" customWidth="1"/>
    <col min="9" max="9" width="25.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5" t="s">
        <v>517</v>
      </c>
      <c r="B1" s="506"/>
      <c r="C1" s="507" t="s">
        <v>518</v>
      </c>
      <c r="D1" s="508" t="s">
        <v>519</v>
      </c>
      <c r="E1" s="509"/>
      <c r="F1" s="431"/>
      <c r="G1" s="509"/>
      <c r="H1" s="509"/>
      <c r="I1" s="509"/>
      <c r="J1" s="509"/>
      <c r="K1" s="510"/>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6" t="s">
        <v>467</v>
      </c>
      <c r="B2" s="511">
        <f>F68</f>
        <v>44511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13">
        <f>ROUND(B2*10000/'数据-汇总表'!E3,0)</f>
        <v>973</v>
      </c>
      <c r="C3" s="2060"/>
      <c r="D3" s="2591"/>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30" s="1335" customFormat="1" ht="28.5" customHeight="1">
      <c r="A4" s="514" t="s">
        <v>521</v>
      </c>
      <c r="B4" s="430">
        <f>IF(B48="单位面积地价",C50,ROUND(B2*10000/'数据-汇总表'!D3,0))</f>
        <v>2805</v>
      </c>
      <c r="C4" s="2060"/>
      <c r="D4" s="2591"/>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30" s="1335" customFormat="1" ht="28.5" customHeight="1" thickBot="1">
      <c r="A5" s="432"/>
      <c r="B5" s="433">
        <f>ROUND(B2/('数据-汇总表'!D3/666.67),0)</f>
        <v>187</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31"/>
    </row>
    <row r="6" spans="1:30" ht="20.25">
      <c r="A6" s="515" t="s">
        <v>522</v>
      </c>
      <c r="B6" s="516"/>
      <c r="C6" s="3439" t="s">
        <v>523</v>
      </c>
      <c r="D6" s="3440"/>
      <c r="E6" s="3439" t="s">
        <v>524</v>
      </c>
      <c r="F6" s="3440"/>
      <c r="G6" s="3439" t="s">
        <v>525</v>
      </c>
      <c r="H6" s="3440"/>
      <c r="I6" s="3439" t="s">
        <v>526</v>
      </c>
      <c r="J6" s="3440"/>
      <c r="K6" s="517" t="s">
        <v>527</v>
      </c>
      <c r="L6" s="2132"/>
      <c r="M6" s="2131"/>
      <c r="N6" s="2131"/>
      <c r="O6" s="2133"/>
      <c r="P6" s="3441" t="s">
        <v>528</v>
      </c>
      <c r="Q6" s="3442"/>
      <c r="R6" s="3427" t="s">
        <v>524</v>
      </c>
      <c r="S6" s="3428"/>
      <c r="T6" s="3427" t="s">
        <v>525</v>
      </c>
      <c r="U6" s="3428"/>
      <c r="V6" s="3447" t="s">
        <v>526</v>
      </c>
      <c r="W6" s="3447"/>
      <c r="X6" s="1566"/>
      <c r="Y6" s="3427" t="s">
        <v>528</v>
      </c>
      <c r="Z6" s="3428"/>
      <c r="AA6" s="3422" t="s">
        <v>524</v>
      </c>
      <c r="AB6" s="3423" t="s">
        <v>525</v>
      </c>
      <c r="AC6" s="3422" t="s">
        <v>526</v>
      </c>
    </row>
    <row r="7" spans="1:30" ht="20.25">
      <c r="A7" s="518"/>
      <c r="B7" s="519"/>
      <c r="C7" s="3450" t="s">
        <v>3109</v>
      </c>
      <c r="D7" s="3451"/>
      <c r="E7" s="3450" t="s">
        <v>3027</v>
      </c>
      <c r="F7" s="3451"/>
      <c r="G7" s="3450" t="s">
        <v>3031</v>
      </c>
      <c r="H7" s="3451"/>
      <c r="I7" s="3450" t="s">
        <v>3255</v>
      </c>
      <c r="J7" s="3451"/>
      <c r="K7" s="517"/>
      <c r="L7" s="2132"/>
      <c r="M7" s="2131"/>
      <c r="N7" s="2131"/>
      <c r="O7" s="2133"/>
      <c r="P7" s="3443"/>
      <c r="Q7" s="3444"/>
      <c r="R7" s="3429"/>
      <c r="S7" s="3430"/>
      <c r="T7" s="3429"/>
      <c r="U7" s="3430"/>
      <c r="V7" s="3447"/>
      <c r="W7" s="3447"/>
      <c r="X7" s="1566"/>
      <c r="Y7" s="3429"/>
      <c r="Z7" s="3430"/>
      <c r="AA7" s="3423"/>
      <c r="AB7" s="3423"/>
      <c r="AC7" s="3423"/>
    </row>
    <row r="8" spans="1:30" ht="21" thickBot="1">
      <c r="A8" s="518"/>
      <c r="B8" s="519"/>
      <c r="C8" s="3452" t="s">
        <v>3110</v>
      </c>
      <c r="D8" s="3453"/>
      <c r="E8" s="3452" t="s">
        <v>3111</v>
      </c>
      <c r="F8" s="3453"/>
      <c r="G8" s="3448" t="str">
        <f>G7</f>
        <v>花溪区清溪社区桐木林村</v>
      </c>
      <c r="H8" s="3449"/>
      <c r="I8" s="3448" t="str">
        <f>I7</f>
        <v>云岩区三马片区</v>
      </c>
      <c r="J8" s="3449"/>
      <c r="K8" s="517" t="s">
        <v>529</v>
      </c>
      <c r="L8" s="2132"/>
      <c r="M8" s="2131"/>
      <c r="N8" s="2131"/>
      <c r="O8" s="2133"/>
      <c r="P8" s="3445"/>
      <c r="Q8" s="3446"/>
      <c r="R8" s="3429"/>
      <c r="S8" s="3430"/>
      <c r="T8" s="3431"/>
      <c r="U8" s="3432"/>
      <c r="V8" s="3447"/>
      <c r="W8" s="3447"/>
      <c r="X8" s="1566"/>
      <c r="Y8" s="3431"/>
      <c r="Z8" s="3432"/>
      <c r="AA8" s="3424"/>
      <c r="AB8" s="3424"/>
      <c r="AC8" s="3424"/>
    </row>
    <row r="9" spans="1:30" s="1219" customFormat="1" ht="21" thickBot="1">
      <c r="A9" s="2934"/>
      <c r="B9" s="2941" t="s">
        <v>530</v>
      </c>
      <c r="C9" s="2933">
        <f>'数据-取费表'!B2</f>
        <v>43031</v>
      </c>
      <c r="D9" s="523">
        <v>100</v>
      </c>
      <c r="E9" s="524">
        <v>42759</v>
      </c>
      <c r="F9" s="525">
        <f>SUMIF(72:72,YEAR(E9)&amp;"-"&amp;INT((MONTH(E9)+2)/3),73:73)</f>
        <v>97</v>
      </c>
      <c r="G9" s="526">
        <v>42613</v>
      </c>
      <c r="H9" s="523">
        <f>SUMIF(72:72,YEAR(G9)&amp;"-"&amp;INT((MONTH(G9)+2)/3),73:73)</f>
        <v>95</v>
      </c>
      <c r="I9" s="526">
        <v>42984</v>
      </c>
      <c r="J9" s="523">
        <f>SUMIF(72:72,YEAR(I9)&amp;"-"&amp;INT((MONTH(I9)+2)/3),73:73)</f>
        <v>99</v>
      </c>
      <c r="K9" s="527"/>
      <c r="L9" s="2134"/>
      <c r="M9" s="2131"/>
      <c r="N9" s="2131"/>
      <c r="O9" s="2135"/>
      <c r="P9" s="3425" t="s">
        <v>531</v>
      </c>
      <c r="Q9" s="3434"/>
      <c r="R9" s="1567" t="s">
        <v>8</v>
      </c>
      <c r="S9" s="1568">
        <f t="shared" ref="S9:S17" si="0">F9</f>
        <v>97</v>
      </c>
      <c r="T9" s="1567" t="s">
        <v>8</v>
      </c>
      <c r="U9" s="1568">
        <f t="shared" ref="U9:U17" si="1">H9</f>
        <v>95</v>
      </c>
      <c r="V9" s="1567" t="s">
        <v>8</v>
      </c>
      <c r="W9" s="1568">
        <f t="shared" ref="W9:W17" si="2">J9</f>
        <v>99</v>
      </c>
      <c r="X9" s="1569"/>
      <c r="Y9" s="3425" t="s">
        <v>531</v>
      </c>
      <c r="Z9" s="3426"/>
      <c r="AA9" s="1570">
        <f>D9/F9</f>
        <v>1.0309278350515463</v>
      </c>
      <c r="AB9" s="1570">
        <f>D9/H9</f>
        <v>1.0526315789473684</v>
      </c>
      <c r="AC9" s="1570">
        <f>D9/J9</f>
        <v>1.0101010101010102</v>
      </c>
    </row>
    <row r="10" spans="1:30" s="1219" customFormat="1" ht="21" thickBot="1">
      <c r="A10" s="2935"/>
      <c r="B10" s="2942" t="s">
        <v>532</v>
      </c>
      <c r="C10" s="857" t="s">
        <v>533</v>
      </c>
      <c r="D10" s="523">
        <v>100</v>
      </c>
      <c r="E10" s="857" t="s">
        <v>533</v>
      </c>
      <c r="F10" s="525">
        <f>SUMIF(75:75,E10,76:76)-SUMIF(75:75,C10,76:76)+100</f>
        <v>100</v>
      </c>
      <c r="G10" s="857" t="s">
        <v>533</v>
      </c>
      <c r="H10" s="523">
        <f>SUMIF(75:75,G10,76:76)-SUMIF(75:75,C10,76:76)+100</f>
        <v>100</v>
      </c>
      <c r="I10" s="857" t="s">
        <v>533</v>
      </c>
      <c r="J10" s="523">
        <f>SUMIF(75:75,I10,76:76)-SUMIF(75:75,C10,76:76)+100</f>
        <v>100</v>
      </c>
      <c r="K10" s="527"/>
      <c r="L10" s="2134"/>
      <c r="M10" s="2131"/>
      <c r="N10" s="2131"/>
      <c r="O10" s="2135"/>
      <c r="P10" s="3425" t="s">
        <v>534</v>
      </c>
      <c r="Q10" s="3426"/>
      <c r="R10" s="1567" t="s">
        <v>8</v>
      </c>
      <c r="S10" s="1568">
        <f t="shared" si="0"/>
        <v>100</v>
      </c>
      <c r="T10" s="1567" t="s">
        <v>8</v>
      </c>
      <c r="U10" s="1568">
        <f t="shared" si="1"/>
        <v>100</v>
      </c>
      <c r="V10" s="1567" t="s">
        <v>8</v>
      </c>
      <c r="W10" s="1568">
        <f t="shared" si="2"/>
        <v>100</v>
      </c>
      <c r="X10" s="1569"/>
      <c r="Y10" s="3425" t="s">
        <v>534</v>
      </c>
      <c r="Z10" s="3426"/>
      <c r="AA10" s="1570">
        <f t="shared" ref="AA10:AA47" si="3">D10/F10</f>
        <v>1</v>
      </c>
      <c r="AB10" s="1570">
        <f t="shared" ref="AB10:AB47" si="4">D10/H10</f>
        <v>1</v>
      </c>
      <c r="AC10" s="1570">
        <f t="shared" ref="AC10:AC47" si="5">D10/J10</f>
        <v>1</v>
      </c>
    </row>
    <row r="11" spans="1:30" s="1219" customFormat="1" ht="20.25">
      <c r="A11" s="2936"/>
      <c r="B11" s="2943" t="s">
        <v>2762</v>
      </c>
      <c r="C11" s="3201" t="s">
        <v>3253</v>
      </c>
      <c r="D11" s="254">
        <v>100</v>
      </c>
      <c r="E11" s="3201" t="s">
        <v>3253</v>
      </c>
      <c r="F11" s="254">
        <f>SUMIF(77:77,E11,78:78)-SUMIF(77:77,C11,78:78)+100</f>
        <v>100</v>
      </c>
      <c r="G11" s="3201" t="s">
        <v>924</v>
      </c>
      <c r="H11" s="254">
        <f>SUMIF(77:77,G11,78:78)-SUMIF(77:77,C11,78:78)+100</f>
        <v>99</v>
      </c>
      <c r="I11" s="3201" t="s">
        <v>924</v>
      </c>
      <c r="J11" s="254">
        <f>SUMIF(77:77,I11,78:78)-SUMIF(77:77,C11,78:78)+100</f>
        <v>99</v>
      </c>
      <c r="K11" s="527"/>
      <c r="L11" s="2134"/>
      <c r="M11" s="2131"/>
      <c r="N11" s="2131"/>
      <c r="O11" s="2136"/>
      <c r="P11" s="3433" t="s">
        <v>536</v>
      </c>
      <c r="Q11" s="1150" t="str">
        <f t="shared" ref="Q11:Q17" si="6">B11</f>
        <v>用途</v>
      </c>
      <c r="R11" s="1567" t="s">
        <v>8</v>
      </c>
      <c r="S11" s="1568">
        <f t="shared" si="0"/>
        <v>100</v>
      </c>
      <c r="T11" s="1567" t="s">
        <v>8</v>
      </c>
      <c r="U11" s="1568">
        <f t="shared" si="1"/>
        <v>99</v>
      </c>
      <c r="V11" s="1567" t="s">
        <v>8</v>
      </c>
      <c r="W11" s="1568">
        <f t="shared" si="2"/>
        <v>99</v>
      </c>
      <c r="X11" s="1569"/>
      <c r="Y11" s="3388" t="s">
        <v>537</v>
      </c>
      <c r="Z11" s="1149" t="str">
        <f t="shared" ref="Z11:Z17" si="7">Q11</f>
        <v>用途</v>
      </c>
      <c r="AA11" s="1570">
        <f t="shared" si="3"/>
        <v>1</v>
      </c>
      <c r="AB11" s="1570">
        <f t="shared" si="4"/>
        <v>1.0101010101010102</v>
      </c>
      <c r="AC11" s="1570">
        <f t="shared" si="5"/>
        <v>1.0101010101010102</v>
      </c>
    </row>
    <row r="12" spans="1:30" s="1337" customFormat="1" ht="27">
      <c r="A12" s="2937"/>
      <c r="B12" s="2942" t="s">
        <v>2763</v>
      </c>
      <c r="C12" s="911">
        <f>项目基本情况!D19</f>
        <v>69.680000000000007</v>
      </c>
      <c r="D12" s="255">
        <v>100</v>
      </c>
      <c r="E12" s="911">
        <v>70</v>
      </c>
      <c r="F12" s="255">
        <f>ROUND(100/'数据-取费表'!G16,0)</f>
        <v>100</v>
      </c>
      <c r="G12" s="911">
        <v>70</v>
      </c>
      <c r="H12" s="255">
        <f>ROUND(100/'数据-取费表'!G16,0)</f>
        <v>100</v>
      </c>
      <c r="I12" s="911">
        <v>70</v>
      </c>
      <c r="J12" s="255">
        <f>ROUND(100/'数据-取费表'!G16,0)</f>
        <v>100</v>
      </c>
      <c r="K12" s="532"/>
      <c r="L12" s="2137"/>
      <c r="M12" s="2131"/>
      <c r="N12" s="2131"/>
      <c r="O12" s="2138"/>
      <c r="P12" s="3433"/>
      <c r="Q12" s="1150" t="str">
        <f t="shared" si="6"/>
        <v>土地使用年限（年）</v>
      </c>
      <c r="R12" s="1567" t="s">
        <v>8</v>
      </c>
      <c r="S12" s="1568">
        <f t="shared" si="0"/>
        <v>100</v>
      </c>
      <c r="T12" s="1567" t="s">
        <v>8</v>
      </c>
      <c r="U12" s="1568">
        <f t="shared" si="1"/>
        <v>100</v>
      </c>
      <c r="V12" s="1567" t="s">
        <v>8</v>
      </c>
      <c r="W12" s="1568">
        <f t="shared" si="2"/>
        <v>100</v>
      </c>
      <c r="X12" s="1569"/>
      <c r="Y12" s="3388"/>
      <c r="Z12" s="1149" t="str">
        <f t="shared" si="7"/>
        <v>土地使用年限（年）</v>
      </c>
      <c r="AA12" s="1570">
        <f t="shared" si="3"/>
        <v>1</v>
      </c>
      <c r="AB12" s="1570">
        <f t="shared" si="4"/>
        <v>1</v>
      </c>
      <c r="AC12" s="1570">
        <f t="shared" si="5"/>
        <v>1</v>
      </c>
    </row>
    <row r="13" spans="1:30" ht="20.25">
      <c r="A13" s="2938"/>
      <c r="B13" s="2942" t="s">
        <v>2764</v>
      </c>
      <c r="C13" s="535">
        <f>'数据-汇总表'!I7</f>
        <v>2.1</v>
      </c>
      <c r="D13" s="255">
        <v>100</v>
      </c>
      <c r="E13" s="534">
        <v>2.5</v>
      </c>
      <c r="F13" s="255">
        <f>LOOKUP(E13,82:82,83:83)-LOOKUP(C13,82:82,83:83)+100</f>
        <v>100</v>
      </c>
      <c r="G13" s="535">
        <v>1.5</v>
      </c>
      <c r="H13" s="255">
        <f>LOOKUP(G13,82:82,83:83)-LOOKUP(C13,82:82,83:83)+100</f>
        <v>102</v>
      </c>
      <c r="I13" s="534">
        <v>2.81</v>
      </c>
      <c r="J13" s="255">
        <f>LOOKUP(I13,82:82,83:83)-LOOKUP(C13,82:82,83:83)+100</f>
        <v>100</v>
      </c>
      <c r="K13" s="536">
        <v>2</v>
      </c>
      <c r="L13" s="2139"/>
      <c r="M13" s="2131"/>
      <c r="N13" s="2131"/>
      <c r="O13" s="2140"/>
      <c r="P13" s="3433"/>
      <c r="Q13" s="1150" t="str">
        <f t="shared" si="6"/>
        <v>容积率</v>
      </c>
      <c r="R13" s="1567" t="s">
        <v>8</v>
      </c>
      <c r="S13" s="1568">
        <f t="shared" si="0"/>
        <v>100</v>
      </c>
      <c r="T13" s="1567" t="s">
        <v>8</v>
      </c>
      <c r="U13" s="1568">
        <f t="shared" si="1"/>
        <v>102</v>
      </c>
      <c r="V13" s="1567" t="s">
        <v>8</v>
      </c>
      <c r="W13" s="1568">
        <f t="shared" si="2"/>
        <v>100</v>
      </c>
      <c r="X13" s="1569"/>
      <c r="Y13" s="3388"/>
      <c r="Z13" s="1149" t="str">
        <f t="shared" si="7"/>
        <v>容积率</v>
      </c>
      <c r="AA13" s="1570">
        <f t="shared" si="3"/>
        <v>1</v>
      </c>
      <c r="AB13" s="1570">
        <f t="shared" si="4"/>
        <v>0.98039215686274506</v>
      </c>
      <c r="AC13" s="1570">
        <f t="shared" si="5"/>
        <v>1</v>
      </c>
    </row>
    <row r="14" spans="1:30" s="1219" customFormat="1" ht="21" thickBot="1">
      <c r="A14" s="2935"/>
      <c r="B14" s="2944" t="s">
        <v>2765</v>
      </c>
      <c r="C14" s="2931" t="s">
        <v>2996</v>
      </c>
      <c r="D14" s="539">
        <v>100</v>
      </c>
      <c r="E14" s="2931" t="s">
        <v>2996</v>
      </c>
      <c r="F14" s="255">
        <f>SUMIF(84:84,E14,85:85)-SUMIF(84:84,C14,85:85)+100</f>
        <v>100</v>
      </c>
      <c r="G14" s="2931" t="s">
        <v>2996</v>
      </c>
      <c r="H14" s="255">
        <f>SUMIF(84:84,G14,85:85)-SUMIF(84:84,C14,85:85)+100</f>
        <v>100</v>
      </c>
      <c r="I14" s="2931" t="s">
        <v>2996</v>
      </c>
      <c r="J14" s="255">
        <f>SUMIF(84:84,I14,85:85)-SUMIF(84:84,C14,85:85)+100</f>
        <v>100</v>
      </c>
      <c r="K14" s="532"/>
      <c r="L14" s="2134"/>
      <c r="M14" s="2131"/>
      <c r="N14" s="2131"/>
      <c r="O14" s="2136"/>
      <c r="P14" s="3433"/>
      <c r="Q14" s="1150" t="str">
        <f t="shared" si="6"/>
        <v>配建</v>
      </c>
      <c r="R14" s="1567" t="s">
        <v>8</v>
      </c>
      <c r="S14" s="1568">
        <f t="shared" si="0"/>
        <v>100</v>
      </c>
      <c r="T14" s="1567" t="s">
        <v>8</v>
      </c>
      <c r="U14" s="1568">
        <f t="shared" si="1"/>
        <v>100</v>
      </c>
      <c r="V14" s="1567" t="s">
        <v>8</v>
      </c>
      <c r="W14" s="1568">
        <f t="shared" si="2"/>
        <v>100</v>
      </c>
      <c r="X14" s="1569"/>
      <c r="Y14" s="3388"/>
      <c r="Z14" s="1149" t="str">
        <f t="shared" si="7"/>
        <v>配建</v>
      </c>
      <c r="AA14" s="1570">
        <f>D14/F14</f>
        <v>1</v>
      </c>
      <c r="AB14" s="1570">
        <f>D14/H14</f>
        <v>1</v>
      </c>
      <c r="AC14" s="1570">
        <f>D14/J14</f>
        <v>1</v>
      </c>
    </row>
    <row r="15" spans="1:30" ht="20.25" hidden="1">
      <c r="A15" s="2939"/>
      <c r="B15" s="2945">
        <v>111</v>
      </c>
      <c r="C15" s="913"/>
      <c r="D15" s="541">
        <v>100</v>
      </c>
      <c r="E15" s="542"/>
      <c r="F15" s="255">
        <f>SUMIF(86:86,E15,87:87)-SUMIF(86:86,C15,87:87)+100</f>
        <v>100</v>
      </c>
      <c r="G15" s="543"/>
      <c r="H15" s="541">
        <f>SUMIF(86:86,G15,87:87)-SUMIF(86:86,C15,87:87)+100</f>
        <v>100</v>
      </c>
      <c r="I15" s="543"/>
      <c r="J15" s="541">
        <f>SUMIF(86:86,I15,87:87)-SUMIF(86:86,C15,87:87)+100</f>
        <v>100</v>
      </c>
      <c r="K15" s="532"/>
      <c r="L15" s="2141"/>
      <c r="M15" s="2131"/>
      <c r="N15" s="2131"/>
      <c r="O15" s="2140"/>
      <c r="P15" s="3433"/>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D15/F15</f>
        <v>1</v>
      </c>
      <c r="AB15" s="1570">
        <f>D15/H15</f>
        <v>1</v>
      </c>
      <c r="AC15" s="1570">
        <f>D15/J15</f>
        <v>1</v>
      </c>
    </row>
    <row r="16" spans="1:30" ht="21" hidden="1" thickBot="1">
      <c r="A16" s="2940"/>
      <c r="B16" s="2946">
        <v>111</v>
      </c>
      <c r="C16" s="916"/>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433"/>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D16/F16</f>
        <v>1</v>
      </c>
      <c r="AB16" s="1570">
        <f>D16/H16</f>
        <v>1</v>
      </c>
      <c r="AC16" s="1570">
        <f>D16/J16</f>
        <v>1</v>
      </c>
    </row>
    <row r="17" spans="1:29" ht="72.75" customHeight="1">
      <c r="A17" s="2932" t="s">
        <v>2760</v>
      </c>
      <c r="B17" s="579" t="s">
        <v>295</v>
      </c>
      <c r="C17" s="549" t="str">
        <f>估价对象房地状况!C15</f>
        <v>咨询对象本身所属项目较大，本地块周边为本项目其他地块，尚未开发建设，综合评价居住社区成熟度较差。</v>
      </c>
      <c r="D17" s="552">
        <v>100</v>
      </c>
      <c r="E17" s="553" t="s">
        <v>3119</v>
      </c>
      <c r="F17" s="550">
        <f>SUMIF(90:90,E18,91:91)-SUMIF(90:90,C18,91:91)+100</f>
        <v>104</v>
      </c>
      <c r="G17" s="3178" t="s">
        <v>3122</v>
      </c>
      <c r="H17" s="550">
        <f>SUMIF(90:90,G18,91:91)-SUMIF(90:90,C18,91:91)+100</f>
        <v>104</v>
      </c>
      <c r="I17" s="3178" t="s">
        <v>3126</v>
      </c>
      <c r="J17" s="550">
        <f>SUMIF(90:90,I18,91:91)-SUMIF(90:90,C18,91:91)+100</f>
        <v>104</v>
      </c>
      <c r="K17" s="536">
        <v>2</v>
      </c>
      <c r="L17" s="2141"/>
      <c r="M17" s="2131"/>
      <c r="N17" s="2131"/>
      <c r="O17" s="2140"/>
      <c r="P17" s="3435" t="s">
        <v>541</v>
      </c>
      <c r="Q17" s="1571" t="str">
        <f t="shared" si="6"/>
        <v>居住社区成熟度</v>
      </c>
      <c r="R17" s="1572" t="s">
        <v>8</v>
      </c>
      <c r="S17" s="1573">
        <f t="shared" si="0"/>
        <v>104</v>
      </c>
      <c r="T17" s="1572" t="s">
        <v>8</v>
      </c>
      <c r="U17" s="1573">
        <f t="shared" si="1"/>
        <v>104</v>
      </c>
      <c r="V17" s="1572" t="s">
        <v>8</v>
      </c>
      <c r="W17" s="1573">
        <f t="shared" si="2"/>
        <v>104</v>
      </c>
      <c r="X17" s="1566"/>
      <c r="Y17" s="3435" t="s">
        <v>541</v>
      </c>
      <c r="Z17" s="1574" t="str">
        <f t="shared" si="7"/>
        <v>居住社区成熟度</v>
      </c>
      <c r="AA17" s="1575">
        <f t="shared" si="3"/>
        <v>0.96153846153846156</v>
      </c>
      <c r="AB17" s="1575">
        <f t="shared" si="4"/>
        <v>0.96153846153846156</v>
      </c>
      <c r="AC17" s="1575">
        <f t="shared" si="5"/>
        <v>0.96153846153846156</v>
      </c>
    </row>
    <row r="18" spans="1:29" ht="20.25">
      <c r="A18" s="533"/>
      <c r="B18" s="554"/>
      <c r="C18" s="555" t="s">
        <v>2990</v>
      </c>
      <c r="D18" s="558"/>
      <c r="E18" s="559" t="s">
        <v>3023</v>
      </c>
      <c r="F18" s="556"/>
      <c r="G18" s="557" t="s">
        <v>3023</v>
      </c>
      <c r="H18" s="560"/>
      <c r="I18" s="559" t="s">
        <v>3023</v>
      </c>
      <c r="J18" s="556"/>
      <c r="K18" s="532"/>
      <c r="L18" s="2141"/>
      <c r="M18" s="2131"/>
      <c r="N18" s="2131"/>
      <c r="O18" s="2140"/>
      <c r="P18" s="3436"/>
      <c r="Q18" s="1571"/>
      <c r="R18" s="1572"/>
      <c r="S18" s="1573"/>
      <c r="T18" s="1572"/>
      <c r="U18" s="1573"/>
      <c r="V18" s="1572"/>
      <c r="W18" s="1573"/>
      <c r="X18" s="1566"/>
      <c r="Y18" s="3436"/>
      <c r="Z18" s="1574"/>
      <c r="AA18" s="1575">
        <v>1</v>
      </c>
      <c r="AB18" s="1575">
        <v>1</v>
      </c>
      <c r="AC18" s="1575">
        <v>1</v>
      </c>
    </row>
    <row r="19" spans="1:29" ht="20.25" hidden="1">
      <c r="A19" s="533"/>
      <c r="B19" s="561" t="s">
        <v>542</v>
      </c>
      <c r="C19" s="562" t="str">
        <f>估价对象房地状况!C16</f>
        <v>较差</v>
      </c>
      <c r="D19" s="564">
        <v>100</v>
      </c>
      <c r="E19" s="565"/>
      <c r="F19" s="560">
        <f>SUMIF(92:92,E20,93:93)-SUMIF(92:92,C20,93:93)+100</f>
        <v>100</v>
      </c>
      <c r="G19" s="563"/>
      <c r="H19" s="566">
        <f>SUMIF(92:92,G20,93:93)-SUMIF(92:92,C20,93:93)+100</f>
        <v>100</v>
      </c>
      <c r="I19" s="565"/>
      <c r="J19" s="566">
        <f>SUMIF(92:92,I20,93:93)-SUMIF(92:92,C20,93:93)+100</f>
        <v>100</v>
      </c>
      <c r="K19" s="536"/>
      <c r="L19" s="2141"/>
      <c r="M19" s="2131"/>
      <c r="N19" s="2131"/>
      <c r="O19" s="2140"/>
      <c r="P19" s="3436"/>
      <c r="Q19" s="1571" t="str">
        <f>B19</f>
        <v>商业繁华度</v>
      </c>
      <c r="R19" s="1572" t="s">
        <v>8</v>
      </c>
      <c r="S19" s="1573">
        <f>F19</f>
        <v>100</v>
      </c>
      <c r="T19" s="1572" t="s">
        <v>8</v>
      </c>
      <c r="U19" s="1573">
        <f>H19</f>
        <v>100</v>
      </c>
      <c r="V19" s="1572" t="s">
        <v>8</v>
      </c>
      <c r="W19" s="1573">
        <f>J19</f>
        <v>100</v>
      </c>
      <c r="X19" s="1566"/>
      <c r="Y19" s="3436"/>
      <c r="Z19" s="1574" t="str">
        <f>Q19</f>
        <v>商业繁华度</v>
      </c>
      <c r="AA19" s="1575">
        <f t="shared" si="3"/>
        <v>1</v>
      </c>
      <c r="AB19" s="1575">
        <f t="shared" si="4"/>
        <v>1</v>
      </c>
      <c r="AC19" s="1575">
        <f t="shared" si="5"/>
        <v>1</v>
      </c>
    </row>
    <row r="20" spans="1:29" ht="20.25" hidden="1">
      <c r="A20" s="533"/>
      <c r="B20" s="567"/>
      <c r="C20" s="568"/>
      <c r="D20" s="564"/>
      <c r="E20" s="570"/>
      <c r="F20" s="560"/>
      <c r="G20" s="569"/>
      <c r="H20" s="556"/>
      <c r="I20" s="570"/>
      <c r="J20" s="556"/>
      <c r="K20" s="532"/>
      <c r="L20" s="2141"/>
      <c r="M20" s="2131"/>
      <c r="N20" s="2131"/>
      <c r="O20" s="2140"/>
      <c r="P20" s="3436"/>
      <c r="Q20" s="1571"/>
      <c r="R20" s="1572"/>
      <c r="S20" s="1573"/>
      <c r="T20" s="1572"/>
      <c r="U20" s="1573"/>
      <c r="V20" s="1572"/>
      <c r="W20" s="1573"/>
      <c r="X20" s="1566"/>
      <c r="Y20" s="3436"/>
      <c r="Z20" s="1574"/>
      <c r="AA20" s="1575">
        <v>1</v>
      </c>
      <c r="AB20" s="1575">
        <v>1</v>
      </c>
      <c r="AC20" s="1575">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1"/>
      <c r="M21" s="2131"/>
      <c r="N21" s="2131"/>
      <c r="O21" s="2140"/>
      <c r="P21" s="3436"/>
      <c r="Q21" s="1571" t="str">
        <f>B21</f>
        <v>办公集聚程度</v>
      </c>
      <c r="R21" s="1572" t="s">
        <v>8</v>
      </c>
      <c r="S21" s="1573">
        <f>F21</f>
        <v>100</v>
      </c>
      <c r="T21" s="1572" t="s">
        <v>8</v>
      </c>
      <c r="U21" s="1573">
        <f>H21</f>
        <v>100</v>
      </c>
      <c r="V21" s="1572" t="s">
        <v>8</v>
      </c>
      <c r="W21" s="1573">
        <f>J21</f>
        <v>100</v>
      </c>
      <c r="X21" s="1566"/>
      <c r="Y21" s="3436"/>
      <c r="Z21" s="1574" t="str">
        <f>Q21</f>
        <v>办公集聚程度</v>
      </c>
      <c r="AA21" s="1575">
        <f t="shared" si="3"/>
        <v>1</v>
      </c>
      <c r="AB21" s="1575">
        <f t="shared" si="4"/>
        <v>1</v>
      </c>
      <c r="AC21" s="1575">
        <f t="shared" si="5"/>
        <v>1</v>
      </c>
    </row>
    <row r="22" spans="1:29" ht="20.25" hidden="1">
      <c r="A22" s="533"/>
      <c r="B22" s="567"/>
      <c r="C22" s="555"/>
      <c r="D22" s="558"/>
      <c r="E22" s="559"/>
      <c r="F22" s="556"/>
      <c r="G22" s="557"/>
      <c r="H22" s="556"/>
      <c r="I22" s="559"/>
      <c r="J22" s="556"/>
      <c r="K22" s="532"/>
      <c r="L22" s="2141"/>
      <c r="M22" s="2131"/>
      <c r="N22" s="2131"/>
      <c r="O22" s="2140"/>
      <c r="P22" s="3436"/>
      <c r="Q22" s="1571"/>
      <c r="R22" s="1572"/>
      <c r="S22" s="1573"/>
      <c r="T22" s="1572"/>
      <c r="U22" s="1573"/>
      <c r="V22" s="1572"/>
      <c r="W22" s="1573"/>
      <c r="X22" s="1566"/>
      <c r="Y22" s="3436"/>
      <c r="Z22" s="1574"/>
      <c r="AA22" s="1575">
        <v>1</v>
      </c>
      <c r="AB22" s="1575">
        <v>1</v>
      </c>
      <c r="AC22" s="1575">
        <v>1</v>
      </c>
    </row>
    <row r="23" spans="1:29" ht="71.25" customHeight="1">
      <c r="A23" s="533"/>
      <c r="B23" s="561" t="s">
        <v>544</v>
      </c>
      <c r="C23" s="574" t="str">
        <f>估价对象房地状况!C18</f>
        <v>咨询对象本身所属项目较大，本地块周边道路尚未建设完善，综合评价交通便捷度较差。</v>
      </c>
      <c r="D23" s="564">
        <v>100</v>
      </c>
      <c r="E23" s="565" t="s">
        <v>3118</v>
      </c>
      <c r="F23" s="566">
        <f>SUMIF(96:96,E24,97:97)-SUMIF(96:96,C24,97:97)+100</f>
        <v>104</v>
      </c>
      <c r="G23" s="3177" t="s">
        <v>3123</v>
      </c>
      <c r="H23" s="560">
        <f>SUMIF(96:96,G24,97:97)-SUMIF(96:96,C24,97:97)+100</f>
        <v>102</v>
      </c>
      <c r="I23" s="3177" t="s">
        <v>3127</v>
      </c>
      <c r="J23" s="560">
        <f>SUMIF(96:96,I24,97:97)-SUMIF(96:96,C24,97:97)+100</f>
        <v>104</v>
      </c>
      <c r="K23" s="536">
        <v>2</v>
      </c>
      <c r="L23" s="2141"/>
      <c r="M23" s="2131"/>
      <c r="N23" s="2131"/>
      <c r="O23" s="2140"/>
      <c r="P23" s="3436"/>
      <c r="Q23" s="1571" t="str">
        <f>B23</f>
        <v>交通便捷度</v>
      </c>
      <c r="R23" s="1572" t="s">
        <v>8</v>
      </c>
      <c r="S23" s="1573">
        <f>F23</f>
        <v>104</v>
      </c>
      <c r="T23" s="1572" t="s">
        <v>8</v>
      </c>
      <c r="U23" s="1573">
        <f>H23</f>
        <v>102</v>
      </c>
      <c r="V23" s="1572" t="s">
        <v>8</v>
      </c>
      <c r="W23" s="1573">
        <f>J23</f>
        <v>104</v>
      </c>
      <c r="X23" s="1566"/>
      <c r="Y23" s="3436"/>
      <c r="Z23" s="1574" t="str">
        <f>Q23</f>
        <v>交通便捷度</v>
      </c>
      <c r="AA23" s="1575">
        <f t="shared" si="3"/>
        <v>0.96153846153846156</v>
      </c>
      <c r="AB23" s="1575">
        <f t="shared" si="4"/>
        <v>0.98039215686274506</v>
      </c>
      <c r="AC23" s="1575">
        <f t="shared" si="5"/>
        <v>0.96153846153846156</v>
      </c>
    </row>
    <row r="24" spans="1:29" ht="20.25">
      <c r="A24" s="533"/>
      <c r="B24" s="579"/>
      <c r="C24" s="555" t="s">
        <v>2990</v>
      </c>
      <c r="D24" s="558"/>
      <c r="E24" s="559" t="s">
        <v>3023</v>
      </c>
      <c r="F24" s="556"/>
      <c r="G24" s="557" t="s">
        <v>3006</v>
      </c>
      <c r="H24" s="556"/>
      <c r="I24" s="559" t="s">
        <v>3023</v>
      </c>
      <c r="J24" s="556"/>
      <c r="K24" s="532"/>
      <c r="L24" s="2141"/>
      <c r="M24" s="2131"/>
      <c r="N24" s="2131"/>
      <c r="O24" s="2140"/>
      <c r="P24" s="3436"/>
      <c r="Q24" s="1571"/>
      <c r="R24" s="1572"/>
      <c r="S24" s="1573"/>
      <c r="T24" s="1572"/>
      <c r="U24" s="1573"/>
      <c r="V24" s="1572"/>
      <c r="W24" s="1573"/>
      <c r="X24" s="1566"/>
      <c r="Y24" s="3436"/>
      <c r="Z24" s="1574"/>
      <c r="AA24" s="1575">
        <v>1</v>
      </c>
      <c r="AB24" s="1575">
        <v>1</v>
      </c>
      <c r="AC24" s="1575">
        <v>1</v>
      </c>
    </row>
    <row r="25" spans="1:29" ht="27">
      <c r="A25" s="518"/>
      <c r="B25" s="259" t="s">
        <v>545</v>
      </c>
      <c r="C25" s="574" t="str">
        <f>估价对象房地状况!C19</f>
        <v>区域土地利用方向一致。</v>
      </c>
      <c r="D25" s="564">
        <v>100</v>
      </c>
      <c r="E25" s="565" t="s">
        <v>3116</v>
      </c>
      <c r="F25" s="566">
        <f>SUMIF(98:98,E26,99:99)-SUMIF(98:98,C26,99:99)+100</f>
        <v>100</v>
      </c>
      <c r="G25" s="565" t="s">
        <v>3116</v>
      </c>
      <c r="H25" s="560">
        <f>SUMIF(98:98,G26,99:99)-SUMIF(98:98,C26,99:99)+100</f>
        <v>100</v>
      </c>
      <c r="I25" s="565" t="s">
        <v>3116</v>
      </c>
      <c r="J25" s="560">
        <f>SUMIF(98:98,I26,99:99)-SUMIF(98:98,C26,99:99)+100</f>
        <v>100</v>
      </c>
      <c r="K25" s="536">
        <v>1</v>
      </c>
      <c r="L25" s="2141"/>
      <c r="M25" s="2131"/>
      <c r="N25" s="2131"/>
      <c r="O25" s="2140"/>
      <c r="P25" s="3436"/>
      <c r="Q25" s="1571" t="str">
        <f t="shared" ref="Q25:Q39" si="8">B25</f>
        <v>区域土地利用方向</v>
      </c>
      <c r="R25" s="1572" t="s">
        <v>8</v>
      </c>
      <c r="S25" s="1573">
        <f>F25</f>
        <v>100</v>
      </c>
      <c r="T25" s="1572" t="s">
        <v>8</v>
      </c>
      <c r="U25" s="1573">
        <f>H25</f>
        <v>100</v>
      </c>
      <c r="V25" s="1572" t="s">
        <v>8</v>
      </c>
      <c r="W25" s="1573">
        <f>J25</f>
        <v>100</v>
      </c>
      <c r="X25" s="1566"/>
      <c r="Y25" s="3436"/>
      <c r="Z25" s="1574" t="str">
        <f>Q25</f>
        <v>区域土地利用方向</v>
      </c>
      <c r="AA25" s="1575">
        <f t="shared" si="3"/>
        <v>1</v>
      </c>
      <c r="AB25" s="1575">
        <f t="shared" si="4"/>
        <v>1</v>
      </c>
      <c r="AC25" s="1575">
        <f t="shared" si="5"/>
        <v>1</v>
      </c>
    </row>
    <row r="26" spans="1:29" ht="20.25">
      <c r="A26" s="518"/>
      <c r="B26" s="1006"/>
      <c r="C26" s="555" t="s">
        <v>3023</v>
      </c>
      <c r="D26" s="558"/>
      <c r="E26" s="559" t="s">
        <v>3023</v>
      </c>
      <c r="F26" s="556"/>
      <c r="G26" s="557" t="s">
        <v>3023</v>
      </c>
      <c r="H26" s="556"/>
      <c r="I26" s="559" t="s">
        <v>3023</v>
      </c>
      <c r="J26" s="556"/>
      <c r="K26" s="532"/>
      <c r="L26" s="2141"/>
      <c r="M26" s="2131"/>
      <c r="N26" s="2131"/>
      <c r="O26" s="2140"/>
      <c r="P26" s="3436"/>
      <c r="Q26" s="1571"/>
      <c r="R26" s="1572"/>
      <c r="S26" s="1573"/>
      <c r="T26" s="1572"/>
      <c r="U26" s="1573"/>
      <c r="V26" s="1572"/>
      <c r="W26" s="1573"/>
      <c r="X26" s="1566"/>
      <c r="Y26" s="3436"/>
      <c r="Z26" s="1574"/>
      <c r="AA26" s="1575"/>
      <c r="AB26" s="1575"/>
      <c r="AC26" s="1575"/>
    </row>
    <row r="27" spans="1:29" ht="65.25" customHeight="1">
      <c r="A27" s="518"/>
      <c r="B27" s="579" t="s">
        <v>546</v>
      </c>
      <c r="C27" s="562" t="str">
        <f>估价对象房地状况!C20</f>
        <v>咨询对象本身所属项目较大，周边尚无自然及人文环境，综合评价自然及人文环境较差。</v>
      </c>
      <c r="D27" s="564">
        <v>100</v>
      </c>
      <c r="E27" s="3177" t="s">
        <v>3225</v>
      </c>
      <c r="F27" s="560">
        <f>SUMIF(100:100,E28,101:101)-SUMIF(100:100,C28,101:101)+100</f>
        <v>102</v>
      </c>
      <c r="G27" s="3177" t="s">
        <v>3124</v>
      </c>
      <c r="H27" s="560">
        <f>SUMIF(100:100,G28,101:101)-SUMIF(100:100,C28,101:101)+100</f>
        <v>102</v>
      </c>
      <c r="I27" s="3177" t="s">
        <v>3128</v>
      </c>
      <c r="J27" s="560">
        <f>SUMIF(100:100,I28,101:101)-SUMIF(100:100,C28,101:101)+100</f>
        <v>102</v>
      </c>
      <c r="K27" s="536">
        <v>1</v>
      </c>
      <c r="L27" s="2141"/>
      <c r="M27" s="2131"/>
      <c r="N27" s="2131"/>
      <c r="O27" s="2140"/>
      <c r="P27" s="3436"/>
      <c r="Q27" s="1571" t="str">
        <f t="shared" si="8"/>
        <v>自然及人文环境状况</v>
      </c>
      <c r="R27" s="1572" t="s">
        <v>8</v>
      </c>
      <c r="S27" s="1573">
        <f>F27</f>
        <v>102</v>
      </c>
      <c r="T27" s="1572" t="s">
        <v>8</v>
      </c>
      <c r="U27" s="1573">
        <f>H27</f>
        <v>102</v>
      </c>
      <c r="V27" s="1572" t="s">
        <v>8</v>
      </c>
      <c r="W27" s="1573">
        <f>J27</f>
        <v>102</v>
      </c>
      <c r="X27" s="1566"/>
      <c r="Y27" s="3436"/>
      <c r="Z27" s="1574" t="str">
        <f>Q27</f>
        <v>自然及人文环境状况</v>
      </c>
      <c r="AA27" s="1575">
        <f t="shared" si="3"/>
        <v>0.98039215686274506</v>
      </c>
      <c r="AB27" s="1575">
        <f t="shared" si="4"/>
        <v>0.98039215686274506</v>
      </c>
      <c r="AC27" s="1575">
        <f t="shared" si="5"/>
        <v>0.98039215686274506</v>
      </c>
    </row>
    <row r="28" spans="1:29" ht="20.25">
      <c r="A28" s="518"/>
      <c r="B28" s="567"/>
      <c r="C28" s="555" t="s">
        <v>2990</v>
      </c>
      <c r="D28" s="558"/>
      <c r="E28" s="577" t="s">
        <v>3023</v>
      </c>
      <c r="F28" s="556"/>
      <c r="G28" s="555" t="s">
        <v>3023</v>
      </c>
      <c r="H28" s="556"/>
      <c r="I28" s="577" t="s">
        <v>3023</v>
      </c>
      <c r="J28" s="556"/>
      <c r="K28" s="532"/>
      <c r="L28" s="2141"/>
      <c r="M28" s="2131"/>
      <c r="N28" s="2131"/>
      <c r="O28" s="2140"/>
      <c r="P28" s="3436"/>
      <c r="Q28" s="1571"/>
      <c r="R28" s="1572"/>
      <c r="S28" s="1573"/>
      <c r="T28" s="1572"/>
      <c r="U28" s="1573"/>
      <c r="V28" s="1572"/>
      <c r="W28" s="1573"/>
      <c r="X28" s="1566"/>
      <c r="Y28" s="3436"/>
      <c r="Z28" s="1574"/>
      <c r="AA28" s="1575">
        <v>1</v>
      </c>
      <c r="AB28" s="1575">
        <v>1</v>
      </c>
      <c r="AC28" s="1575">
        <v>1</v>
      </c>
    </row>
    <row r="29" spans="1:29" s="1219" customFormat="1" ht="81" customHeight="1">
      <c r="A29" s="578"/>
      <c r="B29" s="2612" t="s">
        <v>2552</v>
      </c>
      <c r="C29" s="574" t="str">
        <f>估价对象房地状况!C21</f>
        <v>咨询对象本身所属项目较大，公共配套设施尚未建设，综合评价公共配套设施较差。</v>
      </c>
      <c r="D29" s="564">
        <v>100</v>
      </c>
      <c r="E29" s="3177" t="s">
        <v>3232</v>
      </c>
      <c r="F29" s="560">
        <f>SUMIF(102:102,E30,103:103)-SUMIF(102:102,C30,103:103)+100</f>
        <v>102</v>
      </c>
      <c r="G29" s="3177" t="s">
        <v>3125</v>
      </c>
      <c r="H29" s="560">
        <f>SUMIF(102:102,G30,103:103)-SUMIF(102:102,C30,103:103)+100</f>
        <v>102</v>
      </c>
      <c r="I29" s="3177" t="s">
        <v>3129</v>
      </c>
      <c r="J29" s="560">
        <f>SUMIF(102:102,I30,103:103)-SUMIF(102:102,C30,103:103)+100</f>
        <v>103</v>
      </c>
      <c r="K29" s="536">
        <v>1</v>
      </c>
      <c r="L29" s="2134"/>
      <c r="M29" s="2131"/>
      <c r="N29" s="2131"/>
      <c r="O29" s="2136"/>
      <c r="P29" s="3436"/>
      <c r="Q29" s="1150" t="str">
        <f t="shared" si="8"/>
        <v>公共配套设施</v>
      </c>
      <c r="R29" s="1567" t="s">
        <v>8</v>
      </c>
      <c r="S29" s="1568">
        <f>F29</f>
        <v>102</v>
      </c>
      <c r="T29" s="1567" t="s">
        <v>8</v>
      </c>
      <c r="U29" s="1568">
        <f>H29</f>
        <v>102</v>
      </c>
      <c r="V29" s="1567" t="s">
        <v>8</v>
      </c>
      <c r="W29" s="1568">
        <f>J29</f>
        <v>103</v>
      </c>
      <c r="X29" s="1569"/>
      <c r="Y29" s="3436"/>
      <c r="Z29" s="1149" t="str">
        <f>Q29</f>
        <v>公共配套设施</v>
      </c>
      <c r="AA29" s="1575">
        <f>D29/F29</f>
        <v>0.98039215686274506</v>
      </c>
      <c r="AB29" s="1575">
        <f>D29/H29</f>
        <v>0.98039215686274506</v>
      </c>
      <c r="AC29" s="1575">
        <f>D29/J29</f>
        <v>0.970873786407767</v>
      </c>
    </row>
    <row r="30" spans="1:29" s="1219" customFormat="1" ht="20.25">
      <c r="A30" s="578"/>
      <c r="B30" s="567"/>
      <c r="C30" s="580" t="s">
        <v>2990</v>
      </c>
      <c r="D30" s="558"/>
      <c r="E30" s="577" t="s">
        <v>3023</v>
      </c>
      <c r="F30" s="556"/>
      <c r="G30" s="555" t="s">
        <v>3023</v>
      </c>
      <c r="H30" s="556"/>
      <c r="I30" s="577" t="s">
        <v>3130</v>
      </c>
      <c r="J30" s="556"/>
      <c r="K30" s="532"/>
      <c r="L30" s="2134"/>
      <c r="M30" s="2131"/>
      <c r="N30" s="2131"/>
      <c r="O30" s="2136"/>
      <c r="P30" s="3436"/>
      <c r="Q30" s="1150"/>
      <c r="R30" s="1567"/>
      <c r="S30" s="1568"/>
      <c r="T30" s="1567"/>
      <c r="U30" s="1568"/>
      <c r="V30" s="1567"/>
      <c r="W30" s="1568"/>
      <c r="X30" s="1569"/>
      <c r="Y30" s="3436"/>
      <c r="Z30" s="1149"/>
      <c r="AA30" s="1575">
        <v>1</v>
      </c>
      <c r="AB30" s="1575">
        <v>1</v>
      </c>
      <c r="AC30" s="1575">
        <v>1</v>
      </c>
    </row>
    <row r="31" spans="1:29" s="1219" customFormat="1" ht="20.25">
      <c r="A31" s="578"/>
      <c r="B31" s="2612" t="s">
        <v>2553</v>
      </c>
      <c r="C31" s="574" t="str">
        <f>估价对象房地状况!C22</f>
        <v xml:space="preserve"> </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4"/>
      <c r="M31" s="2131"/>
      <c r="N31" s="2131"/>
      <c r="O31" s="2136"/>
      <c r="P31" s="3436"/>
      <c r="Q31" s="2599" t="str">
        <f t="shared" ref="Q31" si="9">B31</f>
        <v>基础设施水平</v>
      </c>
      <c r="R31" s="1567" t="s">
        <v>8</v>
      </c>
      <c r="S31" s="1568">
        <f>F31</f>
        <v>100</v>
      </c>
      <c r="T31" s="1567" t="s">
        <v>8</v>
      </c>
      <c r="U31" s="1568">
        <f>H31</f>
        <v>100</v>
      </c>
      <c r="V31" s="1567" t="s">
        <v>8</v>
      </c>
      <c r="W31" s="1568">
        <f>J31</f>
        <v>100</v>
      </c>
      <c r="X31" s="1569"/>
      <c r="Y31" s="3436"/>
      <c r="Z31" s="2596" t="str">
        <f>Q31</f>
        <v>基础设施水平</v>
      </c>
      <c r="AA31" s="1575">
        <f>D31/F31</f>
        <v>1</v>
      </c>
      <c r="AB31" s="1575">
        <f>D31/H31</f>
        <v>1</v>
      </c>
      <c r="AC31" s="1575">
        <f>D31/J31</f>
        <v>1</v>
      </c>
    </row>
    <row r="32" spans="1:29" s="1219" customFormat="1" ht="20.25">
      <c r="A32" s="578"/>
      <c r="B32" s="567"/>
      <c r="C32" s="580" t="s">
        <v>3017</v>
      </c>
      <c r="D32" s="558"/>
      <c r="E32" s="580" t="s">
        <v>3017</v>
      </c>
      <c r="F32" s="556"/>
      <c r="G32" s="580" t="s">
        <v>3017</v>
      </c>
      <c r="H32" s="556"/>
      <c r="I32" s="580" t="s">
        <v>3017</v>
      </c>
      <c r="J32" s="556"/>
      <c r="K32" s="532"/>
      <c r="L32" s="2134"/>
      <c r="M32" s="2131"/>
      <c r="N32" s="2131"/>
      <c r="O32" s="2136"/>
      <c r="P32" s="3436"/>
      <c r="Q32" s="2599"/>
      <c r="R32" s="1567"/>
      <c r="S32" s="1568"/>
      <c r="T32" s="1567"/>
      <c r="U32" s="1568"/>
      <c r="V32" s="1567"/>
      <c r="W32" s="1568"/>
      <c r="X32" s="1569"/>
      <c r="Y32" s="3436"/>
      <c r="Z32" s="2596"/>
      <c r="AA32" s="1575">
        <v>1</v>
      </c>
      <c r="AB32" s="1575">
        <v>1</v>
      </c>
      <c r="AC32" s="1575">
        <v>1</v>
      </c>
    </row>
    <row r="33" spans="1:29" ht="20.25" hidden="1">
      <c r="A33" s="533"/>
      <c r="B33" s="567" t="s">
        <v>548</v>
      </c>
      <c r="C33" s="581" t="s">
        <v>3029</v>
      </c>
      <c r="D33" s="576">
        <v>100</v>
      </c>
      <c r="E33" s="584" t="s">
        <v>3030</v>
      </c>
      <c r="F33" s="541">
        <f>SUMIF(106:106,E33,107:107)-SUMIF(106:106,C33,107:107)+100</f>
        <v>100</v>
      </c>
      <c r="G33" s="581" t="s">
        <v>3032</v>
      </c>
      <c r="H33" s="541">
        <f>SUMIF(106:106,G33,107:107)-SUMIF(106:106,C33,107:107)+100</f>
        <v>100</v>
      </c>
      <c r="I33" s="581" t="s">
        <v>3032</v>
      </c>
      <c r="J33" s="541">
        <f>SUMIF(106:106,I33,107:107)-SUMIF(106:106,C33,107:107)+100</f>
        <v>100</v>
      </c>
      <c r="K33" s="536">
        <v>0</v>
      </c>
      <c r="L33" s="2141"/>
      <c r="M33" s="2131"/>
      <c r="N33" s="2131"/>
      <c r="O33" s="2140"/>
      <c r="P33" s="343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6"/>
      <c r="Z33" s="1574" t="str">
        <f t="shared" ref="Z33:Z47" si="13">Q33</f>
        <v>临街状况</v>
      </c>
      <c r="AA33" s="1575">
        <f t="shared" si="3"/>
        <v>1</v>
      </c>
      <c r="AB33" s="1575">
        <f t="shared" si="4"/>
        <v>1</v>
      </c>
      <c r="AC33" s="1575">
        <f t="shared" si="5"/>
        <v>1</v>
      </c>
    </row>
    <row r="34" spans="1:29" ht="27">
      <c r="A34" s="533"/>
      <c r="B34" s="579" t="s">
        <v>549</v>
      </c>
      <c r="C34" s="563" t="s">
        <v>3246</v>
      </c>
      <c r="D34" s="564">
        <v>100</v>
      </c>
      <c r="E34" s="565" t="s">
        <v>2998</v>
      </c>
      <c r="F34" s="560">
        <f>SUMIF(108:108,E35,109:109)-SUMIF(108:108,C35,109:109)+100</f>
        <v>103</v>
      </c>
      <c r="G34" s="563" t="s">
        <v>2998</v>
      </c>
      <c r="H34" s="560">
        <f>SUMIF(108:108,G35,109:109)-SUMIF(108:108,C35,109:109)+100</f>
        <v>103</v>
      </c>
      <c r="I34" s="565" t="s">
        <v>3000</v>
      </c>
      <c r="J34" s="560">
        <f>SUMIF(108:108,I35,109:109)-SUMIF(108:108,C35,109:109)+100</f>
        <v>102</v>
      </c>
      <c r="K34" s="536">
        <v>1</v>
      </c>
      <c r="L34" s="2141"/>
      <c r="M34" s="2131"/>
      <c r="N34" s="2131"/>
      <c r="O34" s="2140"/>
      <c r="P34" s="3436"/>
      <c r="Q34" s="1571" t="str">
        <f t="shared" si="8"/>
        <v>毗邻道路的类型与等级</v>
      </c>
      <c r="R34" s="1572" t="s">
        <v>8</v>
      </c>
      <c r="S34" s="1573">
        <f t="shared" si="10"/>
        <v>103</v>
      </c>
      <c r="T34" s="1572" t="s">
        <v>8</v>
      </c>
      <c r="U34" s="1573">
        <f t="shared" si="11"/>
        <v>103</v>
      </c>
      <c r="V34" s="1572" t="s">
        <v>8</v>
      </c>
      <c r="W34" s="1573">
        <f t="shared" si="12"/>
        <v>102</v>
      </c>
      <c r="X34" s="1566"/>
      <c r="Y34" s="3436"/>
      <c r="Z34" s="1574" t="str">
        <f t="shared" si="13"/>
        <v>毗邻道路的类型与等级</v>
      </c>
      <c r="AA34" s="1575">
        <f t="shared" si="3"/>
        <v>0.970873786407767</v>
      </c>
      <c r="AB34" s="1575">
        <f t="shared" si="4"/>
        <v>0.970873786407767</v>
      </c>
      <c r="AC34" s="1575">
        <f t="shared" si="5"/>
        <v>0.98039215686274506</v>
      </c>
    </row>
    <row r="35" spans="1:29" ht="21" thickBot="1">
      <c r="A35" s="533"/>
      <c r="B35" s="567"/>
      <c r="C35" s="555" t="s">
        <v>3246</v>
      </c>
      <c r="D35" s="558"/>
      <c r="E35" s="577" t="s">
        <v>2998</v>
      </c>
      <c r="F35" s="556"/>
      <c r="G35" s="555" t="s">
        <v>2998</v>
      </c>
      <c r="H35" s="556"/>
      <c r="I35" s="577" t="s">
        <v>3000</v>
      </c>
      <c r="J35" s="556"/>
      <c r="K35" s="582"/>
      <c r="L35" s="2141"/>
      <c r="M35" s="2131"/>
      <c r="N35" s="2131"/>
      <c r="O35" s="2140"/>
      <c r="P35" s="3436"/>
      <c r="Q35" s="1571"/>
      <c r="R35" s="1572"/>
      <c r="S35" s="1573"/>
      <c r="T35" s="1572"/>
      <c r="U35" s="1573"/>
      <c r="V35" s="1572"/>
      <c r="W35" s="1573"/>
      <c r="X35" s="1566"/>
      <c r="Y35" s="3436"/>
      <c r="Z35" s="1574"/>
      <c r="AA35" s="1575">
        <v>1</v>
      </c>
      <c r="AB35" s="1575">
        <v>1</v>
      </c>
      <c r="AC35" s="1575">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36"/>
      <c r="Q36" s="1571" t="str">
        <f t="shared" si="8"/>
        <v>土地级别</v>
      </c>
      <c r="R36" s="1572" t="s">
        <v>8</v>
      </c>
      <c r="S36" s="1573">
        <f t="shared" si="10"/>
        <v>100</v>
      </c>
      <c r="T36" s="1572" t="s">
        <v>8</v>
      </c>
      <c r="U36" s="1573">
        <f t="shared" si="11"/>
        <v>100</v>
      </c>
      <c r="V36" s="1572" t="s">
        <v>8</v>
      </c>
      <c r="W36" s="1573">
        <f t="shared" si="12"/>
        <v>100</v>
      </c>
      <c r="X36" s="1566"/>
      <c r="Y36" s="3436"/>
      <c r="Z36" s="1574" t="str">
        <f t="shared" si="13"/>
        <v>土地级别</v>
      </c>
      <c r="AA36" s="1575">
        <f t="shared" si="3"/>
        <v>1</v>
      </c>
      <c r="AB36" s="1575">
        <f t="shared" si="4"/>
        <v>1</v>
      </c>
      <c r="AC36" s="1575">
        <f t="shared" si="5"/>
        <v>1</v>
      </c>
    </row>
    <row r="37" spans="1:29" ht="20.25" hidden="1">
      <c r="A37" s="518"/>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36"/>
      <c r="Q37" s="1571">
        <f t="shared" si="8"/>
        <v>111</v>
      </c>
      <c r="R37" s="1572" t="s">
        <v>8</v>
      </c>
      <c r="S37" s="1573">
        <f t="shared" si="10"/>
        <v>100</v>
      </c>
      <c r="T37" s="1572" t="s">
        <v>8</v>
      </c>
      <c r="U37" s="1573">
        <f t="shared" si="11"/>
        <v>100</v>
      </c>
      <c r="V37" s="1572" t="s">
        <v>8</v>
      </c>
      <c r="W37" s="1573">
        <f t="shared" si="12"/>
        <v>100</v>
      </c>
      <c r="X37" s="1566"/>
      <c r="Y37" s="3436"/>
      <c r="Z37" s="1574">
        <f t="shared" si="13"/>
        <v>111</v>
      </c>
      <c r="AA37" s="1575">
        <f t="shared" si="3"/>
        <v>1</v>
      </c>
      <c r="AB37" s="1575">
        <f t="shared" si="4"/>
        <v>1</v>
      </c>
      <c r="AC37" s="1575">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37" t="s">
        <v>551</v>
      </c>
      <c r="Q38" s="1571">
        <f t="shared" si="8"/>
        <v>111</v>
      </c>
      <c r="R38" s="1572" t="s">
        <v>8</v>
      </c>
      <c r="S38" s="1573">
        <f t="shared" si="10"/>
        <v>100</v>
      </c>
      <c r="T38" s="1572" t="s">
        <v>8</v>
      </c>
      <c r="U38" s="1573">
        <f t="shared" si="11"/>
        <v>100</v>
      </c>
      <c r="V38" s="1572" t="s">
        <v>8</v>
      </c>
      <c r="W38" s="1573">
        <f t="shared" si="12"/>
        <v>100</v>
      </c>
      <c r="X38" s="1566"/>
      <c r="Y38" s="3438" t="s">
        <v>551</v>
      </c>
      <c r="Z38" s="1574">
        <f t="shared" si="13"/>
        <v>111</v>
      </c>
      <c r="AA38" s="1575">
        <f t="shared" si="3"/>
        <v>1</v>
      </c>
      <c r="AB38" s="1575">
        <f t="shared" si="4"/>
        <v>1</v>
      </c>
      <c r="AC38" s="1575">
        <f t="shared" si="5"/>
        <v>1</v>
      </c>
    </row>
    <row r="39" spans="1:29" s="1338"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38"/>
      <c r="Q39" s="1571">
        <f t="shared" si="8"/>
        <v>111</v>
      </c>
      <c r="R39" s="1576" t="s">
        <v>8</v>
      </c>
      <c r="S39" s="1577">
        <f t="shared" si="10"/>
        <v>100</v>
      </c>
      <c r="T39" s="1576" t="s">
        <v>8</v>
      </c>
      <c r="U39" s="1577">
        <f t="shared" si="11"/>
        <v>100</v>
      </c>
      <c r="V39" s="1576" t="s">
        <v>8</v>
      </c>
      <c r="W39" s="1577">
        <f t="shared" si="12"/>
        <v>100</v>
      </c>
      <c r="X39" s="1578"/>
      <c r="Y39" s="3438"/>
      <c r="Z39" s="1579">
        <f t="shared" si="13"/>
        <v>111</v>
      </c>
      <c r="AA39" s="1575">
        <f t="shared" si="3"/>
        <v>1</v>
      </c>
      <c r="AB39" s="1575">
        <f t="shared" si="4"/>
        <v>1</v>
      </c>
      <c r="AC39" s="1575">
        <f t="shared" si="5"/>
        <v>1</v>
      </c>
    </row>
    <row r="40" spans="1:29" ht="20.25">
      <c r="A40" s="2930" t="s">
        <v>2761</v>
      </c>
      <c r="B40" s="596" t="s">
        <v>553</v>
      </c>
      <c r="C40" s="597">
        <f>'数据-汇总表'!D3</f>
        <v>158684</v>
      </c>
      <c r="D40" s="598">
        <v>100</v>
      </c>
      <c r="E40" s="597">
        <v>8806</v>
      </c>
      <c r="F40" s="598">
        <f>LOOKUP(E40,119:119,120:120)-LOOKUP(C40,119:119,120:120)+100</f>
        <v>96</v>
      </c>
      <c r="G40" s="597">
        <v>78867</v>
      </c>
      <c r="H40" s="598">
        <f>LOOKUP(G40,119:119,120:120)-LOOKUP(C40,119:119,120:120)+100</f>
        <v>99</v>
      </c>
      <c r="I40" s="599">
        <v>26294</v>
      </c>
      <c r="J40" s="598">
        <f>LOOKUP(I40,119:119,120:120)-LOOKUP(C40,119:119,120:120)+100</f>
        <v>98</v>
      </c>
      <c r="K40" s="582"/>
      <c r="L40" s="2141"/>
      <c r="M40" s="2131"/>
      <c r="N40" s="2131"/>
      <c r="O40" s="2140"/>
      <c r="P40" s="3438"/>
      <c r="Q40" s="1571" t="str">
        <f>B40</f>
        <v>宗地面积</v>
      </c>
      <c r="R40" s="1572" t="s">
        <v>8</v>
      </c>
      <c r="S40" s="1573">
        <f t="shared" si="10"/>
        <v>96</v>
      </c>
      <c r="T40" s="1572" t="s">
        <v>8</v>
      </c>
      <c r="U40" s="1573">
        <f t="shared" si="11"/>
        <v>99</v>
      </c>
      <c r="V40" s="1572" t="s">
        <v>8</v>
      </c>
      <c r="W40" s="1573">
        <f t="shared" si="12"/>
        <v>98</v>
      </c>
      <c r="X40" s="1566"/>
      <c r="Y40" s="3438"/>
      <c r="Z40" s="1574" t="str">
        <f t="shared" si="13"/>
        <v>宗地面积</v>
      </c>
      <c r="AA40" s="1575">
        <f t="shared" si="3"/>
        <v>1.0416666666666667</v>
      </c>
      <c r="AB40" s="1575">
        <f t="shared" si="4"/>
        <v>1.0101010101010102</v>
      </c>
      <c r="AC40" s="1575">
        <f t="shared" si="5"/>
        <v>1.0204081632653061</v>
      </c>
    </row>
    <row r="41" spans="1:29" ht="20.25">
      <c r="A41" s="595"/>
      <c r="B41" s="530" t="s">
        <v>554</v>
      </c>
      <c r="C41" s="600" t="s">
        <v>3008</v>
      </c>
      <c r="D41" s="541">
        <v>100</v>
      </c>
      <c r="E41" s="600" t="s">
        <v>3004</v>
      </c>
      <c r="F41" s="541">
        <f>SUMIF(121:121,E41,122:122)-SUMIF(121:121,C41,122:122)+100</f>
        <v>102</v>
      </c>
      <c r="G41" s="600" t="s">
        <v>3004</v>
      </c>
      <c r="H41" s="541">
        <f>SUMIF(121:121,G41,122:122)-SUMIF(121:121,C41,122:122)+100</f>
        <v>102</v>
      </c>
      <c r="I41" s="600" t="s">
        <v>3004</v>
      </c>
      <c r="J41" s="541">
        <f>SUMIF(121:121,I41,122:122)-SUMIF(121:121,C41,122:122)+100</f>
        <v>102</v>
      </c>
      <c r="K41" s="585">
        <v>1</v>
      </c>
      <c r="L41" s="2141"/>
      <c r="M41" s="2131"/>
      <c r="N41" s="2131"/>
      <c r="O41" s="2140"/>
      <c r="P41" s="3438"/>
      <c r="Q41" s="1571" t="str">
        <f t="shared" ref="Q41:Q47" si="14">B41</f>
        <v>宗地形状</v>
      </c>
      <c r="R41" s="1572" t="s">
        <v>8</v>
      </c>
      <c r="S41" s="1573">
        <f t="shared" si="10"/>
        <v>102</v>
      </c>
      <c r="T41" s="1572" t="s">
        <v>8</v>
      </c>
      <c r="U41" s="1573">
        <f t="shared" si="11"/>
        <v>102</v>
      </c>
      <c r="V41" s="1572" t="s">
        <v>8</v>
      </c>
      <c r="W41" s="1573">
        <f t="shared" si="12"/>
        <v>102</v>
      </c>
      <c r="X41" s="1566"/>
      <c r="Y41" s="3438"/>
      <c r="Z41" s="1574" t="str">
        <f t="shared" si="13"/>
        <v>宗地形状</v>
      </c>
      <c r="AA41" s="1575">
        <f t="shared" si="3"/>
        <v>0.98039215686274506</v>
      </c>
      <c r="AB41" s="1575">
        <f t="shared" si="4"/>
        <v>0.98039215686274506</v>
      </c>
      <c r="AC41" s="1575">
        <f t="shared" si="5"/>
        <v>0.98039215686274506</v>
      </c>
    </row>
    <row r="42" spans="1:29" ht="20.25">
      <c r="A42" s="595"/>
      <c r="B42" s="530" t="s">
        <v>555</v>
      </c>
      <c r="C42" s="600" t="s">
        <v>3012</v>
      </c>
      <c r="D42" s="541">
        <v>100</v>
      </c>
      <c r="E42" s="600" t="s">
        <v>3012</v>
      </c>
      <c r="F42" s="541">
        <f>SUMIF(123:123,E42,124:124)-SUMIF(123:123,C42,124:124)+100</f>
        <v>100</v>
      </c>
      <c r="G42" s="600" t="s">
        <v>3012</v>
      </c>
      <c r="H42" s="541">
        <f>SUMIF(123:123,G42,124:124)-SUMIF(123:123,C42,124:124)+100</f>
        <v>100</v>
      </c>
      <c r="I42" s="600" t="s">
        <v>3012</v>
      </c>
      <c r="J42" s="541">
        <f>SUMIF(123:123,I42,124:124)-SUMIF(123:123,C42,124:124)+100</f>
        <v>100</v>
      </c>
      <c r="K42" s="585">
        <v>1</v>
      </c>
      <c r="L42" s="2141"/>
      <c r="M42" s="2131"/>
      <c r="N42" s="2131"/>
      <c r="O42" s="2140"/>
      <c r="P42" s="3438"/>
      <c r="Q42" s="1571" t="str">
        <f t="shared" si="14"/>
        <v>临街宽度及深度</v>
      </c>
      <c r="R42" s="1572" t="s">
        <v>8</v>
      </c>
      <c r="S42" s="1573">
        <f t="shared" si="10"/>
        <v>100</v>
      </c>
      <c r="T42" s="1572" t="s">
        <v>8</v>
      </c>
      <c r="U42" s="1573">
        <f t="shared" si="11"/>
        <v>100</v>
      </c>
      <c r="V42" s="1572" t="s">
        <v>8</v>
      </c>
      <c r="W42" s="1573">
        <f t="shared" si="12"/>
        <v>100</v>
      </c>
      <c r="X42" s="1566"/>
      <c r="Y42" s="3438"/>
      <c r="Z42" s="1574" t="str">
        <f t="shared" si="13"/>
        <v>临街宽度及深度</v>
      </c>
      <c r="AA42" s="1575">
        <f t="shared" si="3"/>
        <v>1</v>
      </c>
      <c r="AB42" s="1575">
        <f t="shared" si="4"/>
        <v>1</v>
      </c>
      <c r="AC42" s="1575">
        <f t="shared" si="5"/>
        <v>1</v>
      </c>
    </row>
    <row r="43" spans="1:29" s="1219" customFormat="1" ht="20.25">
      <c r="A43" s="601"/>
      <c r="B43" s="1895" t="s">
        <v>2426</v>
      </c>
      <c r="C43" s="602" t="s">
        <v>3267</v>
      </c>
      <c r="D43" s="255">
        <v>100</v>
      </c>
      <c r="E43" s="602" t="s">
        <v>3017</v>
      </c>
      <c r="F43" s="541">
        <f>SUMIF(125:125,E43,126:126)-SUMIF(125:125,C43,126:126)+100</f>
        <v>103</v>
      </c>
      <c r="G43" s="602" t="s">
        <v>3017</v>
      </c>
      <c r="H43" s="541">
        <f>SUMIF(125:125,G43,126:126)-SUMIF(125:125,C43,126:126)+100</f>
        <v>103</v>
      </c>
      <c r="I43" s="602" t="s">
        <v>3017</v>
      </c>
      <c r="J43" s="541">
        <f>SUMIF(125:125,I43,126:126)-SUMIF(125:125,C43,126:126)+100</f>
        <v>103</v>
      </c>
      <c r="K43" s="585">
        <v>1</v>
      </c>
      <c r="L43" s="2134"/>
      <c r="M43" s="2131"/>
      <c r="N43" s="2131"/>
      <c r="O43" s="2136"/>
      <c r="P43" s="3438"/>
      <c r="Q43" s="1571" t="str">
        <f t="shared" si="14"/>
        <v>宗地开发程度</v>
      </c>
      <c r="R43" s="1567" t="s">
        <v>8</v>
      </c>
      <c r="S43" s="1568">
        <f t="shared" si="10"/>
        <v>103</v>
      </c>
      <c r="T43" s="1567" t="s">
        <v>8</v>
      </c>
      <c r="U43" s="1568">
        <f t="shared" si="11"/>
        <v>103</v>
      </c>
      <c r="V43" s="1567" t="s">
        <v>8</v>
      </c>
      <c r="W43" s="1568">
        <f t="shared" si="12"/>
        <v>103</v>
      </c>
      <c r="X43" s="1569"/>
      <c r="Y43" s="3438"/>
      <c r="Z43" s="1149" t="str">
        <f t="shared" si="13"/>
        <v>宗地开发程度</v>
      </c>
      <c r="AA43" s="1570">
        <f t="shared" si="3"/>
        <v>0.970873786407767</v>
      </c>
      <c r="AB43" s="1570">
        <f t="shared" si="4"/>
        <v>0.970873786407767</v>
      </c>
      <c r="AC43" s="1570">
        <f t="shared" si="5"/>
        <v>0.970873786407767</v>
      </c>
    </row>
    <row r="44" spans="1:29" ht="21" thickBot="1">
      <c r="A44" s="595"/>
      <c r="B44" s="530" t="s">
        <v>556</v>
      </c>
      <c r="C44" s="600" t="s">
        <v>2990</v>
      </c>
      <c r="D44" s="541">
        <v>100</v>
      </c>
      <c r="E44" s="600" t="s">
        <v>3023</v>
      </c>
      <c r="F44" s="541">
        <f>SUMIF(127:127,E44,128:128)-SUMIF(127:127,C44,128:128)+100</f>
        <v>102</v>
      </c>
      <c r="G44" s="600" t="s">
        <v>3023</v>
      </c>
      <c r="H44" s="541">
        <f>SUMIF(127:127,G44,128:128)-SUMIF(127:127,C44,128:128)+100</f>
        <v>102</v>
      </c>
      <c r="I44" s="600" t="s">
        <v>3023</v>
      </c>
      <c r="J44" s="541">
        <f>SUMIF(127:127,I44,128:128)-SUMIF(127:127,C44,128:128)+100</f>
        <v>102</v>
      </c>
      <c r="K44" s="585">
        <v>1</v>
      </c>
      <c r="L44" s="2141"/>
      <c r="M44" s="2131"/>
      <c r="N44" s="2131"/>
      <c r="O44" s="2140"/>
      <c r="P44" s="3438" t="s">
        <v>551</v>
      </c>
      <c r="Q44" s="1571" t="str">
        <f t="shared" si="14"/>
        <v>工程地质条件</v>
      </c>
      <c r="R44" s="1572" t="s">
        <v>8</v>
      </c>
      <c r="S44" s="1573">
        <f t="shared" si="10"/>
        <v>102</v>
      </c>
      <c r="T44" s="1572" t="s">
        <v>8</v>
      </c>
      <c r="U44" s="1573">
        <f t="shared" si="11"/>
        <v>102</v>
      </c>
      <c r="V44" s="1572" t="s">
        <v>8</v>
      </c>
      <c r="W44" s="1573">
        <f t="shared" si="12"/>
        <v>102</v>
      </c>
      <c r="X44" s="1566"/>
      <c r="Y44" s="3438" t="s">
        <v>551</v>
      </c>
      <c r="Z44" s="1574" t="str">
        <f t="shared" si="13"/>
        <v>工程地质条件</v>
      </c>
      <c r="AA44" s="1575">
        <f t="shared" si="3"/>
        <v>0.98039215686274506</v>
      </c>
      <c r="AB44" s="1575">
        <f t="shared" si="4"/>
        <v>0.98039215686274506</v>
      </c>
      <c r="AC44" s="1575">
        <f t="shared" si="5"/>
        <v>0.98039215686274506</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1"/>
      <c r="M45" s="2131"/>
      <c r="N45" s="2131"/>
      <c r="O45" s="2140"/>
      <c r="P45" s="3438"/>
      <c r="Q45" s="1571">
        <f t="shared" si="14"/>
        <v>111</v>
      </c>
      <c r="R45" s="1572" t="s">
        <v>8</v>
      </c>
      <c r="S45" s="1573">
        <f t="shared" si="10"/>
        <v>100</v>
      </c>
      <c r="T45" s="1572" t="s">
        <v>8</v>
      </c>
      <c r="U45" s="1573">
        <f t="shared" si="11"/>
        <v>100</v>
      </c>
      <c r="V45" s="1572" t="s">
        <v>8</v>
      </c>
      <c r="W45" s="1573">
        <f t="shared" si="12"/>
        <v>100</v>
      </c>
      <c r="X45" s="1566"/>
      <c r="Y45" s="3438"/>
      <c r="Z45" s="1574">
        <f t="shared" si="13"/>
        <v>111</v>
      </c>
      <c r="AA45" s="1575">
        <f t="shared" si="3"/>
        <v>1</v>
      </c>
      <c r="AB45" s="1575">
        <f t="shared" si="4"/>
        <v>1</v>
      </c>
      <c r="AC45" s="1575">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38"/>
      <c r="Q46" s="1571">
        <f t="shared" si="14"/>
        <v>111</v>
      </c>
      <c r="R46" s="1572" t="s">
        <v>8</v>
      </c>
      <c r="S46" s="1573">
        <f t="shared" si="10"/>
        <v>100</v>
      </c>
      <c r="T46" s="1572" t="s">
        <v>8</v>
      </c>
      <c r="U46" s="1573">
        <f t="shared" si="11"/>
        <v>100</v>
      </c>
      <c r="V46" s="1572" t="s">
        <v>8</v>
      </c>
      <c r="W46" s="1573">
        <f t="shared" si="12"/>
        <v>100</v>
      </c>
      <c r="X46" s="1566"/>
      <c r="Y46" s="3438"/>
      <c r="Z46" s="1574">
        <f t="shared" si="13"/>
        <v>111</v>
      </c>
      <c r="AA46" s="1575">
        <f t="shared" si="3"/>
        <v>1</v>
      </c>
      <c r="AB46" s="1575">
        <f t="shared" si="4"/>
        <v>1</v>
      </c>
      <c r="AC46" s="1575">
        <f t="shared" si="5"/>
        <v>1</v>
      </c>
    </row>
    <row r="47" spans="1:29" s="1338"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38"/>
      <c r="Q47" s="1571">
        <f t="shared" si="14"/>
        <v>111</v>
      </c>
      <c r="R47" s="1576" t="s">
        <v>8</v>
      </c>
      <c r="S47" s="1577">
        <f t="shared" si="10"/>
        <v>100</v>
      </c>
      <c r="T47" s="1576" t="s">
        <v>8</v>
      </c>
      <c r="U47" s="1577">
        <f t="shared" si="11"/>
        <v>100</v>
      </c>
      <c r="V47" s="1576" t="s">
        <v>8</v>
      </c>
      <c r="W47" s="1577">
        <f t="shared" si="12"/>
        <v>100</v>
      </c>
      <c r="X47" s="1578"/>
      <c r="Y47" s="3438"/>
      <c r="Z47" s="1579">
        <f t="shared" si="13"/>
        <v>111</v>
      </c>
      <c r="AA47" s="1575">
        <f t="shared" si="3"/>
        <v>1</v>
      </c>
      <c r="AB47" s="1575">
        <f t="shared" si="4"/>
        <v>1</v>
      </c>
      <c r="AC47" s="1575">
        <f t="shared" si="5"/>
        <v>1</v>
      </c>
    </row>
    <row r="48" spans="1:29" ht="20.25">
      <c r="A48" s="608" t="s">
        <v>557</v>
      </c>
      <c r="B48" s="609" t="s">
        <v>3033</v>
      </c>
      <c r="C48" s="610" t="s">
        <v>1</v>
      </c>
      <c r="D48" s="611"/>
      <c r="E48" s="612">
        <v>1686</v>
      </c>
      <c r="F48" s="613"/>
      <c r="G48" s="614">
        <v>1486</v>
      </c>
      <c r="H48" s="615"/>
      <c r="I48" s="612">
        <v>1644</v>
      </c>
      <c r="J48" s="615"/>
      <c r="K48" s="1339"/>
      <c r="L48" s="2143"/>
      <c r="M48" s="2131"/>
      <c r="N48" s="2131"/>
      <c r="O48" s="2144"/>
      <c r="P48" s="3433" t="str">
        <f>A48</f>
        <v>成交单价</v>
      </c>
      <c r="Q48" s="3433"/>
      <c r="R48" s="3447">
        <f>E48</f>
        <v>1686</v>
      </c>
      <c r="S48" s="3447"/>
      <c r="T48" s="3447">
        <f>G48</f>
        <v>1486</v>
      </c>
      <c r="U48" s="3447"/>
      <c r="V48" s="3447">
        <f>I48</f>
        <v>1644</v>
      </c>
      <c r="W48" s="3447"/>
      <c r="X48" s="1558"/>
      <c r="Y48" s="1580"/>
      <c r="Z48" s="1558"/>
      <c r="AA48" s="1558"/>
      <c r="AB48" s="1558"/>
      <c r="AC48" s="1558"/>
    </row>
    <row r="49" spans="1:29" ht="21" thickBot="1">
      <c r="A49" s="616" t="s">
        <v>2699</v>
      </c>
      <c r="B49" s="617"/>
      <c r="C49" s="618">
        <f>R50</f>
        <v>1373</v>
      </c>
      <c r="D49" s="619"/>
      <c r="E49" s="618">
        <f>R49</f>
        <v>1458</v>
      </c>
      <c r="F49" s="620"/>
      <c r="G49" s="621">
        <f>T49</f>
        <v>1284</v>
      </c>
      <c r="H49" s="619"/>
      <c r="I49" s="618">
        <f>V49</f>
        <v>1378</v>
      </c>
      <c r="J49" s="619"/>
      <c r="K49" s="1340"/>
      <c r="L49" s="2143"/>
      <c r="M49" s="2131"/>
      <c r="N49" s="2131"/>
      <c r="O49" s="2144"/>
      <c r="P49" s="3433" t="str">
        <f>A49</f>
        <v>比较价格（元/平方米）</v>
      </c>
      <c r="Q49" s="3433"/>
      <c r="R49" s="3457">
        <f>ROUND(PRODUCT(R48,AA9:AA47),0)</f>
        <v>1458</v>
      </c>
      <c r="S49" s="3457"/>
      <c r="T49" s="3457">
        <f>ROUND(PRODUCT(T48,AB9:AB47),0)</f>
        <v>1284</v>
      </c>
      <c r="U49" s="3457"/>
      <c r="V49" s="3457">
        <f>ROUND(PRODUCT(V48,AC9:AC47),0)</f>
        <v>1378</v>
      </c>
      <c r="W49" s="3457"/>
      <c r="X49" s="1558"/>
      <c r="Y49" s="1558"/>
      <c r="Z49" s="1558"/>
      <c r="AA49" s="1558"/>
      <c r="AB49" s="1558"/>
      <c r="AC49" s="1558"/>
    </row>
    <row r="50" spans="1:29" ht="21" thickBot="1">
      <c r="A50" s="622" t="s">
        <v>2925</v>
      </c>
      <c r="B50" s="623"/>
      <c r="C50" s="624">
        <f>R50</f>
        <v>1373</v>
      </c>
      <c r="D50" s="624"/>
      <c r="E50" s="624"/>
      <c r="F50" s="624"/>
      <c r="G50" s="624"/>
      <c r="H50" s="624"/>
      <c r="I50" s="624"/>
      <c r="J50" s="624"/>
      <c r="K50" s="1341"/>
      <c r="L50" s="2143"/>
      <c r="M50" s="2131"/>
      <c r="N50" s="2131"/>
      <c r="O50" s="2144"/>
      <c r="P50" s="3454" t="str">
        <f>A50</f>
        <v>估价对象XX用房的比较价格（楼面单价，元/平方米）</v>
      </c>
      <c r="Q50" s="3455"/>
      <c r="R50" s="3456">
        <f>ROUND(AVERAGE(R49:V49),0)</f>
        <v>1373</v>
      </c>
      <c r="S50" s="3456"/>
      <c r="T50" s="3456"/>
      <c r="U50" s="3456"/>
      <c r="V50" s="3456"/>
      <c r="W50" s="3456"/>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0.15637860082304522</v>
      </c>
      <c r="F53" s="628" t="str">
        <f>IF(OR(E53&gt;=0.3,E53&lt;=-0.3),"超过30%","")</f>
        <v/>
      </c>
      <c r="G53" s="627">
        <f>IF(G48&lt;G49,G49/G48-1,G48/G49-1)</f>
        <v>0.15732087227414326</v>
      </c>
      <c r="H53" s="628" t="str">
        <f>IF(OR(G53&gt;=0.3,G53&lt;=-0.3),"超过30%","")</f>
        <v/>
      </c>
      <c r="I53" s="627">
        <f>IF(I48&lt;I49,I49/I48-1,I48/I49-1)</f>
        <v>0.19303338171262707</v>
      </c>
      <c r="J53" s="628"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0.13551401869158886</v>
      </c>
      <c r="F54" s="628" t="str">
        <f>IF(OR(E54&gt;=0.2,E54&lt;=-0.2),"超过20%","")</f>
        <v/>
      </c>
      <c r="G54" s="627">
        <f>IF(G49&lt;I49,I49/G49-1,G49/I49-1)</f>
        <v>7.3208722741433085E-2</v>
      </c>
      <c r="H54" s="628" t="str">
        <f>IF(OR(G54&gt;=0.2,G54&lt;=-0.2),"超过20%","")</f>
        <v/>
      </c>
      <c r="I54" s="627">
        <f>IF(I49&lt;E49,E49/I49-1,I49/E49-1)</f>
        <v>5.8055152394774989E-2</v>
      </c>
      <c r="J54" s="628"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f>IF(E48&lt;G48,G48/E48-1,E48/G48-1)</f>
        <v>0.13458950201884257</v>
      </c>
      <c r="F55" s="628" t="str">
        <f>IF(OR(E55&gt;=0.3,E55&lt;=-0.3),"超过30%","")</f>
        <v/>
      </c>
      <c r="G55" s="627">
        <f>IF(G48&lt;I48,I48/G48-1,G48/I48-1)</f>
        <v>0.10632570659488549</v>
      </c>
      <c r="H55" s="628" t="str">
        <f>IF(OR(G55&gt;=0.3,G55&lt;=-0.3),"超过30%","")</f>
        <v/>
      </c>
      <c r="I55" s="627">
        <f>IF(I48&lt;E48,E48/I48-1,I48/E48-1)</f>
        <v>2.5547445255474477E-2</v>
      </c>
      <c r="J55" s="628"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30" t="s">
        <v>561</v>
      </c>
      <c r="B57" s="631" t="s">
        <v>562</v>
      </c>
      <c r="C57" s="1559" t="s">
        <v>1726</v>
      </c>
      <c r="D57" s="2226" t="s">
        <v>2294</v>
      </c>
      <c r="E57" s="632" t="s">
        <v>563</v>
      </c>
      <c r="F57" s="633" t="s">
        <v>564</v>
      </c>
      <c r="G57" s="3417" t="s">
        <v>2282</v>
      </c>
      <c r="H57" s="3418"/>
      <c r="I57" s="1554" t="s">
        <v>1724</v>
      </c>
      <c r="J57" s="1554" t="str">
        <f>项目基本情况!F41</f>
        <v>贵州省</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4" t="s">
        <v>565</v>
      </c>
      <c r="B58" s="635">
        <f>C50</f>
        <v>1373</v>
      </c>
      <c r="C58" s="636">
        <v>1</v>
      </c>
      <c r="D58" s="2227">
        <v>1</v>
      </c>
      <c r="E58" s="636">
        <f>'数据-汇总表'!E8+'数据-汇总表'!E9</f>
        <v>324185.06999999995</v>
      </c>
      <c r="F58" s="637">
        <f t="shared" ref="F58:F67" si="15">ROUND(B58*E58/10000,0)</f>
        <v>44511</v>
      </c>
      <c r="G58" s="3419"/>
      <c r="H58" s="342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566</v>
      </c>
      <c r="B59" s="639">
        <f>ROUND($C$50*C59*D59,0)</f>
        <v>0</v>
      </c>
      <c r="C59" s="381">
        <f t="shared" ref="C59:C67" si="16">IF($C$57="北京市系数",I59,J59)</f>
        <v>0</v>
      </c>
      <c r="D59" s="2228">
        <v>0.25</v>
      </c>
      <c r="E59" s="640">
        <v>0</v>
      </c>
      <c r="F59" s="637">
        <f t="shared" si="15"/>
        <v>0</v>
      </c>
      <c r="G59" s="3421" t="s">
        <v>2283</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567</v>
      </c>
      <c r="B60" s="639">
        <f t="shared" ref="B60:B67" si="17">ROUND($C$50*C60*D60,0)</f>
        <v>0</v>
      </c>
      <c r="C60" s="381">
        <f t="shared" si="16"/>
        <v>0</v>
      </c>
      <c r="D60" s="2228">
        <v>0.25</v>
      </c>
      <c r="E60" s="640">
        <v>0</v>
      </c>
      <c r="F60" s="637">
        <f t="shared" si="15"/>
        <v>0</v>
      </c>
      <c r="G60" s="3421"/>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568</v>
      </c>
      <c r="B61" s="639">
        <f t="shared" si="17"/>
        <v>0</v>
      </c>
      <c r="C61" s="381">
        <f t="shared" si="16"/>
        <v>0</v>
      </c>
      <c r="D61" s="2228">
        <v>0.25</v>
      </c>
      <c r="E61" s="640">
        <v>0</v>
      </c>
      <c r="F61" s="637">
        <f t="shared" si="15"/>
        <v>0</v>
      </c>
      <c r="G61" s="3421"/>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8" t="s">
        <v>569</v>
      </c>
      <c r="B62" s="639">
        <f t="shared" si="17"/>
        <v>0</v>
      </c>
      <c r="C62" s="381">
        <f t="shared" si="16"/>
        <v>0</v>
      </c>
      <c r="D62" s="2228">
        <v>0.25</v>
      </c>
      <c r="E62" s="640">
        <v>0</v>
      </c>
      <c r="F62" s="637">
        <f t="shared" si="15"/>
        <v>0</v>
      </c>
      <c r="G62" s="3421"/>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28" t="s">
        <v>2329</v>
      </c>
      <c r="B63" s="639">
        <f t="shared" si="17"/>
        <v>0</v>
      </c>
      <c r="C63" s="381">
        <f t="shared" si="16"/>
        <v>0</v>
      </c>
      <c r="D63" s="2228">
        <v>0.25</v>
      </c>
      <c r="E63" s="642">
        <f>'数据-汇总表'!E11</f>
        <v>0</v>
      </c>
      <c r="F63" s="637">
        <f t="shared" si="15"/>
        <v>0</v>
      </c>
      <c r="G63" s="1945" t="s">
        <v>2284</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8" t="s">
        <v>570</v>
      </c>
      <c r="B64" s="639">
        <f t="shared" si="17"/>
        <v>0</v>
      </c>
      <c r="C64" s="381">
        <f t="shared" si="16"/>
        <v>0</v>
      </c>
      <c r="D64" s="2228">
        <v>0.25</v>
      </c>
      <c r="E64" s="642">
        <f>'数据-汇总表'!E12</f>
        <v>0</v>
      </c>
      <c r="F64" s="637">
        <f t="shared" si="15"/>
        <v>0</v>
      </c>
      <c r="G64" s="1946" t="s">
        <v>1679</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8" t="s">
        <v>571</v>
      </c>
      <c r="B65" s="639">
        <f t="shared" si="17"/>
        <v>0</v>
      </c>
      <c r="C65" s="381">
        <f t="shared" si="16"/>
        <v>0</v>
      </c>
      <c r="D65" s="2228">
        <v>0.25</v>
      </c>
      <c r="E65" s="642">
        <f>'数据-汇总表'!E13</f>
        <v>0</v>
      </c>
      <c r="F65" s="637">
        <f t="shared" si="15"/>
        <v>0</v>
      </c>
      <c r="G65" s="1946" t="s">
        <v>924</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8" t="s">
        <v>572</v>
      </c>
      <c r="B66" s="639">
        <f t="shared" si="17"/>
        <v>0</v>
      </c>
      <c r="C66" s="381">
        <f t="shared" si="16"/>
        <v>0</v>
      </c>
      <c r="D66" s="2228">
        <v>0.25</v>
      </c>
      <c r="E66" s="642">
        <f>'数据-汇总表'!E14</f>
        <v>0</v>
      </c>
      <c r="F66" s="637">
        <f t="shared" si="15"/>
        <v>0</v>
      </c>
      <c r="G66" s="1945" t="s">
        <v>2283</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8" t="s">
        <v>573</v>
      </c>
      <c r="B67" s="639">
        <f t="shared" si="17"/>
        <v>0</v>
      </c>
      <c r="C67" s="381">
        <f t="shared" si="16"/>
        <v>0</v>
      </c>
      <c r="D67" s="2228">
        <v>0.25</v>
      </c>
      <c r="E67" s="642">
        <f>'数据-汇总表'!E15</f>
        <v>0</v>
      </c>
      <c r="F67" s="637">
        <f t="shared" si="15"/>
        <v>0</v>
      </c>
      <c r="G67" s="1947" t="s">
        <v>2284</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3" t="s">
        <v>574</v>
      </c>
      <c r="B68" s="644" t="s">
        <v>17</v>
      </c>
      <c r="C68" s="644" t="s">
        <v>18</v>
      </c>
      <c r="D68" s="644" t="s">
        <v>2295</v>
      </c>
      <c r="E68" s="644">
        <f>IF(B48="楼面地价",SUM(E58:E67),'数据-汇总表'!D3)</f>
        <v>324185.06999999995</v>
      </c>
      <c r="F68" s="645">
        <f>IF(B48="楼面地价",SUM(F58:F67),ROUND(C50*E68/10000,0))</f>
        <v>44511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2017-10-1</v>
      </c>
      <c r="D70" s="2822">
        <f>EDATE(C70,-3)</f>
        <v>42917</v>
      </c>
      <c r="E70" s="2822">
        <f t="shared" ref="E70:N70" si="18">EDATE(D70,-3)</f>
        <v>42826</v>
      </c>
      <c r="F70" s="2822">
        <f t="shared" si="18"/>
        <v>42736</v>
      </c>
      <c r="G70" s="2822">
        <f t="shared" si="18"/>
        <v>42644</v>
      </c>
      <c r="H70" s="2822">
        <f t="shared" si="18"/>
        <v>42552</v>
      </c>
      <c r="I70" s="2822">
        <f t="shared" si="18"/>
        <v>42461</v>
      </c>
      <c r="J70" s="2822">
        <f t="shared" si="18"/>
        <v>42370</v>
      </c>
      <c r="K70" s="2822">
        <f t="shared" si="18"/>
        <v>42278</v>
      </c>
      <c r="L70" s="2822">
        <f t="shared" si="18"/>
        <v>42186</v>
      </c>
      <c r="M70" s="2822">
        <f t="shared" si="18"/>
        <v>42095</v>
      </c>
      <c r="N70" s="2822">
        <f t="shared" si="18"/>
        <v>42005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89" t="s">
        <v>2536</v>
      </c>
      <c r="B72" s="2590"/>
      <c r="C72" s="2817" t="str">
        <f>YEAR(C70)&amp;"-"&amp;ROUNDUP(MONTH(C70)/3,0)</f>
        <v>2017-4</v>
      </c>
      <c r="D72" s="2824" t="str">
        <f>YEAR(D70)&amp;"-"&amp;ROUNDUP(MONTH(D70)/3,0)</f>
        <v>2017-3</v>
      </c>
      <c r="E72" s="2824" t="str">
        <f t="shared" ref="E72:N72" si="19">YEAR(E70)&amp;"-"&amp;ROUNDUP(MONTH(E70)/3,0)</f>
        <v>2017-2</v>
      </c>
      <c r="F72" s="2824" t="str">
        <f t="shared" si="19"/>
        <v>2017-1</v>
      </c>
      <c r="G72" s="2824" t="str">
        <f t="shared" si="19"/>
        <v>2016-4</v>
      </c>
      <c r="H72" s="2824" t="str">
        <f t="shared" si="19"/>
        <v>2016-3</v>
      </c>
      <c r="I72" s="2824" t="str">
        <f t="shared" si="19"/>
        <v>2016-2</v>
      </c>
      <c r="J72" s="2824" t="str">
        <f t="shared" si="19"/>
        <v>2016-1</v>
      </c>
      <c r="K72" s="2824" t="str">
        <f t="shared" si="19"/>
        <v>2015-4</v>
      </c>
      <c r="L72" s="2824" t="str">
        <f t="shared" si="19"/>
        <v>2015-3</v>
      </c>
      <c r="M72" s="2824" t="str">
        <f t="shared" si="19"/>
        <v>2015-2</v>
      </c>
      <c r="N72" s="2824" t="str">
        <f t="shared" si="19"/>
        <v>2015-1</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2653</v>
      </c>
      <c r="B73" s="482" t="str">
        <f>"北京市平均增长率"&amp;TEXT(SUMIF(基准地价!N21:N25,A73,基准地价!P21:P25),"0.00%")</f>
        <v>北京市平均增长率2.49%</v>
      </c>
      <c r="C73" s="895">
        <v>100</v>
      </c>
      <c r="D73" s="731">
        <f>C73-1</f>
        <v>99</v>
      </c>
      <c r="E73" s="731">
        <f t="shared" ref="E73:J73" si="20">D73-1</f>
        <v>98</v>
      </c>
      <c r="F73" s="731">
        <f t="shared" si="20"/>
        <v>97</v>
      </c>
      <c r="G73" s="731">
        <f t="shared" si="20"/>
        <v>96</v>
      </c>
      <c r="H73" s="731">
        <f t="shared" si="20"/>
        <v>95</v>
      </c>
      <c r="I73" s="731">
        <f t="shared" si="20"/>
        <v>94</v>
      </c>
      <c r="J73" s="731">
        <f t="shared" si="20"/>
        <v>93</v>
      </c>
      <c r="K73" s="731"/>
      <c r="L73" s="731"/>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2652</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19"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2" t="s">
        <v>2994</v>
      </c>
      <c r="D77" s="3162" t="s">
        <v>3254</v>
      </c>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v>101</v>
      </c>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0（含）-1</v>
      </c>
      <c r="D81" s="683" t="str">
        <f t="shared" ref="D81:L81" si="21">D82&amp;"（含）"&amp;"-"&amp;E82</f>
        <v>1（含）-2</v>
      </c>
      <c r="E81" s="683" t="str">
        <f t="shared" si="21"/>
        <v>2（含）-3</v>
      </c>
      <c r="F81" s="683" t="str">
        <f t="shared" si="21"/>
        <v>3（含）-4</v>
      </c>
      <c r="G81" s="683" t="str">
        <f t="shared" si="21"/>
        <v>4（含）-5</v>
      </c>
      <c r="H81" s="683" t="str">
        <f t="shared" si="21"/>
        <v>5（含）-</v>
      </c>
      <c r="I81" s="683" t="str">
        <f t="shared" si="21"/>
        <v>（含）-</v>
      </c>
      <c r="J81" s="683" t="str">
        <f t="shared" si="21"/>
        <v>（含）-</v>
      </c>
      <c r="K81" s="683" t="str">
        <f t="shared" si="21"/>
        <v>（含）-</v>
      </c>
      <c r="L81" s="683" t="str">
        <f t="shared" si="21"/>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0</v>
      </c>
      <c r="D82" s="542">
        <v>1</v>
      </c>
      <c r="E82" s="542">
        <v>2</v>
      </c>
      <c r="F82" s="542">
        <v>3</v>
      </c>
      <c r="G82" s="542">
        <v>4</v>
      </c>
      <c r="H82" s="542">
        <v>5</v>
      </c>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8"/>
      <c r="B84" s="674" t="str">
        <f>B14</f>
        <v>配建</v>
      </c>
      <c r="C84" s="3163" t="s">
        <v>2995</v>
      </c>
      <c r="D84" s="1374" t="s">
        <v>2996</v>
      </c>
      <c r="E84" s="1375"/>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v>95</v>
      </c>
      <c r="D85" s="672">
        <v>100</v>
      </c>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19" customFormat="1" ht="15.75" thickBot="1">
      <c r="A99" s="710"/>
      <c r="B99" s="679"/>
      <c r="C99" s="713">
        <v>100</v>
      </c>
      <c r="D99" s="680">
        <f>C99-$K25</f>
        <v>99</v>
      </c>
      <c r="E99" s="680">
        <f>D99-$K25</f>
        <v>98</v>
      </c>
      <c r="F99" s="680">
        <f>E99-$K25</f>
        <v>97</v>
      </c>
      <c r="G99" s="680">
        <f>F99-$K25</f>
        <v>96</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8"/>
      <c r="B104" s="2618" t="s">
        <v>2554</v>
      </c>
      <c r="C104" s="2619" t="s">
        <v>2555</v>
      </c>
      <c r="D104" s="2619" t="s">
        <v>2556</v>
      </c>
      <c r="E104" s="2619" t="s">
        <v>2557</v>
      </c>
      <c r="F104" s="2619" t="s">
        <v>2558</v>
      </c>
      <c r="G104" s="2619" t="s">
        <v>2559</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63" t="s">
        <v>2997</v>
      </c>
      <c r="D108" s="3163" t="s">
        <v>2999</v>
      </c>
      <c r="E108" s="3163" t="s">
        <v>3001</v>
      </c>
      <c r="F108" s="3163" t="s">
        <v>3002</v>
      </c>
      <c r="G108" s="3163" t="s">
        <v>3247</v>
      </c>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6">C119&amp;"(含)"&amp;"-"&amp;D119</f>
        <v>0(含)-10000</v>
      </c>
      <c r="D118" s="705" t="str">
        <f t="shared" si="26"/>
        <v>10000(含)-20000</v>
      </c>
      <c r="E118" s="705" t="str">
        <f t="shared" si="26"/>
        <v>20000(含)-40000</v>
      </c>
      <c r="F118" s="705" t="str">
        <f t="shared" si="26"/>
        <v>40000(含)-80000</v>
      </c>
      <c r="G118" s="705" t="str">
        <f t="shared" si="26"/>
        <v>80000(含)-160000</v>
      </c>
      <c r="H118" s="705" t="str">
        <f t="shared" si="26"/>
        <v>160000(含)-320000</v>
      </c>
      <c r="I118" s="705" t="str">
        <f t="shared" si="26"/>
        <v>320000(含)-640000</v>
      </c>
      <c r="J118" s="3111" t="str">
        <f t="shared" si="26"/>
        <v>640000(含)-</v>
      </c>
      <c r="K118" s="3111" t="str">
        <f t="shared" si="26"/>
        <v>(含)-</v>
      </c>
      <c r="L118" s="3112" t="str">
        <f t="shared" si="26"/>
        <v>(含)-</v>
      </c>
      <c r="M118" s="311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0</v>
      </c>
      <c r="D119" s="731">
        <v>10000</v>
      </c>
      <c r="E119" s="731">
        <v>20000</v>
      </c>
      <c r="F119" s="731">
        <v>40000</v>
      </c>
      <c r="G119" s="731">
        <v>80000</v>
      </c>
      <c r="H119" s="731">
        <v>160000</v>
      </c>
      <c r="I119" s="731">
        <v>320000</v>
      </c>
      <c r="J119" s="2364">
        <v>640000</v>
      </c>
      <c r="K119" s="2364"/>
      <c r="L119" s="2365"/>
      <c r="M119" s="2366"/>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f>C120+1</f>
        <v>101</v>
      </c>
      <c r="E120" s="727">
        <f t="shared" ref="E120:J120" si="27">D120+1</f>
        <v>102</v>
      </c>
      <c r="F120" s="727">
        <f t="shared" si="27"/>
        <v>103</v>
      </c>
      <c r="G120" s="727">
        <f t="shared" si="27"/>
        <v>104</v>
      </c>
      <c r="H120" s="727">
        <f t="shared" si="27"/>
        <v>105</v>
      </c>
      <c r="I120" s="727">
        <f t="shared" si="27"/>
        <v>106</v>
      </c>
      <c r="J120" s="727">
        <f t="shared" si="27"/>
        <v>107</v>
      </c>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64" t="s">
        <v>3003</v>
      </c>
      <c r="D121" s="3164" t="s">
        <v>3005</v>
      </c>
      <c r="E121" s="3164" t="s">
        <v>3007</v>
      </c>
      <c r="F121" s="3164" t="s">
        <v>3009</v>
      </c>
      <c r="G121" s="3164" t="s">
        <v>3010</v>
      </c>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8">C122-$K41</f>
        <v>99</v>
      </c>
      <c r="E122" s="680">
        <f t="shared" si="28"/>
        <v>98</v>
      </c>
      <c r="F122" s="680">
        <f t="shared" si="28"/>
        <v>97</v>
      </c>
      <c r="G122" s="680">
        <f t="shared" si="28"/>
        <v>96</v>
      </c>
      <c r="H122" s="680">
        <f t="shared" si="28"/>
        <v>95</v>
      </c>
      <c r="I122" s="680">
        <f t="shared" si="28"/>
        <v>94</v>
      </c>
      <c r="J122" s="680">
        <f t="shared" si="28"/>
        <v>93</v>
      </c>
      <c r="K122" s="680">
        <f t="shared" si="28"/>
        <v>92</v>
      </c>
      <c r="L122" s="680">
        <f t="shared" si="28"/>
        <v>91</v>
      </c>
      <c r="M122" s="681">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63" t="s">
        <v>3011</v>
      </c>
      <c r="D123" s="3163" t="s">
        <v>3013</v>
      </c>
      <c r="E123" s="3163" t="s">
        <v>3007</v>
      </c>
      <c r="F123" s="3164" t="s">
        <v>3014</v>
      </c>
      <c r="G123" s="3164" t="s">
        <v>3015</v>
      </c>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9">C124-$K42</f>
        <v>99</v>
      </c>
      <c r="E124" s="680">
        <f t="shared" si="29"/>
        <v>98</v>
      </c>
      <c r="F124" s="680">
        <f t="shared" si="29"/>
        <v>97</v>
      </c>
      <c r="G124" s="680">
        <f t="shared" si="29"/>
        <v>96</v>
      </c>
      <c r="H124" s="680">
        <f t="shared" si="29"/>
        <v>95</v>
      </c>
      <c r="I124" s="680">
        <f t="shared" si="29"/>
        <v>94</v>
      </c>
      <c r="J124" s="680">
        <f t="shared" si="29"/>
        <v>93</v>
      </c>
      <c r="K124" s="680">
        <f t="shared" si="29"/>
        <v>92</v>
      </c>
      <c r="L124" s="680">
        <f t="shared" si="29"/>
        <v>91</v>
      </c>
      <c r="M124" s="681">
        <f t="shared" si="29"/>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9"/>
      <c r="B125" s="1896" t="s">
        <v>2427</v>
      </c>
      <c r="C125" s="1374" t="s">
        <v>3016</v>
      </c>
      <c r="D125" s="1374" t="s">
        <v>3018</v>
      </c>
      <c r="E125" s="1374" t="s">
        <v>3019</v>
      </c>
      <c r="F125" s="1374" t="s">
        <v>3020</v>
      </c>
      <c r="G125" s="1374" t="s">
        <v>3021</v>
      </c>
      <c r="H125" s="3163" t="s">
        <v>3055</v>
      </c>
      <c r="I125" s="3163" t="s">
        <v>3056</v>
      </c>
      <c r="J125" s="3164" t="s">
        <v>3057</v>
      </c>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8"/>
      <c r="B126" s="679"/>
      <c r="C126" s="680">
        <v>100</v>
      </c>
      <c r="D126" s="680">
        <f>C126-$K43</f>
        <v>99</v>
      </c>
      <c r="E126" s="680">
        <f t="shared" ref="E126:M126" si="30">D126-$K43</f>
        <v>98</v>
      </c>
      <c r="F126" s="680">
        <f t="shared" si="30"/>
        <v>97</v>
      </c>
      <c r="G126" s="680">
        <f t="shared" si="30"/>
        <v>96</v>
      </c>
      <c r="H126" s="680">
        <f t="shared" si="30"/>
        <v>95</v>
      </c>
      <c r="I126" s="680">
        <f t="shared" si="30"/>
        <v>94</v>
      </c>
      <c r="J126" s="680">
        <f t="shared" si="30"/>
        <v>93</v>
      </c>
      <c r="K126" s="680">
        <f t="shared" si="30"/>
        <v>92</v>
      </c>
      <c r="L126" s="680">
        <f t="shared" si="30"/>
        <v>91</v>
      </c>
      <c r="M126" s="681">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63" t="s">
        <v>3022</v>
      </c>
      <c r="D127" s="3163" t="s">
        <v>3024</v>
      </c>
      <c r="E127" s="3164" t="s">
        <v>3007</v>
      </c>
      <c r="F127" s="3164" t="s">
        <v>3025</v>
      </c>
      <c r="G127" s="3164" t="s">
        <v>3026</v>
      </c>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31">C128-$K44</f>
        <v>99</v>
      </c>
      <c r="E128" s="680">
        <f t="shared" si="31"/>
        <v>98</v>
      </c>
      <c r="F128" s="680">
        <f t="shared" si="31"/>
        <v>97</v>
      </c>
      <c r="G128" s="680">
        <f t="shared" si="31"/>
        <v>96</v>
      </c>
      <c r="H128" s="680">
        <f t="shared" si="31"/>
        <v>95</v>
      </c>
      <c r="I128" s="680">
        <f t="shared" si="31"/>
        <v>94</v>
      </c>
      <c r="J128" s="680">
        <f t="shared" si="31"/>
        <v>93</v>
      </c>
      <c r="K128" s="680">
        <f t="shared" si="31"/>
        <v>92</v>
      </c>
      <c r="L128" s="680">
        <f t="shared" si="31"/>
        <v>91</v>
      </c>
      <c r="M128" s="681">
        <f t="shared" si="31"/>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f>B45</f>
        <v>111</v>
      </c>
      <c r="C129" s="689"/>
      <c r="D129" s="689"/>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111</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9"/>
      <c r="B133" s="674">
        <f>B47</f>
        <v>111</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31" sqref="L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5">
        <f>MATCH(B1,'数据-取费表'!A6:A16,0)+5</f>
        <v>8</v>
      </c>
    </row>
    <row r="2" spans="1:31" s="2040" customFormat="1" ht="18" customHeight="1">
      <c r="A2" s="2100" t="s">
        <v>467</v>
      </c>
      <c r="B2" s="2104">
        <f ca="1">C36</f>
        <v>66845</v>
      </c>
      <c r="C2" s="2103"/>
      <c r="D2" s="2103"/>
      <c r="E2" s="2103"/>
      <c r="F2" s="2103"/>
      <c r="G2" s="2103"/>
      <c r="H2" s="2103"/>
      <c r="I2" s="2103"/>
      <c r="J2" s="2103"/>
      <c r="K2" s="2103"/>
    </row>
    <row r="3" spans="1:31" s="2040" customFormat="1" ht="18" customHeight="1">
      <c r="A3" s="2105" t="s">
        <v>1686</v>
      </c>
      <c r="B3" s="2106">
        <f ca="1">ROUND(B2*10000/IF(B1="",'数据-汇总表'!E3,INDIRECT("'数据-取费表'!K"&amp;$K$1)),0)</f>
        <v>1461</v>
      </c>
      <c r="C3" s="2103"/>
      <c r="D3" s="2103"/>
      <c r="E3" s="2103"/>
      <c r="F3" s="2103"/>
      <c r="G3" s="2103"/>
      <c r="H3" s="2103"/>
      <c r="I3" s="2103"/>
      <c r="J3" s="2103"/>
      <c r="K3" s="2103"/>
    </row>
    <row r="4" spans="1:31" s="2040" customFormat="1" ht="18" customHeight="1">
      <c r="A4" s="429" t="s">
        <v>468</v>
      </c>
      <c r="B4" s="430">
        <f ca="1">ROUND(B2*10000/IF(B1="",'数据-汇总表'!D3,INDIRECT("'数据-取费表'!R"&amp;$K$1)),0)</f>
        <v>4212</v>
      </c>
      <c r="C4" s="431"/>
      <c r="D4" s="425"/>
      <c r="E4" s="425"/>
      <c r="F4" s="425"/>
      <c r="G4" s="425"/>
      <c r="H4" s="425"/>
      <c r="I4" s="425"/>
      <c r="J4" s="425"/>
      <c r="K4" s="425"/>
    </row>
    <row r="5" spans="1:31" s="2040" customFormat="1" ht="18" customHeight="1" thickBot="1">
      <c r="A5" s="432"/>
      <c r="B5" s="433">
        <f ca="1">ROUND(B2/(IF(B1="",'数据-汇总表'!D3,INDIRECT("'数据-取费表'!R"&amp;$K$1))/666.67),0)</f>
        <v>281</v>
      </c>
      <c r="C5" s="434" t="s">
        <v>469</v>
      </c>
      <c r="D5" s="425"/>
      <c r="E5" s="425"/>
      <c r="F5" s="425"/>
      <c r="G5" s="425"/>
      <c r="H5" s="425"/>
      <c r="I5" s="425"/>
      <c r="J5" s="425"/>
      <c r="K5" s="425"/>
    </row>
    <row r="6" spans="1:31" s="2110" customFormat="1" ht="16.5" customHeight="1">
      <c r="A6" s="2851" t="s">
        <v>1844</v>
      </c>
      <c r="B6" s="2852"/>
      <c r="C6" s="2853">
        <f ca="1">SUM(C10:K10)</f>
        <v>233204</v>
      </c>
      <c r="D6" s="2852"/>
      <c r="E6" s="2852"/>
      <c r="F6" s="2852"/>
      <c r="G6" s="2852"/>
      <c r="H6" s="2852"/>
      <c r="I6" s="2852"/>
      <c r="J6" s="2852"/>
      <c r="K6" s="2854"/>
    </row>
    <row r="7" spans="1:31" s="2112" customFormat="1" ht="15">
      <c r="A7" s="2855" t="s">
        <v>470</v>
      </c>
      <c r="B7" s="2856" t="s">
        <v>471</v>
      </c>
      <c r="C7" s="439" t="s">
        <v>924</v>
      </c>
      <c r="D7" s="439" t="s">
        <v>2974</v>
      </c>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61" t="s">
        <v>472</v>
      </c>
      <c r="C8" s="2857">
        <f>'不动产比较法-住宅'!B3</f>
        <v>6760</v>
      </c>
      <c r="D8" s="2857">
        <f ca="1">不动产收益法!B3</f>
        <v>15391</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61" t="s">
        <v>473</v>
      </c>
      <c r="C9" s="444">
        <f>SUMIF('数据-汇总表'!$C19:$C33,'剩余法-待开发'!C7,'数据-汇总表'!$E19:$E33)</f>
        <v>307901.16999999993</v>
      </c>
      <c r="D9" s="444">
        <f>SUMIF('数据-汇总表'!$C19:$C33,'剩余法-待开发'!D7,'数据-汇总表'!$E19:$E33)</f>
        <v>16283.900000000001</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1849</v>
      </c>
      <c r="B10" s="2845" t="s">
        <v>474</v>
      </c>
      <c r="C10" s="3050">
        <f>'不动产比较法-住宅'!B2</f>
        <v>208141</v>
      </c>
      <c r="D10" s="3050">
        <f ca="1">不动产收益法!B2</f>
        <v>25063</v>
      </c>
      <c r="E10" s="3050"/>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1845</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1850</v>
      </c>
      <c r="B13" s="2866" t="s">
        <v>479</v>
      </c>
      <c r="C13" s="453">
        <f ca="1">IF(B1="",'数据-取费表'!P16,INDIRECT("'数据-取费表'!p"&amp;$K$1)+INDIRECT("'数据-取费表'!t"&amp;$K$1))</f>
        <v>89674</v>
      </c>
      <c r="D13" s="2867"/>
      <c r="E13" s="2868"/>
      <c r="F13" s="2869"/>
      <c r="G13" s="2835"/>
      <c r="H13" s="2836"/>
      <c r="I13" s="2836"/>
      <c r="J13" s="2836"/>
      <c r="K13" s="2837"/>
    </row>
    <row r="14" spans="1:31" s="2115" customFormat="1" ht="13.5" customHeight="1">
      <c r="A14" s="2865" t="s">
        <v>1851</v>
      </c>
      <c r="B14" s="2866" t="s">
        <v>480</v>
      </c>
      <c r="C14" s="53">
        <f ca="1">ROUND(C13*F14,0)</f>
        <v>4484</v>
      </c>
      <c r="D14" s="2867"/>
      <c r="E14" s="2868"/>
      <c r="F14" s="2870">
        <f>'数据-取费表'!B33</f>
        <v>0.05</v>
      </c>
      <c r="G14" s="2835" t="s">
        <v>481</v>
      </c>
      <c r="H14" s="2836"/>
      <c r="I14" s="2836"/>
      <c r="J14" s="2836"/>
      <c r="K14" s="2837"/>
    </row>
    <row r="15" spans="1:31" s="2115" customFormat="1" ht="13.5" customHeight="1">
      <c r="A15" s="2865" t="s">
        <v>1852</v>
      </c>
      <c r="B15" s="2866" t="s">
        <v>482</v>
      </c>
      <c r="C15" s="53">
        <f ca="1">ROUND(IF(B1="",SUMIF('数据-取费表'!C:C,"住宅",'数据-取费表'!P:P)*F15,IF(INDIRECT("'数据-取费表'!c"&amp;$K$1)="住宅",INDIRECT("'数据-取费表'!P"&amp;$K$1)*F15,0)),0)</f>
        <v>3387</v>
      </c>
      <c r="D15" s="2867"/>
      <c r="E15" s="2868"/>
      <c r="F15" s="2870">
        <f>'数据-取费表'!B34</f>
        <v>0.05</v>
      </c>
      <c r="G15" s="2835" t="s">
        <v>483</v>
      </c>
      <c r="H15" s="2836"/>
      <c r="I15" s="2836"/>
      <c r="J15" s="2836"/>
      <c r="K15" s="2837"/>
    </row>
    <row r="16" spans="1:31" s="2116" customFormat="1" ht="13.5" customHeight="1">
      <c r="A16" s="2865" t="s">
        <v>1853</v>
      </c>
      <c r="B16" s="2866" t="s">
        <v>484</v>
      </c>
      <c r="C16" s="53">
        <f ca="1">ROUND(D16*E16/10000,0)</f>
        <v>6865</v>
      </c>
      <c r="D16" s="2867">
        <f ca="1">IF(B1="",'数据-汇总表'!E3,INDIRECT("'数据-取费表'!K"&amp;$K$1)+INDIRECT("'数据-取费表'!S"&amp;$K$1))</f>
        <v>457656.17999999993</v>
      </c>
      <c r="E16" s="53">
        <f>'数据-取费表'!B35</f>
        <v>150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1854</v>
      </c>
      <c r="B17" s="2866" t="s">
        <v>485</v>
      </c>
      <c r="C17" s="2871">
        <f ca="1">ROUND(C13*F17,0)</f>
        <v>1345</v>
      </c>
      <c r="D17" s="478"/>
      <c r="E17" s="2871"/>
      <c r="F17" s="2872">
        <f>'数据-取费表'!B36</f>
        <v>1.4999999999999999E-2</v>
      </c>
      <c r="G17" s="261" t="s">
        <v>486</v>
      </c>
      <c r="H17" s="2838"/>
      <c r="I17" s="2838"/>
      <c r="J17" s="2838"/>
      <c r="K17" s="279"/>
    </row>
    <row r="18" spans="1:14" s="2115" customFormat="1" ht="13.5" customHeight="1">
      <c r="A18" s="2873" t="s">
        <v>1855</v>
      </c>
      <c r="B18" s="2874" t="s">
        <v>487</v>
      </c>
      <c r="C18" s="2875">
        <f ca="1">SUM(C13:C17)</f>
        <v>105755</v>
      </c>
      <c r="D18" s="2876"/>
      <c r="E18" s="471"/>
      <c r="F18" s="471"/>
      <c r="G18" s="2839" t="s">
        <v>2432</v>
      </c>
      <c r="H18" s="2840"/>
      <c r="I18" s="2840"/>
      <c r="J18" s="2840"/>
      <c r="K18" s="2841"/>
    </row>
    <row r="19" spans="1:14" s="2115" customFormat="1" ht="13.5" customHeight="1">
      <c r="A19" s="2873" t="s">
        <v>1856</v>
      </c>
      <c r="B19" s="2874" t="s">
        <v>488</v>
      </c>
      <c r="C19" s="2831">
        <f ca="1">ROUND(D19*E19/10000,0)</f>
        <v>4119</v>
      </c>
      <c r="D19" s="2877">
        <f ca="1">D16</f>
        <v>457656.17999999993</v>
      </c>
      <c r="E19" s="2831">
        <f>'数据-取费表'!B32</f>
        <v>90</v>
      </c>
      <c r="F19" s="471"/>
      <c r="G19" s="2835" t="s">
        <v>489</v>
      </c>
      <c r="H19" s="2836"/>
      <c r="I19" s="2840"/>
      <c r="J19" s="2840"/>
      <c r="K19" s="2841"/>
    </row>
    <row r="20" spans="1:14" s="2115" customFormat="1" ht="13.5" customHeight="1">
      <c r="A20" s="2873" t="s">
        <v>1857</v>
      </c>
      <c r="B20" s="2874" t="s">
        <v>490</v>
      </c>
      <c r="C20" s="2831">
        <f ca="1">C21+C22-IF(B1="",'数据-取费表'!B29,IF(G20="已全部缴纳",C21+C22,H20))</f>
        <v>1065</v>
      </c>
      <c r="D20" s="2877"/>
      <c r="E20" s="2831"/>
      <c r="F20" s="2878"/>
      <c r="G20" s="3109" t="s">
        <v>3066</v>
      </c>
      <c r="H20" s="2833"/>
      <c r="I20" s="2834" t="s">
        <v>2657</v>
      </c>
      <c r="J20" s="2840"/>
      <c r="K20" s="2841"/>
    </row>
    <row r="21" spans="1:14" s="2115" customFormat="1" ht="13.5" customHeight="1">
      <c r="A21" s="2865" t="s">
        <v>1858</v>
      </c>
      <c r="B21" s="2866" t="s">
        <v>491</v>
      </c>
      <c r="C21" s="53">
        <f ca="1">ROUND(D21*E21/10000,0)</f>
        <v>616</v>
      </c>
      <c r="D21" s="2867">
        <f ca="1">IF(B1="",'数据-汇总表'!E5,IF(INDIRECT("'数据-取费表'!c"&amp;$K$1)="住宅",INDIRECT("'数据-取费表'!k"&amp;$K$1),0))</f>
        <v>307901.16999999993</v>
      </c>
      <c r="E21" s="53">
        <f>'数据-取费表'!B27</f>
        <v>20</v>
      </c>
      <c r="F21" s="2870"/>
      <c r="G21" s="26"/>
      <c r="H21" s="51"/>
      <c r="I21" s="51"/>
      <c r="J21" s="51"/>
      <c r="K21" s="2842"/>
    </row>
    <row r="22" spans="1:14" s="2115" customFormat="1" ht="13.5" customHeight="1">
      <c r="A22" s="2865" t="s">
        <v>1859</v>
      </c>
      <c r="B22" s="2866" t="s">
        <v>492</v>
      </c>
      <c r="C22" s="53">
        <f ca="1">ROUND(D22*E22/10000,0)</f>
        <v>449</v>
      </c>
      <c r="D22" s="2867">
        <f ca="1">IF(B1="",'数据-汇总表'!E6,IF(INDIRECT("'数据-取费表'!c"&amp;$K$1)="住宅",INDIRECT("'数据-取费表'!s"&amp;$K$1),INDIRECT("'数据-取费表'!k"&amp;$K$1)+INDIRECT("'数据-取费表'!s"&amp;$K$1)))</f>
        <v>149755.01</v>
      </c>
      <c r="E22" s="53">
        <f>'数据-取费表'!B28</f>
        <v>30</v>
      </c>
      <c r="F22" s="2870"/>
      <c r="G22" s="26"/>
      <c r="H22" s="51"/>
      <c r="I22" s="51"/>
      <c r="J22" s="51"/>
      <c r="K22" s="2842"/>
    </row>
    <row r="23" spans="1:14" s="2115" customFormat="1" ht="13.5" customHeight="1">
      <c r="A23" s="2873" t="s">
        <v>1860</v>
      </c>
      <c r="B23" s="3056" t="s">
        <v>2840</v>
      </c>
      <c r="C23" s="2875">
        <f ca="1">ROUND((C18+C19+C20)*F23,0)</f>
        <v>2219</v>
      </c>
      <c r="D23" s="471"/>
      <c r="E23" s="471"/>
      <c r="F23" s="2879">
        <f>'数据-取费表'!B37</f>
        <v>0.02</v>
      </c>
      <c r="G23" s="2835" t="s">
        <v>2433</v>
      </c>
      <c r="H23" s="2836"/>
      <c r="I23" s="2836"/>
      <c r="J23" s="2836"/>
      <c r="K23" s="2837"/>
      <c r="L23" s="2117"/>
      <c r="M23" s="2117"/>
      <c r="N23" s="2117"/>
    </row>
    <row r="24" spans="1:14" s="2115" customFormat="1" ht="13.5" customHeight="1">
      <c r="A24" s="2873" t="s">
        <v>1861</v>
      </c>
      <c r="B24" s="3056" t="s">
        <v>2843</v>
      </c>
      <c r="C24" s="2875">
        <f ca="1">ROUND(C6*F24,0)</f>
        <v>4664</v>
      </c>
      <c r="D24" s="478"/>
      <c r="E24" s="476"/>
      <c r="F24" s="2879">
        <f>'数据-取费表'!B38</f>
        <v>0.02</v>
      </c>
      <c r="G24" s="2844" t="s">
        <v>499</v>
      </c>
      <c r="H24" s="2838"/>
      <c r="I24" s="2838"/>
      <c r="J24" s="2838"/>
      <c r="K24" s="279"/>
      <c r="L24" s="2117"/>
      <c r="M24" s="2117"/>
      <c r="N24" s="2117"/>
    </row>
    <row r="25" spans="1:14" s="2118" customFormat="1" ht="13.5" customHeight="1">
      <c r="A25" s="2873" t="s">
        <v>1862</v>
      </c>
      <c r="B25" s="3056" t="s">
        <v>2841</v>
      </c>
      <c r="C25" s="470">
        <f>ROUND(F25/(1+'数据-取费表'!C42),4)</f>
        <v>2.9000000000000001E-2</v>
      </c>
      <c r="D25" s="465" t="s">
        <v>2835</v>
      </c>
      <c r="E25" s="472"/>
      <c r="F25" s="2879">
        <f>'数据-取费表'!B48+'数据-取费表'!B49</f>
        <v>3.0499999999999999E-2</v>
      </c>
      <c r="G25" s="2843" t="s">
        <v>2290</v>
      </c>
      <c r="H25" s="2836"/>
      <c r="I25" s="2836"/>
      <c r="J25" s="2836"/>
      <c r="K25" s="2837"/>
    </row>
    <row r="26" spans="1:14" s="2117" customFormat="1" ht="13.5" customHeight="1">
      <c r="A26" s="2873" t="s">
        <v>1863</v>
      </c>
      <c r="B26" s="3057" t="s">
        <v>2842</v>
      </c>
      <c r="C26" s="2880">
        <f ca="1">C28</f>
        <v>7037</v>
      </c>
      <c r="D26" s="470">
        <f ca="1">C27</f>
        <v>0.12659999999999999</v>
      </c>
      <c r="E26" s="472" t="s">
        <v>495</v>
      </c>
      <c r="F26" s="474">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4" t="s">
        <v>1858</v>
      </c>
      <c r="B27" s="2881" t="s">
        <v>496</v>
      </c>
      <c r="C27" s="2882">
        <f ca="1">ROUND(IF('数据-取费表'!B22&lt;=1,(1+C25)*F26*'数据-取费表'!B24,(1+C25)*(POWER((1+F26),'数据-取费表'!B24)-1)),4)</f>
        <v>0.12659999999999999</v>
      </c>
      <c r="D27" s="475"/>
      <c r="E27" s="476"/>
      <c r="F27" s="477"/>
      <c r="G27" s="2593" t="str">
        <f>IF('数据-取费表'!B22&lt;=1,"（1+取得税费率/(1+5%)）×年利率×建设期","（1+取得税费率）/(1+5%)×((1+年利率)^建设期-1)")</f>
        <v>（1+取得税费率）/(1+5%)×((1+年利率)^建设期-1)</v>
      </c>
      <c r="H27" s="2838"/>
      <c r="I27" s="2838"/>
      <c r="J27" s="2838"/>
      <c r="K27" s="279"/>
    </row>
    <row r="28" spans="1:14" s="2119" customFormat="1" ht="13.5" customHeight="1">
      <c r="A28" s="804" t="s">
        <v>1859</v>
      </c>
      <c r="B28" s="2881" t="s">
        <v>2844</v>
      </c>
      <c r="C28" s="2883">
        <f ca="1">ROUND(IF('数据-取费表'!B22&lt;=1,(C18+C19+C20+C23+C24)*F26*'数据-取费表'!B24/2,(C18+C19+C20+C23+C24)*(POWER((1+F26),'数据-取费表'!B24/2)-1)),0)</f>
        <v>7037</v>
      </c>
      <c r="D28" s="475"/>
      <c r="E28" s="476"/>
      <c r="F28" s="477"/>
      <c r="G28" s="2593" t="str">
        <f>IF('数据-取费表'!B22&lt;=1,"（1）-（4）项×年利率×建设期÷2","（1）-（4）项×((1+年利率)^(建设期÷2)-1)")</f>
        <v>（1）-（4）项×((1+年利率)^(建设期÷2)-1)</v>
      </c>
      <c r="H28" s="2838"/>
      <c r="I28" s="2838"/>
      <c r="J28" s="2838"/>
      <c r="K28" s="279"/>
    </row>
    <row r="29" spans="1:14" s="2119" customFormat="1" ht="13.5" customHeight="1">
      <c r="A29" s="2884" t="s">
        <v>1864</v>
      </c>
      <c r="B29" s="2874" t="s">
        <v>497</v>
      </c>
      <c r="C29" s="2875">
        <f ca="1">ROUND(C6*F29/(1+'数据-取费表'!C42),0)</f>
        <v>12438</v>
      </c>
      <c r="D29" s="471"/>
      <c r="E29" s="471"/>
      <c r="F29" s="3058">
        <f>'数据-取费表'!B41</f>
        <v>5.6000000000000001E-2</v>
      </c>
      <c r="G29" s="2844" t="s">
        <v>498</v>
      </c>
      <c r="H29" s="2836"/>
      <c r="I29" s="2836"/>
      <c r="J29" s="2836"/>
      <c r="K29" s="2837"/>
    </row>
    <row r="30" spans="1:14" s="2120" customFormat="1" ht="13.5" customHeight="1">
      <c r="A30" s="1634" t="s">
        <v>1865</v>
      </c>
      <c r="B30" s="2885" t="s">
        <v>500</v>
      </c>
      <c r="C30" s="2880">
        <f ca="1">C31</f>
        <v>137297</v>
      </c>
      <c r="D30" s="480">
        <f ca="1">C32</f>
        <v>0.15559999999999999</v>
      </c>
      <c r="E30" s="472" t="s">
        <v>495</v>
      </c>
      <c r="F30" s="474"/>
      <c r="G30" s="2835" t="s">
        <v>501</v>
      </c>
      <c r="H30" s="2836"/>
      <c r="I30" s="2836"/>
      <c r="J30" s="2836"/>
      <c r="K30" s="2837"/>
    </row>
    <row r="31" spans="1:14" s="2119" customFormat="1" ht="13.5" customHeight="1">
      <c r="A31" s="804" t="s">
        <v>1858</v>
      </c>
      <c r="B31" s="2881"/>
      <c r="C31" s="453">
        <f ca="1">C18+C19+C20+C23+C24+C26+C29</f>
        <v>137297</v>
      </c>
      <c r="D31" s="475"/>
      <c r="E31" s="476"/>
      <c r="F31" s="477"/>
      <c r="G31" s="261"/>
      <c r="H31" s="2838"/>
      <c r="I31" s="2838"/>
      <c r="J31" s="2838"/>
      <c r="K31" s="279"/>
    </row>
    <row r="32" spans="1:14" s="2119" customFormat="1" ht="13.5" customHeight="1">
      <c r="A32" s="804" t="s">
        <v>1859</v>
      </c>
      <c r="B32" s="2881"/>
      <c r="C32" s="53">
        <f ca="1">ROUND(C25+D26,4)</f>
        <v>0.15559999999999999</v>
      </c>
      <c r="D32" s="475"/>
      <c r="E32" s="476"/>
      <c r="F32" s="477"/>
      <c r="G32" s="261"/>
      <c r="H32" s="2838"/>
      <c r="I32" s="2838"/>
      <c r="J32" s="2838"/>
      <c r="K32" s="279"/>
    </row>
    <row r="33" spans="1:11" s="2121" customFormat="1" ht="13.5" customHeight="1">
      <c r="A33" s="3055" t="s">
        <v>2839</v>
      </c>
      <c r="B33" s="3053" t="s">
        <v>2837</v>
      </c>
      <c r="C33" s="481">
        <f ca="1">C35</f>
        <v>11782</v>
      </c>
      <c r="D33" s="470">
        <f ca="1">C34</f>
        <v>0.10290000000000001</v>
      </c>
      <c r="E33" s="472" t="s">
        <v>495</v>
      </c>
      <c r="F33" s="482">
        <f ca="1">IF(B1="",'数据-取费表'!Q16,INDIRECT("'数据-取费表'!q"&amp;$K$1))</f>
        <v>0.1</v>
      </c>
      <c r="G33" s="2839"/>
      <c r="H33" s="2840"/>
      <c r="I33" s="2840"/>
      <c r="J33" s="2840"/>
      <c r="K33" s="2841"/>
    </row>
    <row r="34" spans="1:11" s="2122" customFormat="1" ht="13.5" customHeight="1">
      <c r="A34" s="378" t="s">
        <v>1858</v>
      </c>
      <c r="B34" s="2886" t="s">
        <v>502</v>
      </c>
      <c r="C34" s="475">
        <f ca="1">ROUND((1+C25)*F33,4)</f>
        <v>0.10290000000000001</v>
      </c>
      <c r="D34" s="475"/>
      <c r="E34" s="476"/>
      <c r="F34" s="483"/>
      <c r="G34" s="261" t="s">
        <v>2291</v>
      </c>
      <c r="H34" s="2838"/>
      <c r="I34" s="2838"/>
      <c r="J34" s="2838"/>
      <c r="K34" s="279"/>
    </row>
    <row r="35" spans="1:11" s="2122" customFormat="1" ht="13.5" customHeight="1" thickBot="1">
      <c r="A35" s="1635" t="s">
        <v>1859</v>
      </c>
      <c r="B35" s="3054" t="s">
        <v>2845</v>
      </c>
      <c r="C35" s="1627">
        <f ca="1">ROUND((C18+C19+C20+C23+C24)*F33,0)</f>
        <v>11782</v>
      </c>
      <c r="D35" s="1628"/>
      <c r="E35" s="2887"/>
      <c r="F35" s="1629"/>
      <c r="G35" s="2845"/>
      <c r="H35" s="2846"/>
      <c r="I35" s="2846"/>
      <c r="J35" s="2846"/>
      <c r="K35" s="2847"/>
    </row>
    <row r="36" spans="1:11" s="2084" customFormat="1" ht="13.5" customHeight="1" thickBot="1">
      <c r="A36" s="284" t="s">
        <v>1846</v>
      </c>
      <c r="B36" s="2849"/>
      <c r="C36" s="2888">
        <f ca="1">ROUND((C6-C30-C33)/(1+D30+D33),0)</f>
        <v>66845</v>
      </c>
      <c r="D36" s="2849"/>
      <c r="E36" s="2849"/>
      <c r="F36" s="2849"/>
      <c r="G36" s="2848" t="s">
        <v>2846</v>
      </c>
      <c r="H36" s="2849"/>
      <c r="I36" s="2849"/>
      <c r="J36" s="2849"/>
      <c r="K36" s="2850"/>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4" t="s">
        <v>466</v>
      </c>
      <c r="B1" s="2832"/>
      <c r="C1" s="2103"/>
      <c r="D1" s="2103"/>
      <c r="E1" s="2103"/>
      <c r="F1" s="2103"/>
      <c r="G1" s="2103"/>
      <c r="H1" s="2103"/>
      <c r="I1" s="2103"/>
      <c r="J1" s="2103"/>
      <c r="K1" s="425">
        <f>MATCH(B1,'数据-取费表'!A6:A16,0)+5</f>
        <v>8</v>
      </c>
    </row>
    <row r="2" spans="1:41" s="2040" customFormat="1" ht="18" customHeight="1">
      <c r="A2" s="426" t="s">
        <v>467</v>
      </c>
      <c r="B2" s="427">
        <f ca="1">C32</f>
        <v>0</v>
      </c>
      <c r="C2" s="2103"/>
      <c r="D2" s="2103"/>
      <c r="E2" s="2103"/>
      <c r="F2" s="2103"/>
      <c r="G2" s="2103"/>
      <c r="H2" s="2103"/>
      <c r="I2" s="2103"/>
      <c r="J2" s="2103"/>
      <c r="K2" s="2103"/>
    </row>
    <row r="3" spans="1:41" s="2040" customFormat="1" ht="18" customHeight="1">
      <c r="A3" s="1378" t="s">
        <v>1686</v>
      </c>
      <c r="B3" s="428">
        <f ca="1">ROUND(B2*10000/IF(B1="",'数据-汇总表'!E3,INDIRECT("'数据-取费表'!K"&amp;$K$1)),0)</f>
        <v>0</v>
      </c>
      <c r="C3" s="2103"/>
      <c r="D3" s="2103"/>
      <c r="E3" s="2103"/>
      <c r="F3" s="2103"/>
      <c r="G3" s="2103"/>
      <c r="H3" s="2103"/>
      <c r="I3" s="2103"/>
      <c r="J3" s="2103"/>
      <c r="K3" s="2103"/>
    </row>
    <row r="4" spans="1:41" s="2040" customFormat="1" ht="18" customHeight="1">
      <c r="A4" s="429" t="s">
        <v>468</v>
      </c>
      <c r="B4" s="430">
        <f ca="1">ROUND(B2*10000/IF(B1="",'数据-汇总表'!D3,INDIRECT("'数据-取费表'!R"&amp;$K$1)),0)</f>
        <v>0</v>
      </c>
      <c r="C4" s="2060"/>
      <c r="D4" s="2103"/>
      <c r="E4" s="2103"/>
      <c r="F4" s="2103"/>
      <c r="G4" s="2103"/>
      <c r="H4" s="2103"/>
      <c r="I4" s="2103"/>
      <c r="J4" s="2103"/>
      <c r="K4" s="2103"/>
    </row>
    <row r="5" spans="1:41" s="2040" customFormat="1" ht="18" customHeight="1" thickBot="1">
      <c r="A5" s="432"/>
      <c r="B5" s="433">
        <f ca="1">ROUND(B2/(IF(B1="",'数据-汇总表'!D3,INDIRECT("'数据-取费表'!R"&amp;$K$1))/666.67),0)</f>
        <v>0</v>
      </c>
      <c r="C5" s="434" t="s">
        <v>469</v>
      </c>
      <c r="D5" s="2103"/>
      <c r="E5" s="2103"/>
      <c r="F5" s="2103"/>
      <c r="G5" s="2103"/>
      <c r="H5" s="2103"/>
      <c r="I5" s="2103"/>
      <c r="J5" s="2103"/>
      <c r="K5" s="2103"/>
    </row>
    <row r="6" spans="1:41" s="2110" customFormat="1" ht="16.5" customHeight="1">
      <c r="A6" s="435" t="s">
        <v>2658</v>
      </c>
      <c r="B6" s="436"/>
      <c r="C6" s="1622">
        <f>SUM(C10:K10)</f>
        <v>0</v>
      </c>
      <c r="D6" s="2108"/>
      <c r="E6" s="2108"/>
      <c r="F6" s="2108"/>
      <c r="G6" s="2108"/>
      <c r="H6" s="2108"/>
      <c r="I6" s="2108"/>
      <c r="J6" s="2108"/>
      <c r="K6" s="2109"/>
    </row>
    <row r="7" spans="1:41" s="2112" customFormat="1" ht="15">
      <c r="A7" s="437" t="s">
        <v>470</v>
      </c>
      <c r="B7" s="438" t="s">
        <v>471</v>
      </c>
      <c r="C7" s="439"/>
      <c r="D7" s="439"/>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41" t="s">
        <v>472</v>
      </c>
      <c r="C8" s="442"/>
      <c r="D8" s="442"/>
      <c r="E8" s="442"/>
      <c r="F8" s="442"/>
      <c r="G8" s="442"/>
      <c r="H8" s="442"/>
      <c r="I8" s="442"/>
      <c r="J8" s="442"/>
      <c r="K8" s="44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7" t="s">
        <v>470</v>
      </c>
      <c r="B12" s="447" t="s">
        <v>471</v>
      </c>
      <c r="C12" s="448" t="s">
        <v>475</v>
      </c>
      <c r="D12" s="449" t="s">
        <v>476</v>
      </c>
      <c r="E12" s="449" t="s">
        <v>477</v>
      </c>
      <c r="F12" s="449" t="s">
        <v>478</v>
      </c>
      <c r="G12" s="447"/>
      <c r="H12" s="450"/>
      <c r="I12" s="450"/>
      <c r="J12" s="450"/>
      <c r="K12" s="451"/>
    </row>
    <row r="13" spans="1:41" s="2115" customFormat="1" ht="13.5" customHeight="1">
      <c r="A13" s="1632" t="s">
        <v>1850</v>
      </c>
      <c r="B13" s="452" t="s">
        <v>479</v>
      </c>
      <c r="C13" s="453">
        <f ca="1">IF(B1="",'数据-取费表'!M16,INDIRECT("'数据-取费表'!M"&amp;$K$1)+INDIRECT("'数据-取费表'!t"&amp;$K$1))</f>
        <v>89674</v>
      </c>
      <c r="D13" s="454"/>
      <c r="E13" s="368"/>
      <c r="F13" s="455"/>
      <c r="G13" s="447"/>
      <c r="H13" s="450"/>
      <c r="I13" s="450"/>
      <c r="J13" s="450"/>
      <c r="K13" s="451"/>
    </row>
    <row r="14" spans="1:41" s="2115" customFormat="1" ht="13.5" customHeight="1">
      <c r="A14" s="1632" t="s">
        <v>1851</v>
      </c>
      <c r="B14" s="452" t="s">
        <v>480</v>
      </c>
      <c r="C14" s="53">
        <f ca="1">ROUND(C13*F14,0)</f>
        <v>4484</v>
      </c>
      <c r="D14" s="454"/>
      <c r="E14" s="368"/>
      <c r="F14" s="456">
        <f>'数据-取费表'!B33</f>
        <v>0.05</v>
      </c>
      <c r="G14" s="447" t="s">
        <v>503</v>
      </c>
      <c r="H14" s="450"/>
      <c r="I14" s="450"/>
      <c r="J14" s="450"/>
      <c r="K14" s="451"/>
    </row>
    <row r="15" spans="1:41" s="2115" customFormat="1" ht="13.5" customHeight="1">
      <c r="A15" s="1632" t="s">
        <v>1852</v>
      </c>
      <c r="B15" s="452" t="s">
        <v>482</v>
      </c>
      <c r="C15" s="53">
        <f ca="1">ROUND(IF(B1="",SUMIF('数据-取费表'!C:C,"住宅",'数据-取费表'!M:M)*F15,IF(INDIRECT("'数据-取费表'!c"&amp;$K$1)="住宅",INDIRECT("'数据-取费表'!M"&amp;$K$1)*F15,0)),0)</f>
        <v>3387</v>
      </c>
      <c r="D15" s="454"/>
      <c r="E15" s="368"/>
      <c r="F15" s="456">
        <f>'数据-取费表'!B34</f>
        <v>0.05</v>
      </c>
      <c r="G15" s="447" t="s">
        <v>503</v>
      </c>
      <c r="H15" s="450"/>
      <c r="I15" s="450"/>
      <c r="J15" s="450"/>
      <c r="K15" s="451"/>
    </row>
    <row r="16" spans="1:41" s="2116" customFormat="1" ht="13.5" customHeight="1">
      <c r="A16" s="1632" t="s">
        <v>1853</v>
      </c>
      <c r="B16" s="452" t="s">
        <v>484</v>
      </c>
      <c r="C16" s="53">
        <f ca="1">ROUND(D16*E16/10000,0)</f>
        <v>6865</v>
      </c>
      <c r="D16" s="454">
        <f ca="1">IF(B1="",'数据-汇总表'!E3,INDIRECT("'数据-取费表'!K"&amp;$K$1)+INDIRECT("'数据-取费表'!S"&amp;$K$1))</f>
        <v>457656.17999999993</v>
      </c>
      <c r="E16" s="53">
        <f>'数据-取费表'!B35</f>
        <v>150</v>
      </c>
      <c r="F16" s="456"/>
      <c r="G16" s="447"/>
      <c r="H16" s="450"/>
      <c r="I16" s="450"/>
      <c r="J16" s="450"/>
      <c r="K16" s="451"/>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52" t="s">
        <v>485</v>
      </c>
      <c r="C17" s="457">
        <f ca="1">ROUND(C13*F17,0)</f>
        <v>1345</v>
      </c>
      <c r="D17" s="458"/>
      <c r="E17" s="457"/>
      <c r="F17" s="459">
        <f>'数据-取费表'!B36</f>
        <v>1.4999999999999999E-2</v>
      </c>
      <c r="G17" s="447" t="s">
        <v>503</v>
      </c>
      <c r="H17" s="460"/>
      <c r="I17" s="460"/>
      <c r="J17" s="460"/>
      <c r="K17" s="461"/>
    </row>
    <row r="18" spans="1:14" s="2118" customFormat="1" ht="13.5" customHeight="1">
      <c r="A18" s="1633" t="s">
        <v>1855</v>
      </c>
      <c r="B18" s="462" t="s">
        <v>487</v>
      </c>
      <c r="C18" s="463">
        <f ca="1">SUM(C13:C17)</f>
        <v>105755</v>
      </c>
      <c r="D18" s="464"/>
      <c r="E18" s="465"/>
      <c r="F18" s="465"/>
      <c r="G18" s="1326" t="s">
        <v>2434</v>
      </c>
      <c r="H18" s="450"/>
      <c r="I18" s="450"/>
      <c r="J18" s="450"/>
      <c r="K18" s="451"/>
    </row>
    <row r="19" spans="1:14" s="2118" customFormat="1" ht="13.5" customHeight="1">
      <c r="A19" s="1633" t="s">
        <v>1856</v>
      </c>
      <c r="B19" s="462" t="s">
        <v>493</v>
      </c>
      <c r="C19" s="463">
        <f ca="1">ROUND(C18*F19,0)</f>
        <v>2115</v>
      </c>
      <c r="D19" s="465"/>
      <c r="E19" s="465"/>
      <c r="F19" s="469">
        <f>'数据-取费表'!B37</f>
        <v>0.02</v>
      </c>
      <c r="G19" s="447" t="s">
        <v>504</v>
      </c>
      <c r="H19" s="450"/>
      <c r="I19" s="450"/>
      <c r="J19" s="450"/>
      <c r="K19" s="451"/>
      <c r="L19" s="2120"/>
      <c r="M19" s="2120"/>
      <c r="N19" s="2120"/>
    </row>
    <row r="20" spans="1:14" s="2118" customFormat="1" ht="13.5" customHeight="1">
      <c r="A20" s="1633" t="s">
        <v>1857</v>
      </c>
      <c r="B20" s="462" t="s">
        <v>505</v>
      </c>
      <c r="C20" s="3051">
        <f>F20</f>
        <v>0.02</v>
      </c>
      <c r="D20" s="472" t="s">
        <v>506</v>
      </c>
      <c r="E20" s="472"/>
      <c r="F20" s="489">
        <f>'数据-取费表'!B38</f>
        <v>0.02</v>
      </c>
      <c r="G20" s="1326" t="s">
        <v>507</v>
      </c>
      <c r="H20" s="450"/>
      <c r="I20" s="450"/>
      <c r="J20" s="450"/>
      <c r="K20" s="451"/>
      <c r="L20" s="2120"/>
      <c r="M20" s="2120"/>
      <c r="N20" s="2120"/>
    </row>
    <row r="21" spans="1:14" s="2120" customFormat="1" ht="13.5" customHeight="1">
      <c r="A21" s="1633" t="s">
        <v>1860</v>
      </c>
      <c r="B21" s="464" t="s">
        <v>494</v>
      </c>
      <c r="C21" s="473">
        <f ca="1">C22</f>
        <v>6442</v>
      </c>
      <c r="D21" s="470">
        <f ca="1">C23</f>
        <v>1.1999999999999999E-3</v>
      </c>
      <c r="E21" s="472" t="s">
        <v>508</v>
      </c>
      <c r="F21" s="474">
        <f ca="1">'数据-取费表'!B40</f>
        <v>4.7500000000000001E-2</v>
      </c>
      <c r="G21" s="1326" t="str">
        <f>IF('数据-取费表'!B22&lt;=1,"单利计息。","复利计息。")&amp;"建造成本、管理费用及销售费用产生的利息。"</f>
        <v>复利计息。建造成本、管理费用及销售费用产生的利息。</v>
      </c>
      <c r="H21" s="450"/>
      <c r="I21" s="450"/>
      <c r="J21" s="450"/>
      <c r="K21" s="451"/>
      <c r="L21" s="2117" t="s">
        <v>2456</v>
      </c>
    </row>
    <row r="22" spans="1:14" s="2119" customFormat="1" ht="13.5" customHeight="1">
      <c r="A22" s="1632" t="s">
        <v>1850</v>
      </c>
      <c r="B22" s="1327" t="s">
        <v>2437</v>
      </c>
      <c r="C22" s="490">
        <f ca="1">ROUND(IF('数据-取费表'!B22&lt;=1,(C18+C19)*F21*'数据-取费表'!B20/2,(C18+C19)*(POWER((1+F21),'数据-取费表'!B20/2)-1)),0)</f>
        <v>6442</v>
      </c>
      <c r="D22" s="475"/>
      <c r="E22" s="476"/>
      <c r="F22" s="477"/>
      <c r="G22" s="2588" t="str">
        <f>IF('数据-取费表'!B22&lt;=1,"((1)+(2))×年利率×建设期÷2","((1)+(2))×((1+年利率)^(建设期÷2)-1)")</f>
        <v>((1)+(2))×((1+年利率)^(建设期÷2)-1)</v>
      </c>
      <c r="H22" s="460"/>
      <c r="I22" s="460"/>
      <c r="J22" s="460"/>
      <c r="K22" s="461"/>
    </row>
    <row r="23" spans="1:14" s="2119" customFormat="1" ht="13.5" customHeight="1">
      <c r="A23" s="1632" t="s">
        <v>1851</v>
      </c>
      <c r="B23" s="1327" t="s">
        <v>509</v>
      </c>
      <c r="C23" s="491">
        <f ca="1">ROUND(IF('数据-取费表'!B22&lt;=1,F20*F21*'数据-取费表'!B20/2,F20*(POWER((1+F21),'数据-取费表'!B20/2)-1)),4)</f>
        <v>1.1999999999999999E-3</v>
      </c>
      <c r="D23" s="475"/>
      <c r="E23" s="476"/>
      <c r="F23" s="477"/>
      <c r="G23" s="2588" t="str">
        <f>IF('数据-取费表'!B22&lt;=1,"销售费用率×年利率×建设期÷2","销售费用率×((1+年利率)^(建设期÷2)-1)")</f>
        <v>销售费用率×((1+年利率)^(建设期÷2)-1)</v>
      </c>
      <c r="H23" s="460"/>
      <c r="I23" s="460"/>
      <c r="J23" s="460"/>
      <c r="K23" s="461"/>
    </row>
    <row r="24" spans="1:14" s="2119" customFormat="1" ht="13.5" customHeight="1">
      <c r="A24" s="1633" t="s">
        <v>1861</v>
      </c>
      <c r="B24" s="3053" t="s">
        <v>2838</v>
      </c>
      <c r="C24" s="481">
        <f ca="1">C25</f>
        <v>10787</v>
      </c>
      <c r="D24" s="492">
        <f ca="1">C26</f>
        <v>2E-3</v>
      </c>
      <c r="E24" s="472" t="s">
        <v>508</v>
      </c>
      <c r="F24" s="482">
        <f ca="1">IF(B1="",'数据-取费表'!Q16,INDIRECT("'数据-取费表'!q"&amp;$K$1))</f>
        <v>0.1</v>
      </c>
      <c r="G24" s="447"/>
      <c r="H24" s="450"/>
      <c r="I24" s="450"/>
      <c r="J24" s="450"/>
      <c r="K24" s="451"/>
    </row>
    <row r="25" spans="1:14" s="2119" customFormat="1" ht="13.5" customHeight="1">
      <c r="A25" s="1632" t="s">
        <v>1850</v>
      </c>
      <c r="B25" s="1327" t="s">
        <v>2438</v>
      </c>
      <c r="C25" s="493">
        <f ca="1">ROUND((C18+C19)*F24,0)</f>
        <v>10787</v>
      </c>
      <c r="D25" s="475"/>
      <c r="E25" s="476"/>
      <c r="F25" s="483"/>
      <c r="G25" s="1325" t="s">
        <v>2435</v>
      </c>
      <c r="H25" s="460"/>
      <c r="I25" s="460"/>
      <c r="J25" s="460"/>
      <c r="K25" s="461"/>
    </row>
    <row r="26" spans="1:14" s="2119" customFormat="1" ht="13.5" customHeight="1">
      <c r="A26" s="1632" t="s">
        <v>1851</v>
      </c>
      <c r="B26" s="1327" t="s">
        <v>510</v>
      </c>
      <c r="C26" s="494">
        <f ca="1">ROUND(F20*F24,4)</f>
        <v>2E-3</v>
      </c>
      <c r="D26" s="475"/>
      <c r="E26" s="484"/>
      <c r="F26" s="483"/>
      <c r="G26" s="1325" t="s">
        <v>511</v>
      </c>
      <c r="H26" s="460"/>
      <c r="I26" s="460"/>
      <c r="J26" s="460"/>
      <c r="K26" s="461"/>
    </row>
    <row r="27" spans="1:14" s="2119" customFormat="1" ht="13.5" customHeight="1">
      <c r="A27" s="1636" t="s">
        <v>1869</v>
      </c>
      <c r="B27" s="462" t="s">
        <v>512</v>
      </c>
      <c r="C27" s="3052">
        <f>ROUND(F27/(1+'数据-取费表'!C42),4)</f>
        <v>5.33E-2</v>
      </c>
      <c r="D27" s="465" t="s">
        <v>2836</v>
      </c>
      <c r="E27" s="465"/>
      <c r="F27" s="469">
        <f>'数据-取费表'!B41</f>
        <v>5.6000000000000001E-2</v>
      </c>
      <c r="G27" s="1960" t="s">
        <v>2292</v>
      </c>
      <c r="H27" s="450"/>
      <c r="I27" s="450"/>
      <c r="J27" s="450"/>
      <c r="K27" s="451"/>
    </row>
    <row r="28" spans="1:14" s="2120" customFormat="1" ht="13.5" customHeight="1">
      <c r="A28" s="1636" t="s">
        <v>1870</v>
      </c>
      <c r="B28" s="479" t="s">
        <v>513</v>
      </c>
      <c r="C28" s="473">
        <f ca="1">ROUND((C18+C19+C21+C24)/(1-C20-D21-D24-C27),0)</f>
        <v>135462</v>
      </c>
      <c r="D28" s="480"/>
      <c r="E28" s="472"/>
      <c r="F28" s="474"/>
      <c r="G28" s="1326" t="s">
        <v>2436</v>
      </c>
      <c r="H28" s="450"/>
      <c r="I28" s="450"/>
      <c r="J28" s="450"/>
      <c r="K28" s="451"/>
    </row>
    <row r="29" spans="1:14" s="2120" customFormat="1" ht="13.5" customHeight="1">
      <c r="A29" s="1636" t="s">
        <v>1871</v>
      </c>
      <c r="B29" s="479" t="s">
        <v>514</v>
      </c>
      <c r="C29" s="495">
        <f ca="1">IF(B1="",'数据-取费表'!N16,INDIRECT("'数据-取费表'!N"&amp;$K$1))</f>
        <v>0</v>
      </c>
      <c r="D29" s="496"/>
      <c r="E29" s="497"/>
      <c r="F29" s="498"/>
      <c r="G29" s="447"/>
      <c r="H29" s="450"/>
      <c r="I29" s="450"/>
      <c r="J29" s="450"/>
      <c r="K29" s="451"/>
    </row>
    <row r="30" spans="1:14" s="2120" customFormat="1" ht="13.5" customHeight="1">
      <c r="A30" s="446">
        <v>2</v>
      </c>
      <c r="B30" s="479" t="s">
        <v>515</v>
      </c>
      <c r="C30" s="500">
        <f ca="1">ROUND(C28*C29,0)</f>
        <v>0</v>
      </c>
      <c r="D30" s="496"/>
      <c r="E30" s="501"/>
      <c r="F30" s="502"/>
      <c r="G30" s="1328" t="s">
        <v>516</v>
      </c>
      <c r="H30" s="499"/>
      <c r="I30" s="499"/>
      <c r="J30" s="450"/>
      <c r="K30" s="451"/>
    </row>
    <row r="31" spans="1:14" s="2125" customFormat="1" ht="13.5" customHeight="1">
      <c r="A31" s="2503" t="s">
        <v>1867</v>
      </c>
      <c r="B31" s="1329"/>
      <c r="C31" s="503">
        <f>ROUND(C6*F31/(1+'数据-取费表'!C42),0)</f>
        <v>0</v>
      </c>
      <c r="D31" s="1330"/>
      <c r="E31" s="1330"/>
      <c r="F31" s="504">
        <f>'数据-取费表'!B41</f>
        <v>5.6000000000000001E-2</v>
      </c>
      <c r="G31" s="1331"/>
      <c r="H31" s="1331"/>
      <c r="I31" s="1331"/>
      <c r="J31" s="1332"/>
      <c r="K31" s="1333"/>
    </row>
    <row r="32" spans="1:14" s="2084"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4" t="s">
        <v>2457</v>
      </c>
      <c r="H32" s="486"/>
      <c r="I32" s="486"/>
      <c r="J32" s="486"/>
      <c r="K32" s="48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517</v>
      </c>
      <c r="B1" s="506"/>
      <c r="C1" s="507" t="s">
        <v>598</v>
      </c>
      <c r="D1" s="508" t="s">
        <v>519</v>
      </c>
      <c r="E1" s="738"/>
      <c r="F1" s="739"/>
      <c r="G1" s="738"/>
      <c r="H1" s="738"/>
      <c r="I1" s="738"/>
      <c r="J1" s="738"/>
      <c r="K1" s="74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511"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13"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31"/>
      <c r="AC3" s="431"/>
    </row>
    <row r="4" spans="1:29" s="1335" customFormat="1" ht="28.5" customHeight="1">
      <c r="A4" s="514" t="s">
        <v>521</v>
      </c>
      <c r="B4" s="430"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29" s="1335" customFormat="1" ht="28.5" customHeight="1" thickBot="1">
      <c r="A5" s="432"/>
      <c r="B5" s="433" t="e">
        <f>ROUND(B2/('数据-汇总表'!D3/666.67),0)</f>
        <v>#DIV/0!</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31"/>
    </row>
    <row r="6" spans="1:29" ht="15">
      <c r="A6" s="515" t="s">
        <v>522</v>
      </c>
      <c r="B6" s="516"/>
      <c r="C6" s="3439" t="s">
        <v>523</v>
      </c>
      <c r="D6" s="3440"/>
      <c r="E6" s="3463" t="s">
        <v>524</v>
      </c>
      <c r="F6" s="3464"/>
      <c r="G6" s="3439" t="s">
        <v>525</v>
      </c>
      <c r="H6" s="3440"/>
      <c r="I6" s="3439" t="s">
        <v>526</v>
      </c>
      <c r="J6" s="3440"/>
      <c r="K6" s="517" t="s">
        <v>527</v>
      </c>
      <c r="L6" s="2132"/>
      <c r="M6" s="2133"/>
      <c r="N6" s="2133"/>
      <c r="O6" s="2133"/>
      <c r="P6" s="3441" t="s">
        <v>528</v>
      </c>
      <c r="Q6" s="3442"/>
      <c r="R6" s="3427" t="s">
        <v>524</v>
      </c>
      <c r="S6" s="3428"/>
      <c r="T6" s="3427" t="s">
        <v>525</v>
      </c>
      <c r="U6" s="3428"/>
      <c r="V6" s="3447" t="s">
        <v>526</v>
      </c>
      <c r="W6" s="3447"/>
      <c r="X6" s="1566"/>
      <c r="Y6" s="3427" t="s">
        <v>528</v>
      </c>
      <c r="Z6" s="3428"/>
      <c r="AA6" s="3422" t="s">
        <v>524</v>
      </c>
      <c r="AB6" s="3423" t="s">
        <v>525</v>
      </c>
      <c r="AC6" s="3422" t="s">
        <v>526</v>
      </c>
    </row>
    <row r="7" spans="1:29" ht="15">
      <c r="A7" s="518"/>
      <c r="B7" s="519"/>
      <c r="C7" s="3467" t="s">
        <v>2919</v>
      </c>
      <c r="D7" s="3451"/>
      <c r="E7" s="3465" t="s">
        <v>2920</v>
      </c>
      <c r="F7" s="3466"/>
      <c r="G7" s="3467" t="s">
        <v>2921</v>
      </c>
      <c r="H7" s="3451"/>
      <c r="I7" s="3467" t="s">
        <v>2922</v>
      </c>
      <c r="J7" s="3451"/>
      <c r="K7" s="517"/>
      <c r="L7" s="2132"/>
      <c r="M7" s="2133"/>
      <c r="N7" s="2133"/>
      <c r="O7" s="2133"/>
      <c r="P7" s="3443"/>
      <c r="Q7" s="3444"/>
      <c r="R7" s="3429"/>
      <c r="S7" s="3430"/>
      <c r="T7" s="3429"/>
      <c r="U7" s="3430"/>
      <c r="V7" s="3447"/>
      <c r="W7" s="3447"/>
      <c r="X7" s="1566"/>
      <c r="Y7" s="3429"/>
      <c r="Z7" s="3430"/>
      <c r="AA7" s="3423"/>
      <c r="AB7" s="3423"/>
      <c r="AC7" s="3423"/>
    </row>
    <row r="8" spans="1:29" ht="15.75" thickBot="1">
      <c r="A8" s="520"/>
      <c r="B8" s="521"/>
      <c r="C8" s="3448" t="s">
        <v>2923</v>
      </c>
      <c r="D8" s="3449"/>
      <c r="E8" s="3468" t="s">
        <v>2923</v>
      </c>
      <c r="F8" s="3469"/>
      <c r="G8" s="3448" t="s">
        <v>2923</v>
      </c>
      <c r="H8" s="3449"/>
      <c r="I8" s="3448" t="s">
        <v>2923</v>
      </c>
      <c r="J8" s="3449"/>
      <c r="K8" s="517" t="s">
        <v>529</v>
      </c>
      <c r="L8" s="2132"/>
      <c r="M8" s="2133"/>
      <c r="N8" s="2133"/>
      <c r="O8" s="2133"/>
      <c r="P8" s="3445"/>
      <c r="Q8" s="3446"/>
      <c r="R8" s="3429"/>
      <c r="S8" s="3430"/>
      <c r="T8" s="3431"/>
      <c r="U8" s="3432"/>
      <c r="V8" s="3447"/>
      <c r="W8" s="3447"/>
      <c r="X8" s="1566"/>
      <c r="Y8" s="3431"/>
      <c r="Z8" s="3432"/>
      <c r="AA8" s="3424"/>
      <c r="AB8" s="3424"/>
      <c r="AC8" s="3424"/>
    </row>
    <row r="9" spans="1:29" s="1219" customFormat="1" ht="15.75" thickBot="1">
      <c r="A9" s="2934"/>
      <c r="B9" s="2941" t="s">
        <v>530</v>
      </c>
      <c r="C9" s="522">
        <f>'数据-取费表'!B2</f>
        <v>43031</v>
      </c>
      <c r="D9" s="523">
        <v>100</v>
      </c>
      <c r="E9" s="524"/>
      <c r="F9" s="525">
        <f>SUMIF(67:67,YEAR(E9)&amp;"-"&amp;INT((MONTH(E9)+2)/3),68:68)</f>
        <v>0</v>
      </c>
      <c r="G9" s="526"/>
      <c r="H9" s="523">
        <f>SUMIF(67:67,YEAR(G9)&amp;"-"&amp;INT((MONTH(G9)+2)/3),68:68)</f>
        <v>0</v>
      </c>
      <c r="I9" s="526"/>
      <c r="J9" s="523">
        <f>SUMIF(67:67,YEAR(I9)&amp;"-"&amp;INT((MONTH(I9)+2)/3),68:68)</f>
        <v>0</v>
      </c>
      <c r="K9" s="527"/>
      <c r="L9" s="2134"/>
      <c r="M9" s="2135"/>
      <c r="N9" s="2135"/>
      <c r="O9" s="2135"/>
      <c r="P9" s="3425" t="s">
        <v>531</v>
      </c>
      <c r="Q9" s="3434"/>
      <c r="R9" s="1567" t="s">
        <v>8</v>
      </c>
      <c r="S9" s="1568">
        <f t="shared" ref="S9:S17" si="0">F9</f>
        <v>0</v>
      </c>
      <c r="T9" s="1567" t="s">
        <v>8</v>
      </c>
      <c r="U9" s="1568">
        <f t="shared" ref="U9:U17" si="1">H9</f>
        <v>0</v>
      </c>
      <c r="V9" s="1567" t="s">
        <v>8</v>
      </c>
      <c r="W9" s="1568">
        <f t="shared" ref="W9:W17" si="2">J9</f>
        <v>0</v>
      </c>
      <c r="X9" s="1569"/>
      <c r="Y9" s="3425" t="s">
        <v>531</v>
      </c>
      <c r="Z9" s="3426"/>
      <c r="AA9" s="1570" t="e">
        <f>D9/F9</f>
        <v>#DIV/0!</v>
      </c>
      <c r="AB9" s="1570" t="e">
        <f>D9/H9</f>
        <v>#DIV/0!</v>
      </c>
      <c r="AC9" s="1570" t="e">
        <f>D9/J9</f>
        <v>#DIV/0!</v>
      </c>
    </row>
    <row r="10" spans="1:29" s="1219" customFormat="1" ht="15.75" thickBot="1">
      <c r="A10" s="2935"/>
      <c r="B10" s="294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4"/>
      <c r="M10" s="2135"/>
      <c r="N10" s="2135"/>
      <c r="O10" s="2135"/>
      <c r="P10" s="3425" t="s">
        <v>534</v>
      </c>
      <c r="Q10" s="3426"/>
      <c r="R10" s="1567" t="s">
        <v>8</v>
      </c>
      <c r="S10" s="1568">
        <f t="shared" si="0"/>
        <v>0</v>
      </c>
      <c r="T10" s="1567" t="s">
        <v>8</v>
      </c>
      <c r="U10" s="1568">
        <f t="shared" si="1"/>
        <v>0</v>
      </c>
      <c r="V10" s="1567" t="s">
        <v>8</v>
      </c>
      <c r="W10" s="1568">
        <f t="shared" si="2"/>
        <v>0</v>
      </c>
      <c r="X10" s="1569"/>
      <c r="Y10" s="3425" t="s">
        <v>534</v>
      </c>
      <c r="Z10" s="3426"/>
      <c r="AA10" s="1570" t="e">
        <f t="shared" ref="AA10:AA42" si="3">D10/F10</f>
        <v>#DIV/0!</v>
      </c>
      <c r="AB10" s="1570" t="e">
        <f t="shared" ref="AB10:AB42" si="4">D10/H10</f>
        <v>#DIV/0!</v>
      </c>
      <c r="AC10" s="1570" t="e">
        <f t="shared" ref="AC10:AC42" si="5">D10/J10</f>
        <v>#DIV/0!</v>
      </c>
    </row>
    <row r="11" spans="1:29" s="1219" customFormat="1" ht="15">
      <c r="A11" s="2936"/>
      <c r="B11" s="2943" t="s">
        <v>2762</v>
      </c>
      <c r="C11" s="529"/>
      <c r="D11" s="254">
        <v>100</v>
      </c>
      <c r="E11" s="529"/>
      <c r="F11" s="254">
        <f>SUMIF(72:72,E11,73:73)-SUMIF(72:72,C11,73:73)+100</f>
        <v>100</v>
      </c>
      <c r="G11" s="529"/>
      <c r="H11" s="254">
        <f>SUMIF(72:72,G11,73:73)-SUMIF(72:72,C11,73:73)+100</f>
        <v>100</v>
      </c>
      <c r="I11" s="529"/>
      <c r="J11" s="254">
        <f>SUMIF(72:72,I11,73:73)-SUMIF(72:72,C11,73:73)+100</f>
        <v>100</v>
      </c>
      <c r="K11" s="527"/>
      <c r="L11" s="2134"/>
      <c r="M11" s="2135"/>
      <c r="N11" s="2135"/>
      <c r="O11" s="2136"/>
      <c r="P11" s="3433" t="s">
        <v>536</v>
      </c>
      <c r="Q11" s="1150" t="str">
        <f t="shared" ref="Q11:Q17" si="6">B11</f>
        <v>用途</v>
      </c>
      <c r="R11" s="1567" t="s">
        <v>8</v>
      </c>
      <c r="S11" s="1568">
        <f t="shared" si="0"/>
        <v>100</v>
      </c>
      <c r="T11" s="1567" t="s">
        <v>8</v>
      </c>
      <c r="U11" s="1568">
        <f t="shared" si="1"/>
        <v>100</v>
      </c>
      <c r="V11" s="1567" t="s">
        <v>8</v>
      </c>
      <c r="W11" s="1568">
        <f t="shared" si="2"/>
        <v>100</v>
      </c>
      <c r="X11" s="1569"/>
      <c r="Y11" s="3388" t="s">
        <v>537</v>
      </c>
      <c r="Z11" s="1149" t="str">
        <f t="shared" ref="Z11:Z17" si="7">Q11</f>
        <v>用途</v>
      </c>
      <c r="AA11" s="1570">
        <f t="shared" si="3"/>
        <v>1</v>
      </c>
      <c r="AB11" s="1570">
        <f t="shared" si="4"/>
        <v>1</v>
      </c>
      <c r="AC11" s="1570">
        <f t="shared" si="5"/>
        <v>1</v>
      </c>
    </row>
    <row r="12" spans="1:29" s="1337" customFormat="1" ht="27">
      <c r="A12" s="2937"/>
      <c r="B12" s="2942" t="s">
        <v>2763</v>
      </c>
      <c r="C12" s="531"/>
      <c r="D12" s="255">
        <v>100</v>
      </c>
      <c r="E12" s="531"/>
      <c r="F12" s="255">
        <f>ROUND(100/'数据-取费表'!G16,0)</f>
        <v>100</v>
      </c>
      <c r="G12" s="531"/>
      <c r="H12" s="255">
        <f>ROUND(100/'数据-取费表'!G16,0)</f>
        <v>100</v>
      </c>
      <c r="I12" s="531"/>
      <c r="J12" s="255">
        <f>ROUND(100/'数据-取费表'!G16,0)</f>
        <v>100</v>
      </c>
      <c r="K12" s="532"/>
      <c r="L12" s="2137"/>
      <c r="M12" s="2177"/>
      <c r="N12" s="2177"/>
      <c r="O12" s="2138"/>
      <c r="P12" s="3433"/>
      <c r="Q12" s="1150" t="str">
        <f t="shared" si="6"/>
        <v>土地使用年限（年）</v>
      </c>
      <c r="R12" s="1567" t="s">
        <v>8</v>
      </c>
      <c r="S12" s="1568">
        <f t="shared" si="0"/>
        <v>100</v>
      </c>
      <c r="T12" s="1567" t="s">
        <v>8</v>
      </c>
      <c r="U12" s="1568">
        <f t="shared" si="1"/>
        <v>100</v>
      </c>
      <c r="V12" s="1567" t="s">
        <v>8</v>
      </c>
      <c r="W12" s="1568">
        <f t="shared" si="2"/>
        <v>100</v>
      </c>
      <c r="X12" s="1569"/>
      <c r="Y12" s="3388"/>
      <c r="Z12" s="1149" t="str">
        <f t="shared" si="7"/>
        <v>土地使用年限（年）</v>
      </c>
      <c r="AA12" s="1570">
        <f t="shared" si="3"/>
        <v>1</v>
      </c>
      <c r="AB12" s="1570">
        <f t="shared" si="4"/>
        <v>1</v>
      </c>
      <c r="AC12" s="1570">
        <f t="shared" si="5"/>
        <v>1</v>
      </c>
    </row>
    <row r="13" spans="1:29" ht="15">
      <c r="A13" s="2938"/>
      <c r="B13" s="2942" t="s">
        <v>2764</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39"/>
      <c r="M13" s="2133"/>
      <c r="N13" s="2133"/>
      <c r="O13" s="2140"/>
      <c r="P13" s="3433"/>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29" s="1219" customFormat="1" ht="15">
      <c r="A14" s="2939"/>
      <c r="B14" s="2945">
        <v>111</v>
      </c>
      <c r="C14" s="531"/>
      <c r="D14" s="539">
        <v>100</v>
      </c>
      <c r="E14" s="542"/>
      <c r="F14" s="255">
        <f>SUMIF(79:79,E14,80:80)-SUMIF(79:79,C14,80:80)+100</f>
        <v>100</v>
      </c>
      <c r="G14" s="543"/>
      <c r="H14" s="255">
        <f>SUMIF(79:79,G14,80:80)-SUMIF(79:79,C14,80:80)+100</f>
        <v>100</v>
      </c>
      <c r="I14" s="542"/>
      <c r="J14" s="255">
        <f>SUMIF(79:79,I14,80:80)-SUMIF(79:79,C14,80:80)+100</f>
        <v>100</v>
      </c>
      <c r="K14" s="532"/>
      <c r="L14" s="2134"/>
      <c r="M14" s="2135"/>
      <c r="N14" s="2135"/>
      <c r="O14" s="2136"/>
      <c r="P14" s="3433"/>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D14/F14</f>
        <v>1</v>
      </c>
      <c r="AB14" s="1570">
        <f>D14/H14</f>
        <v>1</v>
      </c>
      <c r="AC14" s="1570">
        <f>D14/J14</f>
        <v>1</v>
      </c>
    </row>
    <row r="15" spans="1:29" ht="15">
      <c r="A15" s="2939"/>
      <c r="B15" s="2945">
        <v>111</v>
      </c>
      <c r="C15" s="540"/>
      <c r="D15" s="541">
        <v>100</v>
      </c>
      <c r="E15" s="542"/>
      <c r="F15" s="255">
        <f>SUMIF(81:81,E15,82:82)-SUMIF(81:81,C15,82:82)+100</f>
        <v>100</v>
      </c>
      <c r="G15" s="543"/>
      <c r="H15" s="541">
        <f>SUMIF(81:81,G15,82:82)-SUMIF(81:81,C15,82:82)+100</f>
        <v>100</v>
      </c>
      <c r="I15" s="542"/>
      <c r="J15" s="541">
        <f>SUMIF(81:81,I15,82:82)-SUMIF(81:81,C15,82:82)+100</f>
        <v>100</v>
      </c>
      <c r="K15" s="532"/>
      <c r="L15" s="2141"/>
      <c r="M15" s="2133"/>
      <c r="N15" s="2133"/>
      <c r="O15" s="2140"/>
      <c r="P15" s="3433"/>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 t="shared" si="3"/>
        <v>1</v>
      </c>
      <c r="AB15" s="1570">
        <f t="shared" si="4"/>
        <v>1</v>
      </c>
      <c r="AC15" s="1570">
        <f t="shared" si="5"/>
        <v>1</v>
      </c>
    </row>
    <row r="16" spans="1:29" ht="15.75" thickBot="1">
      <c r="A16" s="2940"/>
      <c r="B16" s="2946">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433"/>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 t="shared" si="3"/>
        <v>1</v>
      </c>
      <c r="AB16" s="1570">
        <f t="shared" si="4"/>
        <v>1</v>
      </c>
      <c r="AC16" s="1570">
        <f t="shared" si="5"/>
        <v>1</v>
      </c>
    </row>
    <row r="17" spans="1:29" ht="15">
      <c r="A17" s="2932" t="s">
        <v>2760</v>
      </c>
      <c r="B17" s="166" t="s">
        <v>599</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35" t="s">
        <v>541</v>
      </c>
      <c r="Q17" s="1571" t="str">
        <f t="shared" si="6"/>
        <v>产业集聚程度</v>
      </c>
      <c r="R17" s="1572" t="s">
        <v>8</v>
      </c>
      <c r="S17" s="1573">
        <f t="shared" si="0"/>
        <v>100</v>
      </c>
      <c r="T17" s="1572" t="s">
        <v>8</v>
      </c>
      <c r="U17" s="1573">
        <f t="shared" si="1"/>
        <v>100</v>
      </c>
      <c r="V17" s="1572" t="s">
        <v>8</v>
      </c>
      <c r="W17" s="1573">
        <f t="shared" si="2"/>
        <v>100</v>
      </c>
      <c r="X17" s="1566"/>
      <c r="Y17" s="3435" t="s">
        <v>541</v>
      </c>
      <c r="Z17" s="1574" t="str">
        <f t="shared" si="7"/>
        <v>产业集聚程度</v>
      </c>
      <c r="AA17" s="1575">
        <f t="shared" si="3"/>
        <v>1</v>
      </c>
      <c r="AB17" s="1575">
        <f t="shared" si="4"/>
        <v>1</v>
      </c>
      <c r="AC17" s="1575">
        <f t="shared" si="5"/>
        <v>1</v>
      </c>
    </row>
    <row r="18" spans="1:29" ht="15">
      <c r="A18" s="533"/>
      <c r="B18" s="870"/>
      <c r="C18" s="577"/>
      <c r="D18" s="556"/>
      <c r="E18" s="555"/>
      <c r="F18" s="556"/>
      <c r="G18" s="555"/>
      <c r="H18" s="560"/>
      <c r="I18" s="555"/>
      <c r="J18" s="556"/>
      <c r="K18" s="532"/>
      <c r="L18" s="2141"/>
      <c r="M18" s="2133"/>
      <c r="N18" s="2133"/>
      <c r="O18" s="2140"/>
      <c r="P18" s="3436"/>
      <c r="Q18" s="1571"/>
      <c r="R18" s="1572"/>
      <c r="S18" s="1573"/>
      <c r="T18" s="1572"/>
      <c r="U18" s="1573"/>
      <c r="V18" s="1572"/>
      <c r="W18" s="1573"/>
      <c r="X18" s="1566"/>
      <c r="Y18" s="3436"/>
      <c r="Z18" s="1574"/>
      <c r="AA18" s="1575">
        <v>1</v>
      </c>
      <c r="AB18" s="1575">
        <v>1</v>
      </c>
      <c r="AC18" s="1575">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36"/>
      <c r="Q19" s="1571" t="str">
        <f>B19</f>
        <v>交通便捷度</v>
      </c>
      <c r="R19" s="1572" t="s">
        <v>8</v>
      </c>
      <c r="S19" s="1573">
        <f>F19</f>
        <v>100</v>
      </c>
      <c r="T19" s="1572" t="s">
        <v>8</v>
      </c>
      <c r="U19" s="1573">
        <f>H19</f>
        <v>100</v>
      </c>
      <c r="V19" s="1572" t="s">
        <v>8</v>
      </c>
      <c r="W19" s="1573">
        <f>J19</f>
        <v>100</v>
      </c>
      <c r="X19" s="1566"/>
      <c r="Y19" s="3436"/>
      <c r="Z19" s="1574" t="str">
        <f>Q19</f>
        <v>交通便捷度</v>
      </c>
      <c r="AA19" s="1575">
        <f t="shared" si="3"/>
        <v>1</v>
      </c>
      <c r="AB19" s="1575">
        <f t="shared" si="4"/>
        <v>1</v>
      </c>
      <c r="AC19" s="1575">
        <f t="shared" si="5"/>
        <v>1</v>
      </c>
    </row>
    <row r="20" spans="1:29" ht="15">
      <c r="A20" s="533"/>
      <c r="B20" s="923"/>
      <c r="C20" s="577"/>
      <c r="D20" s="556"/>
      <c r="E20" s="557"/>
      <c r="F20" s="556"/>
      <c r="G20" s="557"/>
      <c r="H20" s="556"/>
      <c r="I20" s="559"/>
      <c r="J20" s="556"/>
      <c r="K20" s="532"/>
      <c r="L20" s="2141"/>
      <c r="M20" s="2133"/>
      <c r="N20" s="2133"/>
      <c r="O20" s="2140"/>
      <c r="P20" s="3436"/>
      <c r="Q20" s="1571"/>
      <c r="R20" s="1572"/>
      <c r="S20" s="1573"/>
      <c r="T20" s="1572"/>
      <c r="U20" s="1573"/>
      <c r="V20" s="1572"/>
      <c r="W20" s="1573"/>
      <c r="X20" s="1566"/>
      <c r="Y20" s="3436"/>
      <c r="Z20" s="1574"/>
      <c r="AA20" s="1575">
        <v>1</v>
      </c>
      <c r="AB20" s="1575">
        <v>1</v>
      </c>
      <c r="AC20" s="1575">
        <v>1</v>
      </c>
    </row>
    <row r="21" spans="1:29" ht="27">
      <c r="A21" s="518"/>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1"/>
      <c r="M21" s="2133"/>
      <c r="N21" s="2133"/>
      <c r="O21" s="2140"/>
      <c r="P21" s="3436"/>
      <c r="Q21" s="1571" t="str">
        <f t="shared" ref="Q21:Q35" si="8">B21</f>
        <v>区域土地利用方向</v>
      </c>
      <c r="R21" s="1572" t="s">
        <v>8</v>
      </c>
      <c r="S21" s="1573">
        <f>F21</f>
        <v>100</v>
      </c>
      <c r="T21" s="1572" t="s">
        <v>8</v>
      </c>
      <c r="U21" s="1573">
        <f>H21</f>
        <v>100</v>
      </c>
      <c r="V21" s="1572" t="s">
        <v>8</v>
      </c>
      <c r="W21" s="1573">
        <f>J21</f>
        <v>100</v>
      </c>
      <c r="X21" s="1566"/>
      <c r="Y21" s="3436"/>
      <c r="Z21" s="1574" t="str">
        <f>Q21</f>
        <v>区域土地利用方向</v>
      </c>
      <c r="AA21" s="1575">
        <f t="shared" si="3"/>
        <v>1</v>
      </c>
      <c r="AB21" s="1575">
        <f t="shared" si="4"/>
        <v>1</v>
      </c>
      <c r="AC21" s="1575">
        <f t="shared" si="5"/>
        <v>1</v>
      </c>
    </row>
    <row r="22" spans="1:29" ht="15">
      <c r="A22" s="518"/>
      <c r="B22" s="596"/>
      <c r="C22" s="577"/>
      <c r="D22" s="556"/>
      <c r="E22" s="557"/>
      <c r="F22" s="558"/>
      <c r="G22" s="559"/>
      <c r="H22" s="558"/>
      <c r="I22" s="559"/>
      <c r="J22" s="558"/>
      <c r="K22" s="1347"/>
      <c r="L22" s="2141"/>
      <c r="M22" s="2133"/>
      <c r="N22" s="2133"/>
      <c r="O22" s="2140"/>
      <c r="P22" s="3436"/>
      <c r="Q22" s="1571"/>
      <c r="R22" s="1572"/>
      <c r="S22" s="1573"/>
      <c r="T22" s="1572"/>
      <c r="U22" s="1573"/>
      <c r="V22" s="1572"/>
      <c r="W22" s="1573"/>
      <c r="X22" s="1566"/>
      <c r="Y22" s="3436"/>
      <c r="Z22" s="1574"/>
      <c r="AA22" s="1575"/>
      <c r="AB22" s="1575"/>
      <c r="AC22" s="1575"/>
    </row>
    <row r="23" spans="1:29" ht="15">
      <c r="A23" s="518"/>
      <c r="B23" s="923"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36"/>
      <c r="Q23" s="1571" t="str">
        <f t="shared" si="8"/>
        <v>环境状况</v>
      </c>
      <c r="R23" s="1572" t="s">
        <v>8</v>
      </c>
      <c r="S23" s="1573">
        <f>F23</f>
        <v>100</v>
      </c>
      <c r="T23" s="1572" t="s">
        <v>8</v>
      </c>
      <c r="U23" s="1573">
        <f>H23</f>
        <v>100</v>
      </c>
      <c r="V23" s="1572" t="s">
        <v>8</v>
      </c>
      <c r="W23" s="1573">
        <f>J23</f>
        <v>100</v>
      </c>
      <c r="X23" s="1566"/>
      <c r="Y23" s="3436"/>
      <c r="Z23" s="1574" t="str">
        <f>Q23</f>
        <v>环境状况</v>
      </c>
      <c r="AA23" s="1575">
        <f t="shared" si="3"/>
        <v>1</v>
      </c>
      <c r="AB23" s="1575">
        <f t="shared" si="4"/>
        <v>1</v>
      </c>
      <c r="AC23" s="1575">
        <f t="shared" si="5"/>
        <v>1</v>
      </c>
    </row>
    <row r="24" spans="1:29" ht="15">
      <c r="A24" s="518"/>
      <c r="B24" s="596"/>
      <c r="C24" s="577"/>
      <c r="D24" s="556"/>
      <c r="E24" s="555"/>
      <c r="F24" s="556"/>
      <c r="G24" s="555"/>
      <c r="H24" s="556"/>
      <c r="I24" s="577"/>
      <c r="J24" s="556"/>
      <c r="K24" s="532"/>
      <c r="L24" s="2141"/>
      <c r="M24" s="2133"/>
      <c r="N24" s="2133"/>
      <c r="O24" s="2140"/>
      <c r="P24" s="3436"/>
      <c r="Q24" s="1571"/>
      <c r="R24" s="1572"/>
      <c r="S24" s="1573"/>
      <c r="T24" s="1572"/>
      <c r="U24" s="1573"/>
      <c r="V24" s="1572"/>
      <c r="W24" s="1573"/>
      <c r="X24" s="1566"/>
      <c r="Y24" s="3436"/>
      <c r="Z24" s="1574"/>
      <c r="AA24" s="1575">
        <v>1</v>
      </c>
      <c r="AB24" s="1575">
        <v>1</v>
      </c>
      <c r="AC24" s="1575">
        <v>1</v>
      </c>
    </row>
    <row r="25" spans="1:29" s="1219" customFormat="1" ht="15">
      <c r="A25" s="578"/>
      <c r="B25" s="2614" t="s">
        <v>2552</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36"/>
      <c r="Q25" s="1150" t="str">
        <f t="shared" si="8"/>
        <v>公共配套设施</v>
      </c>
      <c r="R25" s="1567" t="s">
        <v>8</v>
      </c>
      <c r="S25" s="1568">
        <f>F25</f>
        <v>100</v>
      </c>
      <c r="T25" s="1567" t="s">
        <v>8</v>
      </c>
      <c r="U25" s="1568">
        <f>H25</f>
        <v>100</v>
      </c>
      <c r="V25" s="1567" t="s">
        <v>8</v>
      </c>
      <c r="W25" s="1568">
        <f>J25</f>
        <v>100</v>
      </c>
      <c r="X25" s="1569"/>
      <c r="Y25" s="3436"/>
      <c r="Z25" s="1149" t="str">
        <f>Q25</f>
        <v>公共配套设施</v>
      </c>
      <c r="AA25" s="1575">
        <f>D25/F25</f>
        <v>1</v>
      </c>
      <c r="AB25" s="1575">
        <f>D25/H25</f>
        <v>1</v>
      </c>
      <c r="AC25" s="1575">
        <f>D25/J25</f>
        <v>1</v>
      </c>
    </row>
    <row r="26" spans="1:29" s="1219" customFormat="1" ht="15">
      <c r="A26" s="578"/>
      <c r="B26" s="596"/>
      <c r="C26" s="2613"/>
      <c r="D26" s="556"/>
      <c r="E26" s="555"/>
      <c r="F26" s="556"/>
      <c r="G26" s="555"/>
      <c r="H26" s="556"/>
      <c r="I26" s="577"/>
      <c r="J26" s="556"/>
      <c r="K26" s="532"/>
      <c r="L26" s="2134"/>
      <c r="M26" s="2135"/>
      <c r="N26" s="2135"/>
      <c r="O26" s="2136"/>
      <c r="P26" s="3436"/>
      <c r="Q26" s="1150"/>
      <c r="R26" s="1567"/>
      <c r="S26" s="1568"/>
      <c r="T26" s="1567"/>
      <c r="U26" s="1568"/>
      <c r="V26" s="1567"/>
      <c r="W26" s="1568"/>
      <c r="X26" s="1569"/>
      <c r="Y26" s="3436"/>
      <c r="Z26" s="1149"/>
      <c r="AA26" s="1570">
        <v>1</v>
      </c>
      <c r="AB26" s="1570">
        <v>1</v>
      </c>
      <c r="AC26" s="1570">
        <v>1</v>
      </c>
    </row>
    <row r="27" spans="1:29" s="1219" customFormat="1" ht="15">
      <c r="A27" s="578"/>
      <c r="B27" s="2614" t="s">
        <v>2553</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36"/>
      <c r="Q27" s="2599" t="str">
        <f t="shared" ref="Q27" si="9">B27</f>
        <v>基础设施水平</v>
      </c>
      <c r="R27" s="1567" t="s">
        <v>8</v>
      </c>
      <c r="S27" s="1568">
        <f>F27</f>
        <v>100</v>
      </c>
      <c r="T27" s="1567" t="s">
        <v>8</v>
      </c>
      <c r="U27" s="1568">
        <f>H27</f>
        <v>100</v>
      </c>
      <c r="V27" s="1567" t="s">
        <v>8</v>
      </c>
      <c r="W27" s="1568">
        <f>J27</f>
        <v>100</v>
      </c>
      <c r="X27" s="1569"/>
      <c r="Y27" s="3436"/>
      <c r="Z27" s="2596" t="str">
        <f>Q27</f>
        <v>基础设施水平</v>
      </c>
      <c r="AA27" s="1575">
        <f>D27/F27</f>
        <v>1</v>
      </c>
      <c r="AB27" s="1575">
        <f>D27/H27</f>
        <v>1</v>
      </c>
      <c r="AC27" s="1575">
        <f>D27/J27</f>
        <v>1</v>
      </c>
    </row>
    <row r="28" spans="1:29" s="1219" customFormat="1" ht="15">
      <c r="A28" s="578"/>
      <c r="B28" s="596"/>
      <c r="C28" s="2613"/>
      <c r="D28" s="556"/>
      <c r="E28" s="580"/>
      <c r="F28" s="556"/>
      <c r="G28" s="580"/>
      <c r="H28" s="556"/>
      <c r="I28" s="580"/>
      <c r="J28" s="556"/>
      <c r="K28" s="532"/>
      <c r="L28" s="2134"/>
      <c r="M28" s="2135"/>
      <c r="N28" s="2135"/>
      <c r="O28" s="2136"/>
      <c r="P28" s="3436"/>
      <c r="Q28" s="2599"/>
      <c r="R28" s="1567"/>
      <c r="S28" s="1568"/>
      <c r="T28" s="1567"/>
      <c r="U28" s="1568"/>
      <c r="V28" s="1567"/>
      <c r="W28" s="1568"/>
      <c r="X28" s="1569"/>
      <c r="Y28" s="3436"/>
      <c r="Z28" s="2596"/>
      <c r="AA28" s="1570">
        <v>1</v>
      </c>
      <c r="AB28" s="1570">
        <v>1</v>
      </c>
      <c r="AC28" s="1570">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3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6"/>
      <c r="Z29" s="1574" t="str">
        <f t="shared" ref="Z29:Z42" si="13">Q29</f>
        <v>临街状况</v>
      </c>
      <c r="AA29" s="1575">
        <f t="shared" si="3"/>
        <v>1</v>
      </c>
      <c r="AB29" s="1575">
        <f t="shared" si="4"/>
        <v>1</v>
      </c>
      <c r="AC29" s="1575">
        <f t="shared" si="5"/>
        <v>1</v>
      </c>
    </row>
    <row r="30" spans="1:29" ht="27">
      <c r="A30" s="533"/>
      <c r="B30" s="923" t="s">
        <v>549</v>
      </c>
      <c r="C30" s="261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36"/>
      <c r="Q30" s="1571" t="str">
        <f t="shared" si="8"/>
        <v>毗邻道路的类型与等级</v>
      </c>
      <c r="R30" s="1572" t="s">
        <v>8</v>
      </c>
      <c r="S30" s="1573">
        <f t="shared" si="10"/>
        <v>100</v>
      </c>
      <c r="T30" s="1572" t="s">
        <v>8</v>
      </c>
      <c r="U30" s="1573">
        <f t="shared" si="11"/>
        <v>100</v>
      </c>
      <c r="V30" s="1572" t="s">
        <v>8</v>
      </c>
      <c r="W30" s="1573">
        <f t="shared" si="12"/>
        <v>100</v>
      </c>
      <c r="X30" s="1566"/>
      <c r="Y30" s="3436"/>
      <c r="Z30" s="1574" t="str">
        <f t="shared" si="13"/>
        <v>毗邻道路的类型与等级</v>
      </c>
      <c r="AA30" s="1575">
        <f t="shared" si="3"/>
        <v>1</v>
      </c>
      <c r="AB30" s="1575">
        <f t="shared" si="4"/>
        <v>1</v>
      </c>
      <c r="AC30" s="1575">
        <f t="shared" si="5"/>
        <v>1</v>
      </c>
    </row>
    <row r="31" spans="1:29" ht="15">
      <c r="A31" s="533"/>
      <c r="B31" s="596"/>
      <c r="C31" s="577"/>
      <c r="D31" s="556"/>
      <c r="E31" s="555"/>
      <c r="F31" s="556"/>
      <c r="G31" s="555"/>
      <c r="H31" s="556"/>
      <c r="I31" s="577"/>
      <c r="J31" s="556"/>
      <c r="K31" s="582"/>
      <c r="L31" s="2141"/>
      <c r="M31" s="2133"/>
      <c r="N31" s="2133"/>
      <c r="O31" s="2140"/>
      <c r="P31" s="3436"/>
      <c r="Q31" s="1571"/>
      <c r="R31" s="1572"/>
      <c r="S31" s="1573"/>
      <c r="T31" s="1572"/>
      <c r="U31" s="1573"/>
      <c r="V31" s="1572"/>
      <c r="W31" s="1573"/>
      <c r="X31" s="1566"/>
      <c r="Y31" s="3436"/>
      <c r="Z31" s="1574"/>
      <c r="AA31" s="1575">
        <v>1</v>
      </c>
      <c r="AB31" s="1575">
        <v>1</v>
      </c>
      <c r="AC31" s="1575">
        <v>1</v>
      </c>
    </row>
    <row r="32" spans="1:29" ht="15">
      <c r="A32" s="533"/>
      <c r="B32" s="530" t="s">
        <v>550</v>
      </c>
      <c r="C32" s="261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36"/>
      <c r="Q32" s="1571" t="str">
        <f t="shared" si="8"/>
        <v>土地级别</v>
      </c>
      <c r="R32" s="1572" t="s">
        <v>8</v>
      </c>
      <c r="S32" s="1573">
        <f t="shared" si="10"/>
        <v>100</v>
      </c>
      <c r="T32" s="1572" t="s">
        <v>8</v>
      </c>
      <c r="U32" s="1573">
        <f t="shared" si="11"/>
        <v>100</v>
      </c>
      <c r="V32" s="1572" t="s">
        <v>8</v>
      </c>
      <c r="W32" s="1573">
        <f t="shared" si="12"/>
        <v>100</v>
      </c>
      <c r="X32" s="1566"/>
      <c r="Y32" s="3436"/>
      <c r="Z32" s="1574" t="str">
        <f t="shared" si="13"/>
        <v>土地级别</v>
      </c>
      <c r="AA32" s="1575">
        <f t="shared" si="3"/>
        <v>1</v>
      </c>
      <c r="AB32" s="1575">
        <f t="shared" si="4"/>
        <v>1</v>
      </c>
      <c r="AC32" s="1575">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36"/>
      <c r="Q33" s="1571">
        <f t="shared" si="8"/>
        <v>111</v>
      </c>
      <c r="R33" s="1572" t="s">
        <v>8</v>
      </c>
      <c r="S33" s="1573">
        <f t="shared" si="10"/>
        <v>100</v>
      </c>
      <c r="T33" s="1572" t="s">
        <v>8</v>
      </c>
      <c r="U33" s="1573">
        <f t="shared" si="11"/>
        <v>100</v>
      </c>
      <c r="V33" s="1572" t="s">
        <v>8</v>
      </c>
      <c r="W33" s="1573">
        <f t="shared" si="12"/>
        <v>100</v>
      </c>
      <c r="X33" s="1566"/>
      <c r="Y33" s="3436"/>
      <c r="Z33" s="1574">
        <f t="shared" si="13"/>
        <v>111</v>
      </c>
      <c r="AA33" s="1575">
        <f t="shared" si="3"/>
        <v>1</v>
      </c>
      <c r="AB33" s="1575">
        <f t="shared" si="4"/>
        <v>1</v>
      </c>
      <c r="AC33" s="1575">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37" t="s">
        <v>551</v>
      </c>
      <c r="Q34" s="1571">
        <f t="shared" si="8"/>
        <v>111</v>
      </c>
      <c r="R34" s="1572" t="s">
        <v>8</v>
      </c>
      <c r="S34" s="1573">
        <f t="shared" si="10"/>
        <v>100</v>
      </c>
      <c r="T34" s="1572" t="s">
        <v>8</v>
      </c>
      <c r="U34" s="1573">
        <f t="shared" si="11"/>
        <v>100</v>
      </c>
      <c r="V34" s="1572" t="s">
        <v>8</v>
      </c>
      <c r="W34" s="1573">
        <f t="shared" si="12"/>
        <v>100</v>
      </c>
      <c r="X34" s="1566"/>
      <c r="Y34" s="3438" t="s">
        <v>551</v>
      </c>
      <c r="Z34" s="1574">
        <f t="shared" si="13"/>
        <v>111</v>
      </c>
      <c r="AA34" s="1575">
        <f t="shared" si="3"/>
        <v>1</v>
      </c>
      <c r="AB34" s="1575">
        <f t="shared" si="4"/>
        <v>1</v>
      </c>
      <c r="AC34" s="1575">
        <f t="shared" si="5"/>
        <v>1</v>
      </c>
    </row>
    <row r="35" spans="1:29" s="1338" customFormat="1" ht="15.75" thickBot="1">
      <c r="A35" s="590"/>
      <c r="B35" s="2615">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38"/>
      <c r="Q35" s="1571">
        <f t="shared" si="8"/>
        <v>111</v>
      </c>
      <c r="R35" s="1576" t="s">
        <v>8</v>
      </c>
      <c r="S35" s="1577">
        <f t="shared" si="10"/>
        <v>100</v>
      </c>
      <c r="T35" s="1576" t="s">
        <v>8</v>
      </c>
      <c r="U35" s="1577">
        <f t="shared" si="11"/>
        <v>100</v>
      </c>
      <c r="V35" s="1576" t="s">
        <v>8</v>
      </c>
      <c r="W35" s="1577">
        <f t="shared" si="12"/>
        <v>100</v>
      </c>
      <c r="X35" s="1578"/>
      <c r="Y35" s="3438"/>
      <c r="Z35" s="1579">
        <f t="shared" si="13"/>
        <v>111</v>
      </c>
      <c r="AA35" s="1575">
        <f t="shared" si="3"/>
        <v>1</v>
      </c>
      <c r="AB35" s="1575">
        <f t="shared" si="4"/>
        <v>1</v>
      </c>
      <c r="AC35" s="1575">
        <f t="shared" si="5"/>
        <v>1</v>
      </c>
    </row>
    <row r="36" spans="1:29" ht="15">
      <c r="A36" s="2930"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38"/>
      <c r="Q36" s="1571" t="str">
        <f>B36</f>
        <v>宗地面积</v>
      </c>
      <c r="R36" s="1572" t="s">
        <v>8</v>
      </c>
      <c r="S36" s="1573" t="e">
        <f t="shared" si="10"/>
        <v>#N/A</v>
      </c>
      <c r="T36" s="1572" t="s">
        <v>8</v>
      </c>
      <c r="U36" s="1573" t="e">
        <f t="shared" si="11"/>
        <v>#N/A</v>
      </c>
      <c r="V36" s="1572" t="s">
        <v>8</v>
      </c>
      <c r="W36" s="1573" t="e">
        <f t="shared" si="12"/>
        <v>#N/A</v>
      </c>
      <c r="X36" s="1566"/>
      <c r="Y36" s="3438"/>
      <c r="Z36" s="1574" t="str">
        <f t="shared" si="13"/>
        <v>宗地面积</v>
      </c>
      <c r="AA36" s="1575" t="e">
        <f t="shared" si="3"/>
        <v>#N/A</v>
      </c>
      <c r="AB36" s="1575" t="e">
        <f t="shared" si="4"/>
        <v>#N/A</v>
      </c>
      <c r="AC36" s="1575" t="e">
        <f t="shared" si="5"/>
        <v>#N/A</v>
      </c>
    </row>
    <row r="37" spans="1:29" ht="15">
      <c r="A37" s="595"/>
      <c r="B37" s="530"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38"/>
      <c r="Q37" s="1571" t="str">
        <f t="shared" ref="Q37:Q42" si="14">B37</f>
        <v>宗地形状</v>
      </c>
      <c r="R37" s="1572" t="s">
        <v>8</v>
      </c>
      <c r="S37" s="1573">
        <f t="shared" si="10"/>
        <v>100</v>
      </c>
      <c r="T37" s="1572" t="s">
        <v>8</v>
      </c>
      <c r="U37" s="1573">
        <f t="shared" si="11"/>
        <v>100</v>
      </c>
      <c r="V37" s="1572" t="s">
        <v>8</v>
      </c>
      <c r="W37" s="1573">
        <f t="shared" si="12"/>
        <v>100</v>
      </c>
      <c r="X37" s="1566"/>
      <c r="Y37" s="3438"/>
      <c r="Z37" s="1574" t="str">
        <f t="shared" si="13"/>
        <v>宗地形状</v>
      </c>
      <c r="AA37" s="1575">
        <f t="shared" si="3"/>
        <v>1</v>
      </c>
      <c r="AB37" s="1575">
        <f t="shared" si="4"/>
        <v>1</v>
      </c>
      <c r="AC37" s="1575">
        <f t="shared" si="5"/>
        <v>1</v>
      </c>
    </row>
    <row r="38" spans="1:29" s="1219" customFormat="1" ht="15">
      <c r="A38" s="601"/>
      <c r="B38" s="1895" t="s">
        <v>2426</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38"/>
      <c r="Q38" s="1571" t="str">
        <f t="shared" si="14"/>
        <v>宗地开发程度</v>
      </c>
      <c r="R38" s="1567" t="s">
        <v>8</v>
      </c>
      <c r="S38" s="1568">
        <f t="shared" si="10"/>
        <v>100</v>
      </c>
      <c r="T38" s="1567" t="s">
        <v>8</v>
      </c>
      <c r="U38" s="1568">
        <f t="shared" si="11"/>
        <v>100</v>
      </c>
      <c r="V38" s="1567" t="s">
        <v>8</v>
      </c>
      <c r="W38" s="1568">
        <f t="shared" si="12"/>
        <v>100</v>
      </c>
      <c r="X38" s="1569"/>
      <c r="Y38" s="3438"/>
      <c r="Z38" s="1149" t="str">
        <f t="shared" si="13"/>
        <v>宗地开发程度</v>
      </c>
      <c r="AA38" s="1570">
        <f t="shared" si="3"/>
        <v>1</v>
      </c>
      <c r="AB38" s="1570">
        <f t="shared" si="4"/>
        <v>1</v>
      </c>
      <c r="AC38" s="1570">
        <f t="shared" si="5"/>
        <v>1</v>
      </c>
    </row>
    <row r="39" spans="1:29" ht="15">
      <c r="A39" s="595"/>
      <c r="B39" s="530"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38" t="s">
        <v>602</v>
      </c>
      <c r="Q39" s="1571" t="str">
        <f t="shared" si="14"/>
        <v>工程地质条件</v>
      </c>
      <c r="R39" s="1572" t="s">
        <v>8</v>
      </c>
      <c r="S39" s="1573">
        <f t="shared" si="10"/>
        <v>100</v>
      </c>
      <c r="T39" s="1572" t="s">
        <v>8</v>
      </c>
      <c r="U39" s="1573">
        <f t="shared" si="11"/>
        <v>100</v>
      </c>
      <c r="V39" s="1572" t="s">
        <v>8</v>
      </c>
      <c r="W39" s="1573">
        <f t="shared" si="12"/>
        <v>100</v>
      </c>
      <c r="X39" s="1566"/>
      <c r="Y39" s="3438" t="s">
        <v>602</v>
      </c>
      <c r="Z39" s="1574" t="str">
        <f t="shared" si="13"/>
        <v>工程地质条件</v>
      </c>
      <c r="AA39" s="1575">
        <f t="shared" si="3"/>
        <v>1</v>
      </c>
      <c r="AB39" s="1575">
        <f t="shared" si="4"/>
        <v>1</v>
      </c>
      <c r="AC39" s="1575">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38"/>
      <c r="Q40" s="1571">
        <f t="shared" si="14"/>
        <v>111</v>
      </c>
      <c r="R40" s="1572" t="s">
        <v>8</v>
      </c>
      <c r="S40" s="1573">
        <f t="shared" si="10"/>
        <v>100</v>
      </c>
      <c r="T40" s="1572" t="s">
        <v>8</v>
      </c>
      <c r="U40" s="1573">
        <f t="shared" si="11"/>
        <v>100</v>
      </c>
      <c r="V40" s="1572" t="s">
        <v>8</v>
      </c>
      <c r="W40" s="1573">
        <f t="shared" si="12"/>
        <v>100</v>
      </c>
      <c r="X40" s="1566"/>
      <c r="Y40" s="3438"/>
      <c r="Z40" s="1574">
        <f t="shared" si="13"/>
        <v>111</v>
      </c>
      <c r="AA40" s="1575">
        <f t="shared" si="3"/>
        <v>1</v>
      </c>
      <c r="AB40" s="1575">
        <f t="shared" si="4"/>
        <v>1</v>
      </c>
      <c r="AC40" s="1575">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38"/>
      <c r="Q41" s="1571">
        <f t="shared" si="14"/>
        <v>111</v>
      </c>
      <c r="R41" s="1572" t="s">
        <v>8</v>
      </c>
      <c r="S41" s="1573">
        <f t="shared" si="10"/>
        <v>100</v>
      </c>
      <c r="T41" s="1572" t="s">
        <v>8</v>
      </c>
      <c r="U41" s="1573">
        <f t="shared" si="11"/>
        <v>100</v>
      </c>
      <c r="V41" s="1572" t="s">
        <v>8</v>
      </c>
      <c r="W41" s="1573">
        <f t="shared" si="12"/>
        <v>100</v>
      </c>
      <c r="X41" s="1566"/>
      <c r="Y41" s="3438"/>
      <c r="Z41" s="1574">
        <f t="shared" si="13"/>
        <v>111</v>
      </c>
      <c r="AA41" s="1575">
        <f t="shared" si="3"/>
        <v>1</v>
      </c>
      <c r="AB41" s="1575">
        <f t="shared" si="4"/>
        <v>1</v>
      </c>
      <c r="AC41" s="1575">
        <f t="shared" si="5"/>
        <v>1</v>
      </c>
    </row>
    <row r="42" spans="1:29" s="1338"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38"/>
      <c r="Q42" s="1571">
        <f t="shared" si="14"/>
        <v>111</v>
      </c>
      <c r="R42" s="1576" t="s">
        <v>8</v>
      </c>
      <c r="S42" s="1577">
        <f t="shared" si="10"/>
        <v>100</v>
      </c>
      <c r="T42" s="1576" t="s">
        <v>8</v>
      </c>
      <c r="U42" s="1577">
        <f t="shared" si="11"/>
        <v>100</v>
      </c>
      <c r="V42" s="1576" t="s">
        <v>8</v>
      </c>
      <c r="W42" s="1577">
        <f t="shared" si="12"/>
        <v>100</v>
      </c>
      <c r="X42" s="1578"/>
      <c r="Y42" s="3438"/>
      <c r="Z42" s="1579">
        <f t="shared" si="13"/>
        <v>111</v>
      </c>
      <c r="AA42" s="1575">
        <f t="shared" si="3"/>
        <v>1</v>
      </c>
      <c r="AB42" s="1575">
        <f t="shared" si="4"/>
        <v>1</v>
      </c>
      <c r="AC42" s="1575">
        <f t="shared" si="5"/>
        <v>1</v>
      </c>
    </row>
    <row r="43" spans="1:29" ht="15">
      <c r="A43" s="608" t="s">
        <v>557</v>
      </c>
      <c r="B43" s="609" t="s">
        <v>2924</v>
      </c>
      <c r="C43" s="610" t="s">
        <v>1</v>
      </c>
      <c r="D43" s="611"/>
      <c r="E43" s="612"/>
      <c r="F43" s="613"/>
      <c r="G43" s="614"/>
      <c r="H43" s="615"/>
      <c r="I43" s="612"/>
      <c r="J43" s="615"/>
      <c r="K43" s="1339"/>
      <c r="L43" s="2143"/>
      <c r="M43" s="2133"/>
      <c r="N43" s="2133"/>
      <c r="O43" s="2144"/>
      <c r="P43" s="3433" t="str">
        <f>A43</f>
        <v>成交单价</v>
      </c>
      <c r="Q43" s="3433"/>
      <c r="R43" s="3447">
        <f>E43</f>
        <v>0</v>
      </c>
      <c r="S43" s="3447"/>
      <c r="T43" s="3447">
        <f>G43</f>
        <v>0</v>
      </c>
      <c r="U43" s="3447"/>
      <c r="V43" s="3447">
        <f>I43</f>
        <v>0</v>
      </c>
      <c r="W43" s="3447"/>
      <c r="X43" s="1558"/>
      <c r="Y43" s="1580"/>
      <c r="Z43" s="1558"/>
      <c r="AA43" s="1558"/>
      <c r="AB43" s="1558"/>
      <c r="AC43" s="1558"/>
    </row>
    <row r="44" spans="1:29" ht="15.75" thickBot="1">
      <c r="A44" s="616" t="s">
        <v>2699</v>
      </c>
      <c r="B44" s="617"/>
      <c r="C44" s="618" t="e">
        <f>R45</f>
        <v>#DIV/0!</v>
      </c>
      <c r="D44" s="619"/>
      <c r="E44" s="618" t="e">
        <f>R44</f>
        <v>#DIV/0!</v>
      </c>
      <c r="F44" s="620"/>
      <c r="G44" s="621" t="e">
        <f>T44</f>
        <v>#DIV/0!</v>
      </c>
      <c r="H44" s="619"/>
      <c r="I44" s="618" t="e">
        <f>V44</f>
        <v>#DIV/0!</v>
      </c>
      <c r="J44" s="619"/>
      <c r="K44" s="1340"/>
      <c r="L44" s="2143"/>
      <c r="M44" s="2133"/>
      <c r="N44" s="2133"/>
      <c r="O44" s="2144"/>
      <c r="P44" s="3433" t="str">
        <f>A44</f>
        <v>比较价格（元/平方米）</v>
      </c>
      <c r="Q44" s="3433"/>
      <c r="R44" s="3457" t="e">
        <f>ROUND(PRODUCT(R43,AA9:AA42),0)</f>
        <v>#DIV/0!</v>
      </c>
      <c r="S44" s="3457"/>
      <c r="T44" s="3457" t="e">
        <f>ROUND(PRODUCT(T43,AB9:AB42),0)</f>
        <v>#DIV/0!</v>
      </c>
      <c r="U44" s="3457"/>
      <c r="V44" s="3457" t="e">
        <f>ROUND(PRODUCT(V43,AC9:AC42),0)</f>
        <v>#DIV/0!</v>
      </c>
      <c r="W44" s="3457"/>
      <c r="X44" s="1558"/>
      <c r="Y44" s="1558"/>
      <c r="Z44" s="1558"/>
      <c r="AA44" s="1558"/>
      <c r="AB44" s="1558"/>
      <c r="AC44" s="1558"/>
    </row>
    <row r="45" spans="1:29" ht="15.75" thickBot="1">
      <c r="A45" s="622" t="s">
        <v>2925</v>
      </c>
      <c r="B45" s="623"/>
      <c r="C45" s="624" t="e">
        <f>R45</f>
        <v>#DIV/0!</v>
      </c>
      <c r="D45" s="624"/>
      <c r="E45" s="624"/>
      <c r="F45" s="624"/>
      <c r="G45" s="624"/>
      <c r="H45" s="624"/>
      <c r="I45" s="624"/>
      <c r="J45" s="624"/>
      <c r="K45" s="1341"/>
      <c r="L45" s="2143"/>
      <c r="M45" s="2133"/>
      <c r="N45" s="2133"/>
      <c r="O45" s="2144"/>
      <c r="P45" s="3454" t="str">
        <f>A45</f>
        <v>估价对象XX用房的比较价格（楼面单价，元/平方米）</v>
      </c>
      <c r="Q45" s="3455"/>
      <c r="R45" s="3456" t="e">
        <f>ROUND(AVERAGE(R44:V44),0)</f>
        <v>#DIV/0!</v>
      </c>
      <c r="S45" s="3456"/>
      <c r="T45" s="3456"/>
      <c r="U45" s="3456"/>
      <c r="V45" s="3456"/>
      <c r="W45" s="345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59" t="s">
        <v>1726</v>
      </c>
      <c r="D52" s="2226" t="s">
        <v>2294</v>
      </c>
      <c r="E52" s="632" t="s">
        <v>563</v>
      </c>
      <c r="F52" s="1951" t="s">
        <v>564</v>
      </c>
      <c r="G52" s="3458" t="s">
        <v>2285</v>
      </c>
      <c r="H52" s="3459"/>
      <c r="I52" s="1952" t="s">
        <v>1949</v>
      </c>
      <c r="J52" s="1554" t="str">
        <f>项目基本情况!F41</f>
        <v>贵州省</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4" t="s">
        <v>565</v>
      </c>
      <c r="B53" s="635" t="e">
        <f>C45</f>
        <v>#DIV/0!</v>
      </c>
      <c r="C53" s="636">
        <v>1</v>
      </c>
      <c r="D53" s="2227">
        <v>1</v>
      </c>
      <c r="E53" s="636">
        <f>'数据-汇总表'!E8+'数据-汇总表'!E9</f>
        <v>324185.06999999995</v>
      </c>
      <c r="F53" s="1950" t="e">
        <f t="shared" ref="F53:F62" si="15">ROUND(B53*E53/10000,0)</f>
        <v>#DIV/0!</v>
      </c>
      <c r="G53" s="3460"/>
      <c r="H53" s="3461"/>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8" t="s">
        <v>566</v>
      </c>
      <c r="B54" s="639" t="e">
        <f>ROUND($C$45*C54*D54,0)</f>
        <v>#DIV/0!</v>
      </c>
      <c r="C54" s="381">
        <f t="shared" ref="C54:C62" si="16">IF($C$52="北京市系数",I54,J54)</f>
        <v>0</v>
      </c>
      <c r="D54" s="2228">
        <v>0.25</v>
      </c>
      <c r="E54" s="640"/>
      <c r="F54" s="1950" t="e">
        <f t="shared" si="15"/>
        <v>#DIV/0!</v>
      </c>
      <c r="G54" s="3462" t="s">
        <v>2286</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8" t="s">
        <v>567</v>
      </c>
      <c r="B55" s="639" t="e">
        <f t="shared" ref="B55:B62" si="17">ROUND($C$45*C55*D55,0)</f>
        <v>#DIV/0!</v>
      </c>
      <c r="C55" s="381">
        <f t="shared" si="16"/>
        <v>0</v>
      </c>
      <c r="D55" s="2228">
        <v>0.25</v>
      </c>
      <c r="E55" s="640"/>
      <c r="F55" s="1950" t="e">
        <f t="shared" si="15"/>
        <v>#DIV/0!</v>
      </c>
      <c r="G55" s="3462"/>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8" t="s">
        <v>568</v>
      </c>
      <c r="B56" s="639" t="e">
        <f t="shared" si="17"/>
        <v>#DIV/0!</v>
      </c>
      <c r="C56" s="381">
        <f t="shared" si="16"/>
        <v>0</v>
      </c>
      <c r="D56" s="2228">
        <v>0.25</v>
      </c>
      <c r="E56" s="640"/>
      <c r="F56" s="1950" t="e">
        <f t="shared" si="15"/>
        <v>#DIV/0!</v>
      </c>
      <c r="G56" s="3462"/>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8" t="s">
        <v>569</v>
      </c>
      <c r="B57" s="639" t="e">
        <f t="shared" si="17"/>
        <v>#DIV/0!</v>
      </c>
      <c r="C57" s="381">
        <f t="shared" si="16"/>
        <v>0</v>
      </c>
      <c r="D57" s="2228">
        <v>0.25</v>
      </c>
      <c r="E57" s="640"/>
      <c r="F57" s="1950" t="e">
        <f t="shared" si="15"/>
        <v>#DIV/0!</v>
      </c>
      <c r="G57" s="3462"/>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28" t="s">
        <v>2329</v>
      </c>
      <c r="B58" s="639" t="e">
        <f t="shared" si="17"/>
        <v>#DIV/0!</v>
      </c>
      <c r="C58" s="381">
        <f t="shared" si="16"/>
        <v>0</v>
      </c>
      <c r="D58" s="2228">
        <v>0.25</v>
      </c>
      <c r="E58" s="642">
        <f>'数据-汇总表'!E11</f>
        <v>0</v>
      </c>
      <c r="F58" s="1950" t="e">
        <f t="shared" si="15"/>
        <v>#DIV/0!</v>
      </c>
      <c r="G58" s="1956" t="s">
        <v>2287</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570</v>
      </c>
      <c r="B59" s="639" t="e">
        <f t="shared" si="17"/>
        <v>#DIV/0!</v>
      </c>
      <c r="C59" s="381">
        <f t="shared" si="16"/>
        <v>0</v>
      </c>
      <c r="D59" s="2228">
        <v>0.25</v>
      </c>
      <c r="E59" s="642">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571</v>
      </c>
      <c r="B60" s="639" t="e">
        <f t="shared" si="17"/>
        <v>#DIV/0!</v>
      </c>
      <c r="C60" s="381">
        <f t="shared" si="16"/>
        <v>0</v>
      </c>
      <c r="D60" s="2228">
        <v>0.25</v>
      </c>
      <c r="E60" s="642">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572</v>
      </c>
      <c r="B61" s="639" t="e">
        <f t="shared" si="17"/>
        <v>#DIV/0!</v>
      </c>
      <c r="C61" s="381">
        <f t="shared" si="16"/>
        <v>0</v>
      </c>
      <c r="D61" s="2228">
        <v>0.25</v>
      </c>
      <c r="E61" s="642">
        <f>'数据-汇总表'!E14</f>
        <v>0</v>
      </c>
      <c r="F61" s="1950" t="e">
        <f t="shared" si="15"/>
        <v>#DIV/0!</v>
      </c>
      <c r="G61" s="1956" t="s">
        <v>2286</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8" t="s">
        <v>573</v>
      </c>
      <c r="B62" s="639" t="e">
        <f t="shared" si="17"/>
        <v>#DIV/0!</v>
      </c>
      <c r="C62" s="381">
        <f t="shared" si="16"/>
        <v>0</v>
      </c>
      <c r="D62" s="2228">
        <v>0.25</v>
      </c>
      <c r="E62" s="642">
        <f>'数据-汇总表'!E15</f>
        <v>0</v>
      </c>
      <c r="F62" s="1950" t="e">
        <f t="shared" si="15"/>
        <v>#DIV/0!</v>
      </c>
      <c r="G62" s="1957" t="s">
        <v>2287</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3" t="s">
        <v>574</v>
      </c>
      <c r="B63" s="644" t="s">
        <v>17</v>
      </c>
      <c r="C63" s="644" t="s">
        <v>18</v>
      </c>
      <c r="D63" s="644" t="s">
        <v>2295</v>
      </c>
      <c r="E63" s="644">
        <f>IF(B43="楼面地价",SUM(E53:E62),'数据-汇总表'!D3)</f>
        <v>158684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2017-10-1</v>
      </c>
      <c r="D65" s="2822">
        <f>EDATE(C65,-3)</f>
        <v>42917</v>
      </c>
      <c r="E65" s="2822">
        <f t="shared" ref="E65:N65" si="18">EDATE(D65,-3)</f>
        <v>42826</v>
      </c>
      <c r="F65" s="2822">
        <f t="shared" si="18"/>
        <v>42736</v>
      </c>
      <c r="G65" s="2822">
        <f t="shared" si="18"/>
        <v>42644</v>
      </c>
      <c r="H65" s="2822">
        <f t="shared" si="18"/>
        <v>42552</v>
      </c>
      <c r="I65" s="2822">
        <f t="shared" si="18"/>
        <v>42461</v>
      </c>
      <c r="J65" s="2822">
        <f t="shared" si="18"/>
        <v>42370</v>
      </c>
      <c r="K65" s="2822">
        <f t="shared" si="18"/>
        <v>42278</v>
      </c>
      <c r="L65" s="2822">
        <f t="shared" si="18"/>
        <v>42186</v>
      </c>
      <c r="M65" s="2822">
        <f t="shared" si="18"/>
        <v>42095</v>
      </c>
      <c r="N65" s="2822">
        <f t="shared" si="18"/>
        <v>42005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89" t="s">
        <v>2537</v>
      </c>
      <c r="B67" s="647"/>
      <c r="C67" s="2817" t="str">
        <f>YEAR(C65)&amp;"-"&amp;ROUNDUP(MONTH(C65)/3,0)</f>
        <v>2017-4</v>
      </c>
      <c r="D67" s="2824" t="str">
        <f t="shared" ref="D67:N67" si="19">YEAR(D65)&amp;"-"&amp;ROUNDUP(MONTH(D65)/3,0)</f>
        <v>2017-3</v>
      </c>
      <c r="E67" s="2824" t="str">
        <f t="shared" si="19"/>
        <v>2017-2</v>
      </c>
      <c r="F67" s="2824" t="str">
        <f t="shared" si="19"/>
        <v>2017-1</v>
      </c>
      <c r="G67" s="2824" t="str">
        <f t="shared" si="19"/>
        <v>2016-4</v>
      </c>
      <c r="H67" s="2824" t="str">
        <f t="shared" si="19"/>
        <v>2016-3</v>
      </c>
      <c r="I67" s="2824" t="str">
        <f t="shared" si="19"/>
        <v>2016-2</v>
      </c>
      <c r="J67" s="2824" t="str">
        <f t="shared" si="19"/>
        <v>2016-1</v>
      </c>
      <c r="K67" s="2824" t="str">
        <f t="shared" si="19"/>
        <v>2015-4</v>
      </c>
      <c r="L67" s="2824" t="str">
        <f t="shared" si="19"/>
        <v>2015-3</v>
      </c>
      <c r="M67" s="2824" t="str">
        <f t="shared" si="19"/>
        <v>2015-2</v>
      </c>
      <c r="N67" s="2824" t="str">
        <f t="shared" si="19"/>
        <v>2015-1</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2655</v>
      </c>
      <c r="B68" s="482" t="str">
        <f>"北京市平均增长率"&amp;TEXT(基准地价!P24,"0.00%")</f>
        <v>北京市平均增长率1.39%</v>
      </c>
      <c r="C68" s="895">
        <v>100</v>
      </c>
      <c r="D68" s="731"/>
      <c r="E68" s="731"/>
      <c r="F68" s="731"/>
      <c r="G68" s="731"/>
      <c r="H68" s="731"/>
      <c r="I68" s="731"/>
      <c r="J68" s="731"/>
      <c r="K68" s="731"/>
      <c r="L68" s="731"/>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4" t="s">
        <v>576</v>
      </c>
      <c r="B69" s="655"/>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19"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8"/>
      <c r="B93" s="1896" t="s">
        <v>2552</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8"/>
      <c r="B95" s="2618" t="s">
        <v>2554</v>
      </c>
      <c r="C95" s="2619" t="s">
        <v>2555</v>
      </c>
      <c r="D95" s="2619" t="s">
        <v>2556</v>
      </c>
      <c r="E95" s="2619" t="s">
        <v>2557</v>
      </c>
      <c r="F95" s="2619" t="s">
        <v>2558</v>
      </c>
      <c r="G95" s="2619" t="s">
        <v>2559</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1"/>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1" t="str">
        <f t="shared" si="25"/>
        <v>(含)-</v>
      </c>
      <c r="L109" s="3112" t="str">
        <f t="shared" si="25"/>
        <v>(含)-</v>
      </c>
      <c r="M109" s="311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9"/>
      <c r="B114" s="1896" t="s">
        <v>2427</v>
      </c>
      <c r="C114" s="1374"/>
      <c r="D114" s="1374"/>
      <c r="E114" s="1374"/>
      <c r="F114" s="1374"/>
      <c r="G114" s="1374"/>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3"/>
      <c r="G1" s="1400"/>
      <c r="H1" s="1400"/>
      <c r="I1" s="1400"/>
      <c r="J1" s="1400"/>
      <c r="K1" s="1400"/>
      <c r="L1" s="1882" t="s">
        <v>2239</v>
      </c>
      <c r="M1" s="1883">
        <f>SUMPRODUCT((区片价!B5:B9=I2)*(区片价!C3:F3=E2)*(区片价!C5:F9))</f>
        <v>0</v>
      </c>
      <c r="N1" s="1884">
        <f>SUMPRODUCT((因素修正幅度!B5:B9=I2)*(因素修正幅度!C3:F3=E2)*(因素修正幅度!C5:F9))</f>
        <v>0</v>
      </c>
      <c r="O1" s="2188"/>
      <c r="P1" s="2188"/>
      <c r="Q1" s="2188"/>
      <c r="R1" s="2958" t="s">
        <v>2768</v>
      </c>
      <c r="S1" s="2958" t="s">
        <v>2769</v>
      </c>
      <c r="T1" s="2958" t="s">
        <v>2790</v>
      </c>
      <c r="U1" s="2958" t="s">
        <v>2791</v>
      </c>
      <c r="V1" s="2958" t="s">
        <v>2792</v>
      </c>
      <c r="W1" s="2188"/>
      <c r="X1" s="2188"/>
      <c r="Y1" s="2188"/>
      <c r="Z1" s="2188"/>
      <c r="AA1" s="2188"/>
      <c r="AB1" s="2188"/>
      <c r="AC1" s="2189"/>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8"/>
      <c r="X2" s="2188"/>
      <c r="Y2" s="2188"/>
      <c r="Z2" s="2188"/>
      <c r="AA2" s="2188"/>
      <c r="AB2" s="2188"/>
      <c r="AC2" s="2189"/>
    </row>
    <row r="3" spans="1:39" ht="15.75">
      <c r="A3" s="1410" t="s">
        <v>1689</v>
      </c>
      <c r="B3" s="1037" t="e">
        <f>ROUND(B2*10000/D1,0)</f>
        <v>#DIV/0!</v>
      </c>
      <c r="C3" s="1406" t="s">
        <v>928</v>
      </c>
      <c r="D3" s="1407" t="s">
        <v>929</v>
      </c>
      <c r="E3" s="1411"/>
      <c r="F3" s="1412" t="s">
        <v>2926</v>
      </c>
      <c r="G3" s="1038">
        <f>IF(F3="宗地容积率",'数据-汇总表'!I4,IF(F3="估价对象容积率",'数据-汇总表'!I6,'数据-汇总表'!I7))</f>
        <v>2.1</v>
      </c>
      <c r="H3" s="1413" t="s">
        <v>930</v>
      </c>
      <c r="I3" s="1039">
        <v>8</v>
      </c>
      <c r="J3" s="1409" t="s">
        <v>931</v>
      </c>
      <c r="K3" s="1400"/>
      <c r="L3" s="1885" t="s">
        <v>2241</v>
      </c>
      <c r="M3" s="1886">
        <f>SUMPRODUCT((区片价!B29:B48=I2)*(区片价!C3:F3=E2)*(区片价!C29:F48))</f>
        <v>0</v>
      </c>
      <c r="N3" s="1887">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8"/>
      <c r="X3" s="2188"/>
      <c r="Y3" s="2188"/>
      <c r="Z3" s="2188"/>
      <c r="AA3" s="2188"/>
      <c r="AB3" s="2188"/>
      <c r="AC3" s="2189"/>
    </row>
    <row r="4" spans="1:39" ht="28.5">
      <c r="A4" s="1891" t="s">
        <v>2281</v>
      </c>
      <c r="B4" s="2474"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0</v>
      </c>
      <c r="T4" s="2959" t="e">
        <f t="shared" si="0"/>
        <v>#DIV/0!</v>
      </c>
      <c r="U4" s="2948"/>
      <c r="V4" s="2959" t="e">
        <f t="shared" si="1"/>
        <v>#DIV/0!</v>
      </c>
      <c r="W4" s="2188"/>
      <c r="X4" s="2188"/>
      <c r="Y4" s="2188"/>
      <c r="Z4" s="2188"/>
      <c r="AA4" s="2188"/>
      <c r="AB4" s="2188"/>
      <c r="AC4" s="2189"/>
    </row>
    <row r="5" spans="1:39" s="1420" customFormat="1" ht="15.75" thickBot="1">
      <c r="A5" s="1637" t="s">
        <v>1825</v>
      </c>
      <c r="B5" s="1414" t="s">
        <v>932</v>
      </c>
      <c r="C5" s="1040" t="e">
        <f>ROUND(IF(E2="商业",IF(F16="增加",C6*C7+C16,C6*C7-C16),IF(E2="住宅",IF(F16="增加",C6*C12+C16,C6*C12-C16),IF(F16="增加",C6+C16,C6-C16))),0)</f>
        <v>#DIV/0!</v>
      </c>
      <c r="D5" s="3143">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v>
      </c>
      <c r="T5" s="2959" t="e">
        <f t="shared" si="0"/>
        <v>#DIV/0!</v>
      </c>
      <c r="U5" s="2948"/>
      <c r="V5" s="2959"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v>
      </c>
      <c r="T6" s="2959" t="e">
        <f t="shared" si="0"/>
        <v>#DIV/0!</v>
      </c>
      <c r="U6" s="2948"/>
      <c r="V6" s="2959" t="e">
        <f t="shared" si="1"/>
        <v>#DIV/0!</v>
      </c>
      <c r="W6" s="2188"/>
      <c r="X6" s="2188"/>
      <c r="Y6" s="2188"/>
      <c r="Z6" s="2188"/>
      <c r="AA6" s="2188"/>
      <c r="AB6" s="2188"/>
      <c r="AC6" s="2190"/>
      <c r="AD6" s="1418"/>
      <c r="AE6" s="1418"/>
      <c r="AF6" s="1418"/>
      <c r="AG6" s="1418"/>
      <c r="AH6" s="1418"/>
      <c r="AI6" s="1418"/>
      <c r="AJ6" s="1419"/>
    </row>
    <row r="7" spans="1:39" ht="24">
      <c r="A7" s="3471" t="str">
        <f>IF(E2="商业",IF(C8="不临58条商业街","",2),"")</f>
        <v/>
      </c>
      <c r="B7" s="1426" t="s">
        <v>933</v>
      </c>
      <c r="C7" s="1042" t="e">
        <f>IF(C8="不临58条商业街",1,ROUND(1+(1.6*E8+1.2*E9+0.8*E10+0.4*E11)*C9,4))</f>
        <v>#DIV/0!</v>
      </c>
      <c r="D7" s="1427" t="s">
        <v>934</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8"/>
      <c r="P7" s="2188"/>
      <c r="Q7" s="2188"/>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2771</v>
      </c>
      <c r="X7" s="2949">
        <f>G2</f>
        <v>0</v>
      </c>
      <c r="Y7" s="2949" t="s">
        <v>2772</v>
      </c>
      <c r="Z7" s="2950">
        <f>G3</f>
        <v>2.1</v>
      </c>
      <c r="AA7" s="2191"/>
      <c r="AB7" s="2191"/>
      <c r="AC7" s="2192"/>
      <c r="AD7" s="2951"/>
      <c r="AE7" s="2951"/>
      <c r="AF7" s="2951"/>
      <c r="AG7" s="2951"/>
      <c r="AH7" s="2951"/>
      <c r="AI7" s="2951"/>
      <c r="AJ7" s="2952"/>
    </row>
    <row r="8" spans="1:39" ht="15">
      <c r="A8" s="3472"/>
      <c r="B8" s="1413" t="s">
        <v>935</v>
      </c>
      <c r="C8" s="1528"/>
      <c r="D8" s="1044" t="s">
        <v>936</v>
      </c>
      <c r="E8" s="1045" t="e">
        <f>ROUND(C11/E7,4)</f>
        <v>#DIV/0!</v>
      </c>
      <c r="F8" s="1431" t="s">
        <v>937</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8"/>
      <c r="P8" s="2188"/>
      <c r="Q8" s="2188"/>
      <c r="R8" s="2959">
        <v>7</v>
      </c>
      <c r="S8" s="2948"/>
      <c r="T8" s="2959" t="e">
        <f t="shared" si="0"/>
        <v>#DIV/0!</v>
      </c>
      <c r="U8" s="2948"/>
      <c r="V8" s="2959" t="e">
        <f t="shared" si="1"/>
        <v>#DIV/0!</v>
      </c>
      <c r="W8" s="3481" t="s">
        <v>2789</v>
      </c>
      <c r="X8" s="3482"/>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72"/>
      <c r="B9" s="1413" t="s">
        <v>938</v>
      </c>
      <c r="C9" s="1046">
        <f>SUMIF(修正!C59:C119,C8,修正!E59:E119)</f>
        <v>0</v>
      </c>
      <c r="D9" s="1047" t="s">
        <v>939</v>
      </c>
      <c r="E9" s="1047" t="e">
        <f>ROUND(C11/E7,4)</f>
        <v>#DIV/0!</v>
      </c>
      <c r="F9" s="1431" t="s">
        <v>940</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8"/>
      <c r="P9" s="2188"/>
      <c r="Q9" s="2188"/>
      <c r="R9" s="2959">
        <v>8</v>
      </c>
      <c r="S9" s="2948"/>
      <c r="T9" s="2959" t="e">
        <f t="shared" si="0"/>
        <v>#DIV/0!</v>
      </c>
      <c r="U9" s="2948"/>
      <c r="V9" s="2959" t="e">
        <f t="shared" si="1"/>
        <v>#DIV/0!</v>
      </c>
      <c r="W9" s="3480" t="s">
        <v>2785</v>
      </c>
      <c r="X9" s="2953" t="s">
        <v>2786</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72"/>
      <c r="B10" s="1413" t="s">
        <v>941</v>
      </c>
      <c r="C10" s="1047">
        <f>SUMIF(修正!C59:C119,C8,修正!F59:F119)</f>
        <v>0</v>
      </c>
      <c r="D10" s="1047" t="s">
        <v>942</v>
      </c>
      <c r="E10" s="1047" t="e">
        <f>ROUND(C11/E7,4)</f>
        <v>#DIV/0!</v>
      </c>
      <c r="F10" s="1431" t="s">
        <v>943</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8"/>
      <c r="P10" s="2188"/>
      <c r="Q10" s="2188"/>
      <c r="R10" s="2959">
        <v>9</v>
      </c>
      <c r="S10" s="2948"/>
      <c r="T10" s="2959" t="e">
        <f t="shared" si="0"/>
        <v>#DIV/0!</v>
      </c>
      <c r="U10" s="2948"/>
      <c r="V10" s="2959" t="e">
        <f t="shared" si="1"/>
        <v>#DIV/0!</v>
      </c>
      <c r="W10" s="348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72"/>
      <c r="B11" s="1434" t="s">
        <v>944</v>
      </c>
      <c r="C11" s="1048">
        <f>C10/4</f>
        <v>0</v>
      </c>
      <c r="D11" s="1048" t="s">
        <v>945</v>
      </c>
      <c r="E11" s="1048" t="e">
        <f>ROUND(C11/E7,4)</f>
        <v>#DIV/0!</v>
      </c>
      <c r="F11" s="1435" t="s">
        <v>946</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8"/>
      <c r="P11" s="2188"/>
      <c r="Q11" s="2188"/>
      <c r="R11" s="2959">
        <v>10</v>
      </c>
      <c r="S11" s="2948"/>
      <c r="T11" s="2959" t="e">
        <f t="shared" si="0"/>
        <v>#DIV/0!</v>
      </c>
      <c r="U11" s="2948"/>
      <c r="V11" s="2959" t="e">
        <f t="shared" si="1"/>
        <v>#DIV/0!</v>
      </c>
      <c r="W11" s="3480" t="s">
        <v>2787</v>
      </c>
      <c r="X11" s="1047" t="s">
        <v>2772</v>
      </c>
      <c r="Y11" s="1652">
        <f>$G$3</f>
        <v>2.1</v>
      </c>
      <c r="Z11" s="1652">
        <f t="shared" ref="Z11:AJ11" si="3">$G$3</f>
        <v>2.1</v>
      </c>
      <c r="AA11" s="1652">
        <f t="shared" si="3"/>
        <v>2.1</v>
      </c>
      <c r="AB11" s="1652">
        <f t="shared" si="3"/>
        <v>2.1</v>
      </c>
      <c r="AC11" s="1652">
        <f t="shared" si="3"/>
        <v>2.1</v>
      </c>
      <c r="AD11" s="1652">
        <f t="shared" si="3"/>
        <v>2.1</v>
      </c>
      <c r="AE11" s="1652">
        <f t="shared" si="3"/>
        <v>2.1</v>
      </c>
      <c r="AF11" s="1652">
        <f t="shared" si="3"/>
        <v>2.1</v>
      </c>
      <c r="AG11" s="1652">
        <f t="shared" si="3"/>
        <v>2.1</v>
      </c>
      <c r="AH11" s="1652">
        <f t="shared" si="3"/>
        <v>2.1</v>
      </c>
      <c r="AI11" s="1652">
        <f t="shared" si="3"/>
        <v>2.1</v>
      </c>
      <c r="AJ11" s="1652">
        <f t="shared" si="3"/>
        <v>2.1</v>
      </c>
    </row>
    <row r="12" spans="1:39" ht="25.5" thickBot="1">
      <c r="A12" s="3471" t="s">
        <v>1873</v>
      </c>
      <c r="B12" s="1438" t="s">
        <v>947</v>
      </c>
      <c r="C12" s="1042">
        <f>ROUND(C15*D15*E15*F15*G15*H15*I15*J15,4)</f>
        <v>1</v>
      </c>
      <c r="D12" s="1439" t="s">
        <v>948</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8"/>
      <c r="P12" s="2188"/>
      <c r="Q12" s="2188"/>
      <c r="R12" s="2959">
        <v>11</v>
      </c>
      <c r="S12" s="2948"/>
      <c r="T12" s="2959" t="e">
        <f t="shared" si="0"/>
        <v>#DIV/0!</v>
      </c>
      <c r="U12" s="2948"/>
      <c r="V12" s="2959" t="e">
        <f t="shared" si="1"/>
        <v>#DIV/0!</v>
      </c>
      <c r="W12" s="3480"/>
      <c r="X12" s="2956" t="s">
        <v>2788</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3"/>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59">
        <v>12</v>
      </c>
      <c r="S13" s="2948"/>
      <c r="T13" s="2959" t="e">
        <f t="shared" si="0"/>
        <v>#DIV/0!</v>
      </c>
      <c r="U13" s="2948"/>
      <c r="V13" s="2959" t="e">
        <f t="shared" si="1"/>
        <v>#DIV/0!</v>
      </c>
      <c r="W13" s="3480"/>
      <c r="X13" s="2956"/>
      <c r="Y13" s="2955">
        <f>(-0.163*(Y12^2)-0.59*Y12+7617)*(10^(-4))/Y11</f>
        <v>0.36271428571428571</v>
      </c>
      <c r="Z13" s="2955">
        <f t="shared" ref="Z13:AJ13" si="5">(-0.163*(Z12^2)-0.59*Z12+7617)*(10^(-4))/Z11</f>
        <v>0.36271428571428571</v>
      </c>
      <c r="AA13" s="2955">
        <f t="shared" si="5"/>
        <v>0.36271428571428571</v>
      </c>
      <c r="AB13" s="2955">
        <f t="shared" si="5"/>
        <v>0.36271428571428571</v>
      </c>
      <c r="AC13" s="2955">
        <f t="shared" si="5"/>
        <v>0.36271428571428571</v>
      </c>
      <c r="AD13" s="2955">
        <f t="shared" si="5"/>
        <v>0.36271428571428571</v>
      </c>
      <c r="AE13" s="2955">
        <f t="shared" si="5"/>
        <v>0.36271428571428571</v>
      </c>
      <c r="AF13" s="2955">
        <f t="shared" si="5"/>
        <v>0.36271428571428571</v>
      </c>
      <c r="AG13" s="2955">
        <f t="shared" si="5"/>
        <v>0.36271428571428571</v>
      </c>
      <c r="AH13" s="2955">
        <f t="shared" si="5"/>
        <v>0.36271428571428571</v>
      </c>
      <c r="AI13" s="2955">
        <f t="shared" si="5"/>
        <v>0.36271428571428571</v>
      </c>
      <c r="AJ13" s="2955">
        <f t="shared" si="5"/>
        <v>0.36271428571428571</v>
      </c>
    </row>
    <row r="14" spans="1:39" ht="12.75" customHeight="1" thickBot="1">
      <c r="A14" s="3473"/>
      <c r="B14" s="1450"/>
      <c r="C14" s="1451"/>
      <c r="D14" s="1452"/>
      <c r="E14" s="1452"/>
      <c r="F14" s="1453"/>
      <c r="G14" s="1454" t="s">
        <v>950</v>
      </c>
      <c r="H14" s="1455"/>
      <c r="I14" s="1456"/>
      <c r="J14" s="1457"/>
      <c r="K14" s="1400"/>
      <c r="L14" s="2188"/>
      <c r="M14" s="2188"/>
      <c r="N14" s="2188"/>
      <c r="O14" s="2188"/>
      <c r="P14" s="2188"/>
      <c r="Q14" s="2188"/>
      <c r="R14" s="2959">
        <v>13</v>
      </c>
      <c r="S14" s="2948"/>
      <c r="T14" s="2959" t="e">
        <f t="shared" si="0"/>
        <v>#DIV/0!</v>
      </c>
      <c r="U14" s="2948"/>
      <c r="V14" s="2959" t="e">
        <f t="shared" si="1"/>
        <v>#DIV/0!</v>
      </c>
      <c r="W14" s="2188"/>
      <c r="X14" s="2188"/>
      <c r="Y14" s="2188"/>
      <c r="Z14" s="2188"/>
      <c r="AA14" s="2188"/>
      <c r="AB14" s="2188"/>
      <c r="AC14" s="2189"/>
    </row>
    <row r="15" spans="1:39" ht="13.5" customHeight="1" thickBot="1">
      <c r="A15" s="3474"/>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59">
        <v>14</v>
      </c>
      <c r="S15" s="2948"/>
      <c r="T15" s="2959" t="e">
        <f t="shared" si="0"/>
        <v>#DIV/0!</v>
      </c>
      <c r="U15" s="2948"/>
      <c r="V15" s="2959" t="e">
        <f t="shared" si="1"/>
        <v>#DIV/0!</v>
      </c>
      <c r="W15" s="2188"/>
      <c r="X15" s="2188"/>
      <c r="Y15" s="2188"/>
      <c r="Z15" s="2188"/>
      <c r="AA15" s="2188"/>
      <c r="AB15" s="2188"/>
      <c r="AC15" s="2189"/>
    </row>
    <row r="16" spans="1:39" ht="24">
      <c r="A16" s="3471"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1"/>
      <c r="R16" s="2959">
        <v>15</v>
      </c>
      <c r="S16" s="2948"/>
      <c r="T16" s="2959" t="e">
        <f t="shared" si="0"/>
        <v>#DIV/0!</v>
      </c>
      <c r="U16" s="2948"/>
      <c r="V16" s="2959" t="e">
        <f t="shared" si="1"/>
        <v>#DIV/0!</v>
      </c>
      <c r="W16" s="2191"/>
      <c r="X16" s="2191"/>
      <c r="Y16" s="2191"/>
      <c r="Z16" s="2191"/>
      <c r="AA16" s="2191"/>
      <c r="AB16" s="2191"/>
      <c r="AC16" s="2192"/>
    </row>
    <row r="17" spans="1:40" ht="13.5" thickBot="1">
      <c r="A17" s="3472"/>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5" t="s">
        <v>957</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43031</v>
      </c>
      <c r="H19" s="1474" t="s">
        <v>2927</v>
      </c>
      <c r="I19" s="2807" t="str">
        <f>IF(H19="季度增幅（自定义）",SUMIF(N21:N24,E2,O21:O24),"")</f>
        <v/>
      </c>
      <c r="J19" s="1470"/>
      <c r="K19" s="1480"/>
      <c r="L19" s="3061" t="s">
        <v>2847</v>
      </c>
      <c r="M19" s="3062">
        <f>ROUND(SUMIF(地价!B2:F2,E2,地价!B20:F20),0)</f>
        <v>0</v>
      </c>
      <c r="N19" s="2809" t="s">
        <v>1678</v>
      </c>
      <c r="O19" s="2808">
        <f>ROUNDDOWN(DATEDIF(E19,G19,"M")/3,0)</f>
        <v>15</v>
      </c>
      <c r="P19" s="1595"/>
      <c r="R19" s="2947"/>
      <c r="S19" s="2947"/>
      <c r="T19" s="2947"/>
      <c r="U19" s="2947"/>
      <c r="V19" s="2947"/>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1838</v>
      </c>
      <c r="B20" s="2802" t="s">
        <v>973</v>
      </c>
      <c r="C20" s="2803" t="e">
        <f>ROUND(POWER(1+G20,J20-I20)*(POWER(1+G20,I20)-1)/(POWER(1+G20,J20)-1),4)</f>
        <v>#DIV/0!</v>
      </c>
      <c r="D20" s="2804" t="s">
        <v>974</v>
      </c>
      <c r="E20" s="3114">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0"/>
      <c r="L20" s="3063" t="s">
        <v>2848</v>
      </c>
      <c r="M20" s="3064">
        <f>ROUND(SUMPRODUCT((地价!A5:A20=YEAR(G19)&amp;"-"&amp;ROUNDUP(MONTH(G19)/3,0))*(地价!B2:F2=E2)*(地价!B5:F20)),0)</f>
        <v>0</v>
      </c>
      <c r="N20" s="2812" t="s">
        <v>2651</v>
      </c>
      <c r="O20" s="2810" t="s">
        <v>2650</v>
      </c>
      <c r="P20" s="2811" t="s">
        <v>2656</v>
      </c>
      <c r="R20" s="2947"/>
      <c r="S20" s="2947"/>
      <c r="T20" s="2947"/>
      <c r="U20" s="2947"/>
      <c r="V20" s="2947"/>
      <c r="W20" s="2194"/>
      <c r="X20" s="2194"/>
      <c r="Y20" s="2194"/>
      <c r="Z20" s="2194"/>
      <c r="AA20" s="2194"/>
      <c r="AB20" s="2194"/>
      <c r="AC20" s="2194"/>
      <c r="AD20" s="1471"/>
      <c r="AE20" s="1471"/>
      <c r="AF20" s="1471"/>
      <c r="AG20" s="1471"/>
      <c r="AH20" s="1471"/>
      <c r="AI20" s="1471"/>
    </row>
    <row r="21" spans="1:40" s="1420" customFormat="1" ht="14.25">
      <c r="A21" s="1641" t="s">
        <v>1839</v>
      </c>
      <c r="B21" s="1479" t="s">
        <v>2767</v>
      </c>
      <c r="C21" s="1157">
        <f>IF(B21="容积率修正",IF(G3&lt;=10,D22,J22),C23)</f>
        <v>0</v>
      </c>
      <c r="D21" s="1480"/>
      <c r="E21" s="1480"/>
      <c r="F21" s="1480"/>
      <c r="G21" s="1480"/>
      <c r="H21" s="1480"/>
      <c r="I21" s="1480"/>
      <c r="J21" s="1481"/>
      <c r="K21" s="1480"/>
      <c r="L21" s="1480"/>
      <c r="M21" s="1480"/>
      <c r="N21" s="1477" t="s">
        <v>977</v>
      </c>
      <c r="O21" s="1541"/>
      <c r="P21" s="2792">
        <f>SUMPRODUCT((地价!A3:A20=YEAR(G19)&amp;"-"&amp;ROUNDUP(MONTH(G19)/3,0))*(地价!AD2:AH2=N21)*(地价!AD3:AH20))</f>
        <v>1.6400000000000001E-2</v>
      </c>
      <c r="R21" s="2947"/>
      <c r="S21" s="2947"/>
      <c r="T21" s="2947"/>
      <c r="U21" s="2947"/>
      <c r="V21" s="2947"/>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2">
        <f>SUMPRODUCT((地价!A3:A20=YEAR(G19)&amp;"-"&amp;ROUNDUP(MONTH(G19)/3,0))*(地价!AD2:AH2=N22)*(地价!AD3:AH20))</f>
        <v>1.6400000000000001E-2</v>
      </c>
      <c r="R22" s="2947"/>
      <c r="S22" s="2947"/>
      <c r="T22" s="2947"/>
      <c r="U22" s="2947"/>
      <c r="V22" s="2947"/>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2">
        <f>SUMPRODUCT((地价!A3:A20=YEAR(G19)&amp;"-"&amp;ROUNDUP(MONTH(G19)/3,0))*(地价!AD2:AH2=N23)*(地价!AD3:AH20))</f>
        <v>2.7799999999999998E-2</v>
      </c>
      <c r="R23" s="2947"/>
      <c r="S23" s="2947"/>
      <c r="T23" s="2947"/>
      <c r="U23" s="2947"/>
      <c r="V23" s="2947"/>
      <c r="W23" s="2194"/>
      <c r="X23" s="2194"/>
      <c r="Y23" s="2194"/>
      <c r="Z23" s="2194"/>
      <c r="AA23" s="2194"/>
      <c r="AB23" s="2194"/>
      <c r="AC23" s="2194"/>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47"/>
      <c r="S24" s="2947"/>
      <c r="T24" s="2947"/>
      <c r="U24" s="2947"/>
      <c r="V24" s="2947"/>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0" t="s">
        <v>2654</v>
      </c>
      <c r="O25" s="2194"/>
      <c r="P25" s="1540">
        <f>SUMPRODUCT((地价!A3:A20=YEAR(G19)&amp;"-"&amp;ROUNDUP(MONTH(G19)/3,0))*(地价!AD2:AH2=N25)*(地价!AD3:AH20))</f>
        <v>2.4899999999999999E-2</v>
      </c>
      <c r="R25" s="2947"/>
      <c r="S25" s="2947"/>
      <c r="T25" s="2947"/>
      <c r="U25" s="2947"/>
      <c r="V25" s="2947"/>
      <c r="W25" s="2194"/>
      <c r="X25" s="2194"/>
      <c r="Y25" s="2194"/>
      <c r="Z25" s="2194"/>
      <c r="AA25" s="2194"/>
      <c r="AB25" s="2194"/>
      <c r="AC25" s="2194"/>
    </row>
    <row r="26" spans="1:40" ht="14.25">
      <c r="A26" s="1488"/>
      <c r="B26" s="1482" t="s">
        <v>988</v>
      </c>
      <c r="C26" s="1062" t="e">
        <f>E29+SUM(E33:E39)</f>
        <v>#DIV/0!</v>
      </c>
      <c r="D26" s="1489"/>
      <c r="E26" s="1455"/>
      <c r="F26" s="1490"/>
      <c r="G26" s="1455"/>
      <c r="H26" s="1455"/>
      <c r="I26" s="1455"/>
      <c r="J26" s="1491"/>
      <c r="K26" s="1400"/>
      <c r="L26" s="2194"/>
      <c r="M26" s="2194"/>
      <c r="N26" s="2194"/>
      <c r="O26" s="2194"/>
      <c r="P26" s="2194"/>
      <c r="Q26" s="2194"/>
      <c r="R26" s="2947"/>
      <c r="S26" s="2947"/>
      <c r="T26" s="2947"/>
      <c r="U26" s="2947"/>
      <c r="V26" s="2947"/>
      <c r="W26" s="2194"/>
      <c r="X26" s="2194"/>
      <c r="Y26" s="2194"/>
      <c r="Z26" s="2194"/>
      <c r="AA26" s="2194"/>
      <c r="AB26" s="2194"/>
      <c r="AC26" s="2194"/>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7"/>
      <c r="S28" s="2947"/>
      <c r="T28" s="2947"/>
      <c r="U28" s="2947"/>
      <c r="V28" s="2947"/>
      <c r="W28" s="2194"/>
      <c r="X28" s="2194"/>
      <c r="Y28" s="2194"/>
      <c r="Z28" s="2194"/>
      <c r="AA28" s="2194"/>
      <c r="AB28" s="2194"/>
      <c r="AC28" s="2194"/>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7" t="s">
        <v>2953</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8"/>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8"/>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9"/>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5"/>
      <c r="H44" s="2444"/>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29" t="s">
        <v>1011</v>
      </c>
      <c r="C46" s="2451" t="s">
        <v>1012</v>
      </c>
      <c r="D46" s="2452" t="s">
        <v>1013</v>
      </c>
      <c r="E46" s="2453" t="s">
        <v>1015</v>
      </c>
      <c r="F46" s="2454" t="s">
        <v>2251</v>
      </c>
      <c r="G46" s="2452" t="s">
        <v>1016</v>
      </c>
      <c r="H46" s="2435" t="s">
        <v>2420</v>
      </c>
      <c r="I46" s="2452" t="s">
        <v>1014</v>
      </c>
      <c r="J46" s="2455" t="s">
        <v>1017</v>
      </c>
      <c r="K46" s="2455" t="s">
        <v>1018</v>
      </c>
      <c r="L46" s="2455" t="s">
        <v>1019</v>
      </c>
      <c r="M46" s="2455" t="s">
        <v>1020</v>
      </c>
      <c r="N46" s="2455"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1022</v>
      </c>
      <c r="B47" s="2432" t="str">
        <f>估价对象房地状况!C16</f>
        <v>较差</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1023</v>
      </c>
      <c r="B48" s="2429" t="str">
        <f>估价对象房地状况!C18</f>
        <v>咨询对象本身所属项目较大，本地块周边道路尚未建设完善，综合评价交通便捷度较差。</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29" t="str">
        <f>估价对象房地状况!C19</f>
        <v>区域土地利用方向一致。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16" t="s">
        <v>2929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15" t="s">
        <v>2928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48">
      <c r="A53" s="2461" t="s">
        <v>1028</v>
      </c>
      <c r="B53" s="2430" t="str">
        <f>估价对象房地状况!C21</f>
        <v>咨询对象本身所属项目较大，公共配套设施尚未建设，综合评价公共配套设施较差。</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1" t="s">
        <v>1029</v>
      </c>
      <c r="B54" s="2429" t="str">
        <f>估价对象房地状况!C22</f>
        <v xml:space="preserve"> </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62" t="s">
        <v>1030</v>
      </c>
      <c r="B55" s="2433" t="str">
        <f>估价对象房地状况!C20</f>
        <v>咨询对象本身所属项目较大，周边尚无自然及人文环境，综合评价自然及人文环境较差。</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29"/>
      <c r="C57" s="2451" t="s">
        <v>1012</v>
      </c>
      <c r="D57" s="2452" t="s">
        <v>1013</v>
      </c>
      <c r="E57" s="2453" t="s">
        <v>1015</v>
      </c>
      <c r="F57" s="2454" t="s">
        <v>2252</v>
      </c>
      <c r="G57" s="2452" t="s">
        <v>1016</v>
      </c>
      <c r="H57" s="2435" t="s">
        <v>2420</v>
      </c>
      <c r="I57" s="2452" t="s">
        <v>1014</v>
      </c>
      <c r="J57" s="2455" t="s">
        <v>1017</v>
      </c>
      <c r="K57" s="2455" t="s">
        <v>1018</v>
      </c>
      <c r="L57" s="2455" t="s">
        <v>1019</v>
      </c>
      <c r="M57" s="2455" t="s">
        <v>1020</v>
      </c>
      <c r="N57" s="2455"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1032</v>
      </c>
      <c r="B58" s="2432">
        <f>估价对象房地状况!C17</f>
        <v>0</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1023</v>
      </c>
      <c r="B59" s="2429" t="str">
        <f>估价对象房地状况!C18</f>
        <v>咨询对象本身所属项目较大，本地块周边道路尚未建设完善，综合评价交通便捷度较差。</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29" t="str">
        <f>估价对象房地状况!C19</f>
        <v>区域土地利用方向一致。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16" t="s">
        <v>2930</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15" t="s">
        <v>2928</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48">
      <c r="A64" s="1066" t="s">
        <v>1028</v>
      </c>
      <c r="B64" s="2430" t="str">
        <f>估价对象房地状况!C21</f>
        <v>咨询对象本身所属项目较大，公共配套设施尚未建设，综合评价公共配套设施较差。</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0" t="str">
        <f>估价对象房地状况!C22</f>
        <v xml:space="preserve"> </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2" t="s">
        <v>1030</v>
      </c>
      <c r="B66" s="2434" t="str">
        <f>估价对象房地状况!C20</f>
        <v>咨询对象本身所属项目较大，周边尚无自然及人文环境，综合评价自然及人文环境较差。</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29"/>
      <c r="C68" s="2451" t="s">
        <v>1012</v>
      </c>
      <c r="D68" s="2452" t="s">
        <v>1013</v>
      </c>
      <c r="E68" s="2453" t="s">
        <v>1015</v>
      </c>
      <c r="F68" s="2454" t="s">
        <v>2253</v>
      </c>
      <c r="G68" s="2452" t="s">
        <v>1016</v>
      </c>
      <c r="H68" s="2435" t="s">
        <v>2420</v>
      </c>
      <c r="I68" s="2452" t="s">
        <v>1014</v>
      </c>
      <c r="J68" s="2455" t="s">
        <v>1017</v>
      </c>
      <c r="K68" s="2455" t="s">
        <v>1018</v>
      </c>
      <c r="L68" s="2455" t="s">
        <v>1019</v>
      </c>
      <c r="M68" s="2455" t="s">
        <v>1020</v>
      </c>
      <c r="N68" s="2455"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6" t="s">
        <v>1034</v>
      </c>
      <c r="B69" s="2432" t="str">
        <f>估价对象房地状况!C15</f>
        <v>咨询对象本身所属项目较大，本地块周边为本项目其他地块，尚未开发建设，综合评价居住社区成熟度较差。</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1035</v>
      </c>
      <c r="B70" s="2429" t="str">
        <f>估价对象房地状况!C18</f>
        <v>咨询对象本身所属项目较大，本地块周边道路尚未建设完善，综合评价交通便捷度较差。</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29" t="str">
        <f>估价对象房地状况!C19</f>
        <v>区域土地利用方向一致。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48">
      <c r="A73" s="1066" t="s">
        <v>1028</v>
      </c>
      <c r="B73" s="2430" t="str">
        <f>估价对象房地状况!C21</f>
        <v>咨询对象本身所属项目较大，公共配套设施尚未建设，综合评价公共配套设施较差。</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0" t="str">
        <f>估价对象房地状况!C22</f>
        <v xml:space="preserve"> </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15" t="s">
        <v>2928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1030</v>
      </c>
      <c r="B76" s="2432" t="str">
        <f>估价对象房地状况!C20</f>
        <v>咨询对象本身所属项目较大，周边尚无自然及人文环境，综合评价自然及人文环境较差。</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2" t="s">
        <v>1037</v>
      </c>
      <c r="B77" s="1850"/>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5"/>
      <c r="K78" s="1065"/>
      <c r="L78" s="1065"/>
      <c r="M78" s="1065"/>
      <c r="N78" s="1065"/>
      <c r="AC78" s="1404"/>
      <c r="AD78" s="1403"/>
      <c r="AJ78" s="1402"/>
      <c r="AN78" s="1403"/>
    </row>
    <row r="79" spans="1:40" ht="24">
      <c r="A79" s="1066" t="s">
        <v>1010</v>
      </c>
      <c r="B79" s="2429"/>
      <c r="C79" s="2451" t="s">
        <v>1012</v>
      </c>
      <c r="D79" s="2452" t="s">
        <v>1013</v>
      </c>
      <c r="E79" s="2453" t="s">
        <v>1015</v>
      </c>
      <c r="F79" s="2454" t="s">
        <v>2254</v>
      </c>
      <c r="G79" s="2452" t="s">
        <v>1016</v>
      </c>
      <c r="H79" s="2435" t="s">
        <v>2420</v>
      </c>
      <c r="I79" s="2452" t="s">
        <v>1014</v>
      </c>
      <c r="J79" s="2455" t="s">
        <v>1017</v>
      </c>
      <c r="K79" s="2455" t="s">
        <v>1018</v>
      </c>
      <c r="L79" s="2455" t="s">
        <v>1019</v>
      </c>
      <c r="M79" s="2455" t="s">
        <v>1020</v>
      </c>
      <c r="N79" s="2455" t="s">
        <v>1021</v>
      </c>
      <c r="AC79" s="1404"/>
      <c r="AD79" s="1403"/>
      <c r="AJ79" s="1402"/>
      <c r="AN79" s="1403"/>
    </row>
    <row r="80" spans="1:40" ht="24">
      <c r="A80" s="1066" t="s">
        <v>1039</v>
      </c>
      <c r="B80" s="2429">
        <f>估价对象房地状况!G15</f>
        <v>0</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14.25">
      <c r="A81" s="1066" t="s">
        <v>1035</v>
      </c>
      <c r="B81" s="2429">
        <f>估价对象房地状况!G16</f>
        <v>0</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6" t="s">
        <v>1024</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6" t="s">
        <v>1036</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6" t="s">
        <v>1028</v>
      </c>
      <c r="B84" s="2430">
        <f>估价对象房地状况!G19</f>
        <v>0</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6" t="s">
        <v>1029</v>
      </c>
      <c r="B85" s="2430">
        <f>估价对象房地状况!G20</f>
        <v>0</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6" t="s">
        <v>1027</v>
      </c>
      <c r="B86" s="3115" t="s">
        <v>2928</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15" thickBot="1">
      <c r="A87" s="2462" t="s">
        <v>1040</v>
      </c>
      <c r="B87" s="2431">
        <f>估价对象房地状况!G18</f>
        <v>0</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75" t="s">
        <v>1635</v>
      </c>
      <c r="B90" s="3475"/>
      <c r="C90" s="3475"/>
      <c r="D90" s="3475"/>
      <c r="E90" s="3475"/>
      <c r="F90" s="3475"/>
      <c r="G90" s="3475"/>
      <c r="H90" s="3475"/>
      <c r="I90" s="3475"/>
      <c r="J90" s="3475"/>
      <c r="K90" s="2471"/>
      <c r="L90" s="2471"/>
      <c r="M90" s="2471"/>
      <c r="N90" s="2471"/>
    </row>
    <row r="91" spans="1:40">
      <c r="A91" s="3476" t="s">
        <v>1445</v>
      </c>
      <c r="B91" s="3476" t="s">
        <v>1636</v>
      </c>
      <c r="C91" s="1139" t="s">
        <v>1637</v>
      </c>
      <c r="D91" s="1140"/>
      <c r="E91" s="1140"/>
      <c r="F91" s="1140"/>
      <c r="G91" s="1140"/>
      <c r="H91" s="1140"/>
      <c r="I91" s="1140"/>
      <c r="J91" s="1141"/>
      <c r="K91" s="1133"/>
      <c r="L91" s="1133"/>
      <c r="M91" s="1133"/>
      <c r="N91" s="1133"/>
    </row>
    <row r="92" spans="1:40">
      <c r="A92" s="3476"/>
      <c r="B92" s="3476"/>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83"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4"/>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3" t="s">
        <v>1639</v>
      </c>
      <c r="B101" s="1146" t="s">
        <v>907</v>
      </c>
      <c r="C101" s="1147">
        <f>$G$3</f>
        <v>2.1</v>
      </c>
      <c r="D101" s="1147">
        <f t="shared" ref="D101:N101" si="31">$G$3</f>
        <v>2.1</v>
      </c>
      <c r="E101" s="1147">
        <f t="shared" si="31"/>
        <v>2.1</v>
      </c>
      <c r="F101" s="1147">
        <f t="shared" si="31"/>
        <v>2.1</v>
      </c>
      <c r="G101" s="1147">
        <f t="shared" si="31"/>
        <v>2.1</v>
      </c>
      <c r="H101" s="1147">
        <f t="shared" si="31"/>
        <v>2.1</v>
      </c>
      <c r="I101" s="1147">
        <f t="shared" si="31"/>
        <v>2.1</v>
      </c>
      <c r="J101" s="1147">
        <f t="shared" si="31"/>
        <v>2.1</v>
      </c>
      <c r="K101" s="1147">
        <f t="shared" si="31"/>
        <v>2.1</v>
      </c>
      <c r="L101" s="1147">
        <f t="shared" si="31"/>
        <v>2.1</v>
      </c>
      <c r="M101" s="1147">
        <f t="shared" si="31"/>
        <v>2.1</v>
      </c>
      <c r="N101" s="1147">
        <f t="shared" si="31"/>
        <v>2.1</v>
      </c>
    </row>
    <row r="102" spans="1:14">
      <c r="A102" s="3484"/>
      <c r="B102" s="1142">
        <v>1</v>
      </c>
      <c r="C102" s="1143">
        <f>1.9362/C101</f>
        <v>0.92199999999999993</v>
      </c>
      <c r="D102" s="1143">
        <f>1.9362/D101</f>
        <v>0.92199999999999993</v>
      </c>
      <c r="E102" s="1143">
        <f>1.8629/E101</f>
        <v>0.88709523809523805</v>
      </c>
      <c r="F102" s="1143">
        <f>1.8629/F101</f>
        <v>0.88709523809523805</v>
      </c>
      <c r="G102" s="1143">
        <f>1.8629/G101</f>
        <v>0.88709523809523805</v>
      </c>
      <c r="H102" s="1143">
        <f>1.8629/H101</f>
        <v>0.88709523809523805</v>
      </c>
      <c r="I102" s="1143">
        <f>1.8629/I101</f>
        <v>0.88709523809523805</v>
      </c>
      <c r="J102" s="1143">
        <f>1.942/J101</f>
        <v>0.92476190476190467</v>
      </c>
      <c r="K102" s="1143">
        <f>1.942/K101</f>
        <v>0.92476190476190467</v>
      </c>
      <c r="L102" s="1143">
        <f>1.942/L101</f>
        <v>0.92476190476190467</v>
      </c>
      <c r="M102" s="1143">
        <f>1.942/M101</f>
        <v>0.92476190476190467</v>
      </c>
      <c r="N102" s="1143">
        <f>1.942/N101</f>
        <v>0.92476190476190467</v>
      </c>
    </row>
    <row r="103" spans="1:14">
      <c r="A103" s="3484"/>
      <c r="B103" s="1142">
        <v>2</v>
      </c>
      <c r="C103" s="1143">
        <f>1.4198/C101</f>
        <v>0.67609523809523808</v>
      </c>
      <c r="D103" s="1143">
        <f>1.4198/D101</f>
        <v>0.67609523809523808</v>
      </c>
      <c r="E103" s="1143">
        <f>1.3372/E101</f>
        <v>0.63676190476190475</v>
      </c>
      <c r="F103" s="1143">
        <f>1.3372/F101</f>
        <v>0.63676190476190475</v>
      </c>
      <c r="G103" s="1143">
        <f>1.3372/G101</f>
        <v>0.63676190476190475</v>
      </c>
      <c r="H103" s="1143">
        <f>1.3372/H101</f>
        <v>0.63676190476190475</v>
      </c>
      <c r="I103" s="1143">
        <f>1.3372/I101</f>
        <v>0.63676190476190475</v>
      </c>
      <c r="J103" s="1143">
        <f>1.2799/J101</f>
        <v>0.6094761904761905</v>
      </c>
      <c r="K103" s="1143">
        <f>1.2799/K101</f>
        <v>0.6094761904761905</v>
      </c>
      <c r="L103" s="1143">
        <f>1.2799/L101</f>
        <v>0.6094761904761905</v>
      </c>
      <c r="M103" s="1143">
        <f>1.2799/M101</f>
        <v>0.6094761904761905</v>
      </c>
      <c r="N103" s="1143">
        <f>1.2799/N101</f>
        <v>0.6094761904761905</v>
      </c>
    </row>
    <row r="104" spans="1:14">
      <c r="A104" s="3484"/>
      <c r="B104" s="1142">
        <v>3</v>
      </c>
      <c r="C104" s="1143">
        <f>1.1594/C101</f>
        <v>0.55209523809523808</v>
      </c>
      <c r="D104" s="1143">
        <f>1.1594/D101</f>
        <v>0.55209523809523808</v>
      </c>
      <c r="E104" s="1143">
        <f>1.0788/E101</f>
        <v>0.51371428571428568</v>
      </c>
      <c r="F104" s="1143">
        <f>1.0788/F101</f>
        <v>0.51371428571428568</v>
      </c>
      <c r="G104" s="1143">
        <f>1.0788/G101</f>
        <v>0.51371428571428568</v>
      </c>
      <c r="H104" s="1143">
        <f>1.0788/H101</f>
        <v>0.51371428571428568</v>
      </c>
      <c r="I104" s="1143">
        <f>1.0788/I101</f>
        <v>0.51371428571428568</v>
      </c>
      <c r="J104" s="1143">
        <f>1.0072/J101</f>
        <v>0.47961904761904767</v>
      </c>
      <c r="K104" s="1143">
        <f>1.0072/K101</f>
        <v>0.47961904761904767</v>
      </c>
      <c r="L104" s="1143">
        <f>1.0072/L101</f>
        <v>0.47961904761904767</v>
      </c>
      <c r="M104" s="1143">
        <f>1.0072/M101</f>
        <v>0.47961904761904767</v>
      </c>
      <c r="N104" s="1143">
        <f>1.0072/N101</f>
        <v>0.47961904761904767</v>
      </c>
    </row>
    <row r="105" spans="1:14">
      <c r="A105" s="3484"/>
      <c r="B105" s="1142">
        <v>4</v>
      </c>
      <c r="C105" s="1143">
        <f>0.9622/C101</f>
        <v>0.4581904761904762</v>
      </c>
      <c r="D105" s="1143">
        <f>0.9622/D101</f>
        <v>0.4581904761904762</v>
      </c>
      <c r="E105" s="1143">
        <f>0.8656/E101</f>
        <v>0.41219047619047616</v>
      </c>
      <c r="F105" s="1143">
        <f>0.8656/F101</f>
        <v>0.41219047619047616</v>
      </c>
      <c r="G105" s="1143">
        <f>0.8656/G101</f>
        <v>0.41219047619047616</v>
      </c>
      <c r="H105" s="1143">
        <f>0.8656/H101</f>
        <v>0.41219047619047616</v>
      </c>
      <c r="I105" s="1143">
        <f>0.8656/I101</f>
        <v>0.41219047619047616</v>
      </c>
      <c r="J105" s="1143">
        <f>0.7525/J101</f>
        <v>0.35833333333333328</v>
      </c>
      <c r="K105" s="1143">
        <f>0.7525/K101</f>
        <v>0.35833333333333328</v>
      </c>
      <c r="L105" s="1143">
        <f>0.7525/L101</f>
        <v>0.35833333333333328</v>
      </c>
      <c r="M105" s="1143">
        <f>0.7525/M101</f>
        <v>0.35833333333333328</v>
      </c>
      <c r="N105" s="1143">
        <f>0.7525/N101</f>
        <v>0.35833333333333328</v>
      </c>
    </row>
    <row r="106" spans="1:14">
      <c r="A106" s="3484"/>
      <c r="B106" s="1142">
        <v>5</v>
      </c>
      <c r="C106" s="1143">
        <f>0.8417/C101</f>
        <v>0.40080952380952378</v>
      </c>
      <c r="D106" s="1143">
        <f>0.8417/D101</f>
        <v>0.40080952380952378</v>
      </c>
      <c r="E106" s="1143">
        <f>0.7371/E101</f>
        <v>0.35099999999999998</v>
      </c>
      <c r="F106" s="1143">
        <f>0.7371/F101</f>
        <v>0.35099999999999998</v>
      </c>
      <c r="G106" s="1143">
        <f>0.7371/G101</f>
        <v>0.35099999999999998</v>
      </c>
      <c r="H106" s="1143">
        <f>0.7371/H101</f>
        <v>0.35099999999999998</v>
      </c>
      <c r="I106" s="1143">
        <f>0.7371/I101</f>
        <v>0.35099999999999998</v>
      </c>
      <c r="J106" s="1143">
        <f>0.5659/J101</f>
        <v>0.26947619047619042</v>
      </c>
      <c r="K106" s="1143">
        <f>0.5659/K101</f>
        <v>0.26947619047619042</v>
      </c>
      <c r="L106" s="1143">
        <f>0.5659/L101</f>
        <v>0.26947619047619042</v>
      </c>
      <c r="M106" s="1143">
        <f>0.5659/M101</f>
        <v>0.26947619047619042</v>
      </c>
      <c r="N106" s="1143">
        <f>0.5659/N101</f>
        <v>0.26947619047619042</v>
      </c>
    </row>
    <row r="107" spans="1:14">
      <c r="A107" s="3484"/>
      <c r="B107" s="1142">
        <v>6</v>
      </c>
      <c r="C107" s="1143">
        <f>0.7608/C101</f>
        <v>0.36228571428571427</v>
      </c>
      <c r="D107" s="1143">
        <f>0.7608/D101</f>
        <v>0.36228571428571427</v>
      </c>
      <c r="E107" s="1143">
        <f>0.6482/E101</f>
        <v>0.30866666666666664</v>
      </c>
      <c r="F107" s="1143">
        <f>0.6482/F101</f>
        <v>0.30866666666666664</v>
      </c>
      <c r="G107" s="1143">
        <f>0.6482/G101</f>
        <v>0.30866666666666664</v>
      </c>
      <c r="H107" s="1143">
        <f>0.6482/H101</f>
        <v>0.30866666666666664</v>
      </c>
      <c r="I107" s="1143">
        <f>0.6482/I101</f>
        <v>0.30866666666666664</v>
      </c>
      <c r="J107" s="1143">
        <f>0.4525/J101</f>
        <v>0.21547619047619046</v>
      </c>
      <c r="K107" s="1143">
        <f>0.4525/K101</f>
        <v>0.21547619047619046</v>
      </c>
      <c r="L107" s="1143">
        <f>0.4525/L101</f>
        <v>0.21547619047619046</v>
      </c>
      <c r="M107" s="1143">
        <f>0.4525/M101</f>
        <v>0.21547619047619046</v>
      </c>
      <c r="N107" s="1143">
        <f>0.4525/N101</f>
        <v>0.21547619047619046</v>
      </c>
    </row>
    <row r="108" spans="1:14">
      <c r="A108" s="3484"/>
      <c r="B108" s="3486"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5"/>
      <c r="B109" s="3487"/>
      <c r="C109" s="1145">
        <f>(-0.163*(C108^2)-0.59*C108+7617)*(10^(-4))/C101</f>
        <v>0.36199276190476187</v>
      </c>
      <c r="D109" s="1145">
        <f>(-0.163*(D108^2)-0.59*D108+7617)*(10^(-4))/D101</f>
        <v>0.36199276190476187</v>
      </c>
      <c r="E109" s="1145">
        <f>(-0.161*(E108^2)-7.509*E108+6533)*(10^(-4))/E101</f>
        <v>0.30774400000000002</v>
      </c>
      <c r="F109" s="1145">
        <f>(-0.161*(F108^2)-7.509*F108+6533)*(10^(-4))/F101</f>
        <v>0.30774400000000002</v>
      </c>
      <c r="G109" s="1145">
        <f>(-0.161*(G108^2)-7.509*G108+6533)*(10^(-4))/G101</f>
        <v>0.30774400000000002</v>
      </c>
      <c r="H109" s="1145">
        <f>(-0.161*(H108^2)-7.509*H108+6533)*(10^(-4))/H101</f>
        <v>0.30774400000000002</v>
      </c>
      <c r="I109" s="1145">
        <f>(-0.161*(I108^2)-7.509*I108+6533)*(10^(-4))/I101</f>
        <v>0.30774400000000002</v>
      </c>
      <c r="J109" s="1145">
        <f>(-0.214*(J108^2)-21.991*J108+4665)*(10^(-4))/J101</f>
        <v>0.21311314285714286</v>
      </c>
      <c r="K109" s="1145">
        <f>(-0.214*(K108^2)-21.991*K108+4665)*(10^(-4))/K101</f>
        <v>0.21311314285714286</v>
      </c>
      <c r="L109" s="1145">
        <f>(-0.214*(L108^2)-21.991*L108+4665)*(10^(-4))/L101</f>
        <v>0.21311314285714286</v>
      </c>
      <c r="M109" s="1145">
        <f>(-0.214*(M108^2)-21.991*M108+4665)*(10^(-4))/M101</f>
        <v>0.21311314285714286</v>
      </c>
      <c r="N109" s="1145">
        <f>(-0.214*(N108^2)-21.991*N108+4665)*(10^(-4))/N101</f>
        <v>0.21311314285714286</v>
      </c>
    </row>
    <row r="110" spans="1:14">
      <c r="A110" s="3470" t="s">
        <v>1641</v>
      </c>
      <c r="B110" s="3470"/>
      <c r="C110" s="3470"/>
      <c r="D110" s="3470"/>
      <c r="E110" s="3470"/>
      <c r="F110" s="3470"/>
      <c r="G110" s="3470"/>
      <c r="H110" s="3470"/>
      <c r="I110" s="3470"/>
      <c r="J110" s="3470"/>
      <c r="K110" s="2469"/>
      <c r="L110" s="2469"/>
      <c r="M110" s="2469"/>
      <c r="N110" s="2469"/>
    </row>
    <row r="112" spans="1:14" ht="12.75" thickBot="1"/>
    <row r="113" spans="1:13" ht="25.5" thickBot="1">
      <c r="A113" s="1015" t="s">
        <v>897</v>
      </c>
      <c r="B113" s="2472">
        <f>G3</f>
        <v>2.1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0.91379999999999995</v>
      </c>
      <c r="C115" s="1029">
        <f>B115</f>
        <v>0.91379999999999995</v>
      </c>
      <c r="D115" s="1029">
        <f>ROUND(0.8331-0.0109*B113,4)</f>
        <v>0.81020000000000003</v>
      </c>
      <c r="E115" s="1029">
        <f>D115</f>
        <v>0.81020000000000003</v>
      </c>
      <c r="F115" s="1029">
        <f>E115</f>
        <v>0.81020000000000003</v>
      </c>
      <c r="G115" s="1029">
        <f>F115</f>
        <v>0.81020000000000003</v>
      </c>
      <c r="H115" s="1029">
        <f>G115</f>
        <v>0.81020000000000003</v>
      </c>
      <c r="I115" s="1029">
        <f>ROUND(0.689-0.0155*B113,4)</f>
        <v>0.65649999999999997</v>
      </c>
      <c r="J115" s="1029">
        <f t="shared" ref="J115:M118" si="33">I115</f>
        <v>0.65649999999999997</v>
      </c>
      <c r="K115" s="1029">
        <f t="shared" si="33"/>
        <v>0.65649999999999997</v>
      </c>
      <c r="L115" s="1029">
        <f t="shared" si="33"/>
        <v>0.65649999999999997</v>
      </c>
      <c r="M115" s="1030">
        <f t="shared" si="33"/>
        <v>0.65649999999999997</v>
      </c>
    </row>
    <row r="116" spans="1:13" ht="12.75">
      <c r="A116" s="1028" t="s">
        <v>902</v>
      </c>
      <c r="B116" s="1029">
        <f>ROUND(0.949-0.012*B113,4)</f>
        <v>0.92379999999999995</v>
      </c>
      <c r="C116" s="1029">
        <f>B116</f>
        <v>0.92379999999999995</v>
      </c>
      <c r="D116" s="1029">
        <f>ROUND(0.8567-0.013*B113,4)</f>
        <v>0.82940000000000003</v>
      </c>
      <c r="E116" s="1029">
        <f t="shared" ref="E116:H117" si="34">D116</f>
        <v>0.82940000000000003</v>
      </c>
      <c r="F116" s="1029">
        <f t="shared" si="34"/>
        <v>0.82940000000000003</v>
      </c>
      <c r="G116" s="1029">
        <f t="shared" si="34"/>
        <v>0.82940000000000003</v>
      </c>
      <c r="H116" s="1029">
        <f t="shared" si="34"/>
        <v>0.82940000000000003</v>
      </c>
      <c r="I116" s="1029">
        <f>ROUND(0.7694-0.014*B113,4)</f>
        <v>0.74</v>
      </c>
      <c r="J116" s="1029">
        <f t="shared" si="33"/>
        <v>0.74</v>
      </c>
      <c r="K116" s="1029">
        <f t="shared" si="33"/>
        <v>0.74</v>
      </c>
      <c r="L116" s="1029">
        <f t="shared" si="33"/>
        <v>0.74</v>
      </c>
      <c r="M116" s="1030">
        <f t="shared" si="33"/>
        <v>0.74</v>
      </c>
    </row>
    <row r="117" spans="1:13" ht="12.75">
      <c r="A117" s="1031" t="s">
        <v>903</v>
      </c>
      <c r="B117" s="1029">
        <f>ROUND(0.8808-0.006*B113,4)</f>
        <v>0.86819999999999997</v>
      </c>
      <c r="C117" s="1029">
        <f>B117</f>
        <v>0.86819999999999997</v>
      </c>
      <c r="D117" s="1029">
        <f>ROUND(0.8748-0.008*B113,4)</f>
        <v>0.85799999999999998</v>
      </c>
      <c r="E117" s="1029">
        <f t="shared" si="34"/>
        <v>0.85799999999999998</v>
      </c>
      <c r="F117" s="1029">
        <f t="shared" si="34"/>
        <v>0.85799999999999998</v>
      </c>
      <c r="G117" s="1029">
        <f t="shared" si="34"/>
        <v>0.85799999999999998</v>
      </c>
      <c r="H117" s="1029">
        <f t="shared" si="34"/>
        <v>0.85799999999999998</v>
      </c>
      <c r="I117" s="1029">
        <f>ROUND(0.7412-0.0095*B113,4)</f>
        <v>0.72130000000000005</v>
      </c>
      <c r="J117" s="1029">
        <f t="shared" si="33"/>
        <v>0.72130000000000005</v>
      </c>
      <c r="K117" s="1029">
        <f t="shared" si="33"/>
        <v>0.72130000000000005</v>
      </c>
      <c r="L117" s="1029">
        <f t="shared" si="33"/>
        <v>0.72130000000000005</v>
      </c>
      <c r="M117" s="1030">
        <f t="shared" si="33"/>
        <v>0.72130000000000005</v>
      </c>
    </row>
    <row r="118" spans="1:13" ht="13.5" thickBot="1">
      <c r="A118" s="1032" t="s">
        <v>904</v>
      </c>
      <c r="B118" s="1033">
        <f>ROUND(0.7275-0.01*B113,4)</f>
        <v>0.70650000000000002</v>
      </c>
      <c r="C118" s="1033">
        <f>B118</f>
        <v>0.70650000000000002</v>
      </c>
      <c r="D118" s="1033">
        <f>ROUND(0.7043-0.012*B113,4)</f>
        <v>0.67910000000000004</v>
      </c>
      <c r="E118" s="1033">
        <f>D118</f>
        <v>0.67910000000000004</v>
      </c>
      <c r="F118" s="1033">
        <f>E118</f>
        <v>0.67910000000000004</v>
      </c>
      <c r="G118" s="1033">
        <f>ROUND(0.6299-0.0122*B113,4)</f>
        <v>0.60429999999999995</v>
      </c>
      <c r="H118" s="1033">
        <f>G118</f>
        <v>0.60429999999999995</v>
      </c>
      <c r="I118" s="1033">
        <f>ROUND(0.5667-0.0136*B113,4)</f>
        <v>0.53810000000000002</v>
      </c>
      <c r="J118" s="1033">
        <f t="shared" si="33"/>
        <v>0.53810000000000002</v>
      </c>
      <c r="K118" s="1033">
        <f t="shared" si="33"/>
        <v>0.53810000000000002</v>
      </c>
      <c r="L118" s="1033">
        <f t="shared" si="33"/>
        <v>0.53810000000000002</v>
      </c>
      <c r="M118" s="1034">
        <f t="shared" si="33"/>
        <v>0.53810000000000002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76" t="s">
        <v>1009</v>
      </c>
      <c r="B18" s="1153" t="s">
        <v>1448</v>
      </c>
      <c r="C18" s="1130" t="s">
        <v>1449</v>
      </c>
      <c r="D18" s="1131"/>
      <c r="E18" s="1153">
        <v>1</v>
      </c>
      <c r="F18" s="1132" t="s">
        <v>1450</v>
      </c>
      <c r="G18" s="1133"/>
      <c r="H18" s="1104"/>
      <c r="I18" s="1104"/>
    </row>
    <row r="19" spans="1:9" s="1598" customFormat="1" ht="19.5" customHeight="1">
      <c r="A19" s="3476"/>
      <c r="B19" s="3476" t="s">
        <v>1451</v>
      </c>
      <c r="C19" s="1130" t="s">
        <v>1452</v>
      </c>
      <c r="D19" s="1131"/>
      <c r="E19" s="1153">
        <v>0.9</v>
      </c>
      <c r="F19" s="1132" t="s">
        <v>1453</v>
      </c>
      <c r="G19" s="1133"/>
      <c r="H19" s="1104"/>
      <c r="I19" s="1104"/>
    </row>
    <row r="20" spans="1:9" s="1598" customFormat="1" ht="19.5" customHeight="1">
      <c r="A20" s="3476"/>
      <c r="B20" s="3476"/>
      <c r="C20" s="1130" t="s">
        <v>1454</v>
      </c>
      <c r="D20" s="1131"/>
      <c r="E20" s="1153">
        <v>1.1000000000000001</v>
      </c>
      <c r="F20" s="1132" t="s">
        <v>1455</v>
      </c>
      <c r="G20" s="1133"/>
      <c r="H20" s="1104"/>
      <c r="I20" s="1104"/>
    </row>
    <row r="21" spans="1:9" s="1598" customFormat="1" ht="19.5" customHeight="1">
      <c r="A21" s="3476"/>
      <c r="B21" s="3476"/>
      <c r="C21" s="1130" t="s">
        <v>1456</v>
      </c>
      <c r="D21" s="1131"/>
      <c r="E21" s="1153">
        <v>0.8</v>
      </c>
      <c r="F21" s="1132" t="s">
        <v>1457</v>
      </c>
      <c r="G21" s="1133"/>
      <c r="H21" s="1104"/>
      <c r="I21" s="1104"/>
    </row>
    <row r="22" spans="1:9" s="1598" customFormat="1" ht="19.5" customHeight="1">
      <c r="A22" s="3476"/>
      <c r="B22" s="3476"/>
      <c r="C22" s="1130" t="s">
        <v>1458</v>
      </c>
      <c r="D22" s="1131"/>
      <c r="E22" s="1153">
        <v>0.5</v>
      </c>
      <c r="F22" s="1132"/>
      <c r="G22" s="1133"/>
      <c r="H22" s="1104"/>
      <c r="I22" s="1104"/>
    </row>
    <row r="23" spans="1:9" s="1598" customFormat="1" ht="19.5" customHeight="1">
      <c r="A23" s="3476" t="s">
        <v>1031</v>
      </c>
      <c r="B23" s="1153" t="s">
        <v>1448</v>
      </c>
      <c r="C23" s="1130" t="s">
        <v>1459</v>
      </c>
      <c r="D23" s="1131"/>
      <c r="E23" s="1153">
        <v>1</v>
      </c>
      <c r="F23" s="1132" t="s">
        <v>1460</v>
      </c>
      <c r="G23" s="1133"/>
      <c r="H23" s="1104"/>
      <c r="I23" s="1104"/>
    </row>
    <row r="24" spans="1:9" s="1598" customFormat="1" ht="19.5" customHeight="1">
      <c r="A24" s="3476"/>
      <c r="B24" s="3476" t="s">
        <v>1451</v>
      </c>
      <c r="C24" s="1130" t="s">
        <v>1461</v>
      </c>
      <c r="D24" s="1131"/>
      <c r="E24" s="1153">
        <v>0.5</v>
      </c>
      <c r="F24" s="1132"/>
      <c r="G24" s="1133"/>
      <c r="H24" s="1104"/>
      <c r="I24" s="1104"/>
    </row>
    <row r="25" spans="1:9" s="1598" customFormat="1" ht="19.5" customHeight="1">
      <c r="A25" s="3476"/>
      <c r="B25" s="3476"/>
      <c r="C25" s="1130" t="s">
        <v>1462</v>
      </c>
      <c r="D25" s="1131"/>
      <c r="E25" s="1153">
        <v>1.1000000000000001</v>
      </c>
      <c r="F25" s="1132"/>
      <c r="G25" s="1133"/>
      <c r="H25" s="1104"/>
      <c r="I25" s="1104"/>
    </row>
    <row r="26" spans="1:9" s="1598" customFormat="1" ht="19.5" customHeight="1">
      <c r="A26" s="3476"/>
      <c r="B26" s="3476"/>
      <c r="C26" s="1130" t="s">
        <v>1463</v>
      </c>
      <c r="D26" s="1131"/>
      <c r="E26" s="1153">
        <v>1.1000000000000001</v>
      </c>
      <c r="F26" s="1132"/>
      <c r="G26" s="1133"/>
      <c r="H26" s="1104"/>
      <c r="I26" s="1104"/>
    </row>
    <row r="27" spans="1:9" s="1598" customFormat="1" ht="19.5" customHeight="1">
      <c r="A27" s="3476"/>
      <c r="B27" s="3476"/>
      <c r="C27" s="1130" t="s">
        <v>1464</v>
      </c>
      <c r="D27" s="1131"/>
      <c r="E27" s="1153">
        <v>0.9</v>
      </c>
      <c r="F27" s="1132" t="s">
        <v>1465</v>
      </c>
      <c r="G27" s="1133"/>
      <c r="H27" s="1104"/>
      <c r="I27" s="1104"/>
    </row>
    <row r="28" spans="1:9" s="1598" customFormat="1" ht="19.5" customHeight="1">
      <c r="A28" s="3476"/>
      <c r="B28" s="3476"/>
      <c r="C28" s="1130" t="s">
        <v>1466</v>
      </c>
      <c r="D28" s="1131"/>
      <c r="E28" s="1153">
        <v>0.9</v>
      </c>
      <c r="F28" s="1132" t="s">
        <v>1467</v>
      </c>
      <c r="G28" s="1133"/>
      <c r="H28" s="1104"/>
      <c r="I28" s="1104"/>
    </row>
    <row r="29" spans="1:9" s="1598" customFormat="1" ht="19.5" customHeight="1">
      <c r="A29" s="3476"/>
      <c r="B29" s="3476"/>
      <c r="C29" s="1130" t="s">
        <v>1468</v>
      </c>
      <c r="D29" s="1131"/>
      <c r="E29" s="1153">
        <v>0.9</v>
      </c>
      <c r="F29" s="1132" t="s">
        <v>1469</v>
      </c>
      <c r="G29" s="1133"/>
      <c r="H29" s="1104"/>
      <c r="I29" s="1104"/>
    </row>
    <row r="30" spans="1:9" s="1598" customFormat="1" ht="19.5" customHeight="1">
      <c r="A30" s="3476"/>
      <c r="B30" s="3476"/>
      <c r="C30" s="1130" t="s">
        <v>1470</v>
      </c>
      <c r="D30" s="1131"/>
      <c r="E30" s="1153">
        <v>0.9</v>
      </c>
      <c r="F30" s="1132" t="s">
        <v>1471</v>
      </c>
      <c r="G30" s="1133"/>
      <c r="H30" s="1104"/>
      <c r="I30" s="1104"/>
    </row>
    <row r="31" spans="1:9" s="1598" customFormat="1" ht="19.5" customHeight="1">
      <c r="A31" s="3476"/>
      <c r="B31" s="3476"/>
      <c r="C31" s="1130" t="s">
        <v>1472</v>
      </c>
      <c r="D31" s="1131"/>
      <c r="E31" s="1153">
        <v>0.8</v>
      </c>
      <c r="F31" s="1132" t="s">
        <v>1473</v>
      </c>
      <c r="G31" s="1133"/>
      <c r="H31" s="1104"/>
      <c r="I31" s="1104"/>
    </row>
    <row r="32" spans="1:9" s="1598" customFormat="1" ht="19.5" customHeight="1">
      <c r="A32" s="3476"/>
      <c r="B32" s="3476"/>
      <c r="C32" s="1130" t="s">
        <v>1474</v>
      </c>
      <c r="D32" s="1131"/>
      <c r="E32" s="1153">
        <v>0.8</v>
      </c>
      <c r="F32" s="1132" t="s">
        <v>1475</v>
      </c>
      <c r="G32" s="1133"/>
      <c r="H32" s="1104"/>
      <c r="I32" s="1104"/>
    </row>
    <row r="33" spans="1:9" s="1598" customFormat="1" ht="19.5" customHeight="1">
      <c r="A33" s="3476" t="s">
        <v>1476</v>
      </c>
      <c r="B33" s="1153" t="s">
        <v>1448</v>
      </c>
      <c r="C33" s="1130" t="s">
        <v>1477</v>
      </c>
      <c r="D33" s="1131"/>
      <c r="E33" s="1153">
        <v>1</v>
      </c>
      <c r="F33" s="1132" t="s">
        <v>1478</v>
      </c>
      <c r="G33" s="1133"/>
      <c r="H33" s="1104"/>
      <c r="I33" s="1104"/>
    </row>
    <row r="34" spans="1:9" s="1598" customFormat="1" ht="19.5" customHeight="1">
      <c r="A34" s="3476"/>
      <c r="B34" s="1153" t="s">
        <v>1451</v>
      </c>
      <c r="C34" s="1130" t="s">
        <v>1479</v>
      </c>
      <c r="D34" s="1131"/>
      <c r="E34" s="1153">
        <v>1.5</v>
      </c>
      <c r="F34" s="1132" t="s">
        <v>1480</v>
      </c>
      <c r="G34" s="1133"/>
      <c r="H34" s="1104"/>
      <c r="I34" s="1104"/>
    </row>
    <row r="35" spans="1:9" s="1598" customFormat="1" ht="19.5" customHeight="1">
      <c r="A35" s="3476" t="s">
        <v>1434</v>
      </c>
      <c r="B35" s="1153" t="s">
        <v>1448</v>
      </c>
      <c r="C35" s="1130" t="s">
        <v>1481</v>
      </c>
      <c r="D35" s="1131"/>
      <c r="E35" s="1153">
        <v>1</v>
      </c>
      <c r="F35" s="1132" t="s">
        <v>1482</v>
      </c>
      <c r="G35" s="1133"/>
      <c r="H35" s="1104"/>
      <c r="I35" s="1104"/>
    </row>
    <row r="36" spans="1:9" s="1598" customFormat="1" ht="19.5" customHeight="1">
      <c r="A36" s="3476"/>
      <c r="B36" s="3476" t="s">
        <v>1451</v>
      </c>
      <c r="C36" s="1130" t="s">
        <v>1483</v>
      </c>
      <c r="D36" s="1131"/>
      <c r="E36" s="1153">
        <v>1</v>
      </c>
      <c r="F36" s="1132" t="s">
        <v>1484</v>
      </c>
      <c r="G36" s="1133"/>
      <c r="H36" s="1104"/>
      <c r="I36" s="1104"/>
    </row>
    <row r="37" spans="1:9" s="1598" customFormat="1" ht="19.5" customHeight="1">
      <c r="A37" s="3476"/>
      <c r="B37" s="3476"/>
      <c r="C37" s="1130" t="s">
        <v>1485</v>
      </c>
      <c r="D37" s="1131"/>
      <c r="E37" s="1153">
        <v>1.5</v>
      </c>
      <c r="F37" s="1132" t="s">
        <v>1486</v>
      </c>
      <c r="G37" s="1133"/>
      <c r="H37" s="1104"/>
      <c r="I37" s="1104"/>
    </row>
    <row r="38" spans="1:9" s="1598" customFormat="1" ht="19.5" customHeight="1">
      <c r="A38" s="3476"/>
      <c r="B38" s="3476"/>
      <c r="C38" s="1130" t="s">
        <v>1487</v>
      </c>
      <c r="D38" s="1131"/>
      <c r="E38" s="1153">
        <v>1</v>
      </c>
      <c r="F38" s="1132" t="s">
        <v>1488</v>
      </c>
      <c r="G38" s="1133"/>
      <c r="H38" s="1104"/>
      <c r="I38" s="1104"/>
    </row>
    <row r="39" spans="1:9" s="1598" customFormat="1" ht="19.5" customHeight="1">
      <c r="A39" s="3476"/>
      <c r="B39" s="3476"/>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76" t="s">
        <v>1503</v>
      </c>
      <c r="C61" s="1067" t="s">
        <v>1504</v>
      </c>
      <c r="D61" s="1067" t="s">
        <v>1505</v>
      </c>
      <c r="E61" s="1138">
        <v>0.5</v>
      </c>
      <c r="F61" s="1153">
        <v>80</v>
      </c>
      <c r="H61" s="1104">
        <f>SUMIF(C59:C119,基准地价!C8,E59:E119)</f>
        <v>0</v>
      </c>
    </row>
    <row r="62" spans="1:8" s="1104" customFormat="1" ht="24">
      <c r="A62" s="1153">
        <v>2</v>
      </c>
      <c r="B62" s="3476"/>
      <c r="C62" s="1067" t="s">
        <v>1506</v>
      </c>
      <c r="D62" s="1067" t="s">
        <v>1507</v>
      </c>
      <c r="E62" s="1138">
        <v>0.5</v>
      </c>
      <c r="F62" s="1153">
        <v>80</v>
      </c>
    </row>
    <row r="63" spans="1:8" s="1104" customFormat="1" ht="36">
      <c r="A63" s="1153">
        <v>3</v>
      </c>
      <c r="B63" s="3476"/>
      <c r="C63" s="1067" t="s">
        <v>1508</v>
      </c>
      <c r="D63" s="1067" t="s">
        <v>1509</v>
      </c>
      <c r="E63" s="1138">
        <v>0.5</v>
      </c>
      <c r="F63" s="1153">
        <v>80</v>
      </c>
    </row>
    <row r="64" spans="1:8" s="1104" customFormat="1" ht="36">
      <c r="A64" s="1153">
        <v>4</v>
      </c>
      <c r="B64" s="3476"/>
      <c r="C64" s="1067" t="s">
        <v>1510</v>
      </c>
      <c r="D64" s="1067" t="s">
        <v>1511</v>
      </c>
      <c r="E64" s="1138">
        <v>0.4</v>
      </c>
      <c r="F64" s="1153">
        <v>60</v>
      </c>
    </row>
    <row r="65" spans="1:6" s="1104" customFormat="1" ht="36">
      <c r="A65" s="1153">
        <v>5</v>
      </c>
      <c r="B65" s="3476"/>
      <c r="C65" s="1067" t="s">
        <v>1512</v>
      </c>
      <c r="D65" s="1067" t="s">
        <v>1513</v>
      </c>
      <c r="E65" s="1138">
        <v>0.2</v>
      </c>
      <c r="F65" s="1153">
        <v>30</v>
      </c>
    </row>
    <row r="66" spans="1:6" s="1104" customFormat="1" ht="36">
      <c r="A66" s="1153">
        <v>6</v>
      </c>
      <c r="B66" s="3476"/>
      <c r="C66" s="1067" t="s">
        <v>1514</v>
      </c>
      <c r="D66" s="1067" t="s">
        <v>1515</v>
      </c>
      <c r="E66" s="1138">
        <v>0.3</v>
      </c>
      <c r="F66" s="1153">
        <v>50</v>
      </c>
    </row>
    <row r="67" spans="1:6" s="1104" customFormat="1" ht="36">
      <c r="A67" s="1153">
        <v>7</v>
      </c>
      <c r="B67" s="3476"/>
      <c r="C67" s="1067" t="s">
        <v>1516</v>
      </c>
      <c r="D67" s="1067" t="s">
        <v>1517</v>
      </c>
      <c r="E67" s="1138">
        <v>0.2</v>
      </c>
      <c r="F67" s="1153">
        <v>30</v>
      </c>
    </row>
    <row r="68" spans="1:6" s="1104" customFormat="1" ht="36">
      <c r="A68" s="1153">
        <v>8</v>
      </c>
      <c r="B68" s="3476"/>
      <c r="C68" s="1067" t="s">
        <v>1518</v>
      </c>
      <c r="D68" s="1067" t="s">
        <v>1519</v>
      </c>
      <c r="E68" s="1138">
        <v>0.2</v>
      </c>
      <c r="F68" s="1153">
        <v>30</v>
      </c>
    </row>
    <row r="69" spans="1:6" s="1104" customFormat="1" ht="36">
      <c r="A69" s="1153">
        <v>9</v>
      </c>
      <c r="B69" s="3476"/>
      <c r="C69" s="1067" t="s">
        <v>1520</v>
      </c>
      <c r="D69" s="1067" t="s">
        <v>1521</v>
      </c>
      <c r="E69" s="1138">
        <v>0.2</v>
      </c>
      <c r="F69" s="1153">
        <v>30</v>
      </c>
    </row>
    <row r="70" spans="1:6" s="1104" customFormat="1" ht="48">
      <c r="A70" s="1153">
        <v>10</v>
      </c>
      <c r="B70" s="3476"/>
      <c r="C70" s="1067" t="s">
        <v>1522</v>
      </c>
      <c r="D70" s="1067" t="s">
        <v>1523</v>
      </c>
      <c r="E70" s="1138">
        <v>0.2</v>
      </c>
      <c r="F70" s="1153">
        <v>30</v>
      </c>
    </row>
    <row r="71" spans="1:6" s="1104" customFormat="1" ht="48">
      <c r="A71" s="1153">
        <v>11</v>
      </c>
      <c r="B71" s="3476"/>
      <c r="C71" s="1067" t="s">
        <v>1524</v>
      </c>
      <c r="D71" s="1067" t="s">
        <v>1525</v>
      </c>
      <c r="E71" s="1138">
        <v>0.2</v>
      </c>
      <c r="F71" s="1153">
        <v>30</v>
      </c>
    </row>
    <row r="72" spans="1:6" s="1104" customFormat="1" ht="36">
      <c r="A72" s="1153">
        <v>12</v>
      </c>
      <c r="B72" s="3476"/>
      <c r="C72" s="1067" t="s">
        <v>1526</v>
      </c>
      <c r="D72" s="1067" t="s">
        <v>1527</v>
      </c>
      <c r="E72" s="1138">
        <v>0.5</v>
      </c>
      <c r="F72" s="1153">
        <v>80</v>
      </c>
    </row>
    <row r="73" spans="1:6" s="1104" customFormat="1" ht="24">
      <c r="A73" s="1153">
        <v>13</v>
      </c>
      <c r="B73" s="3476"/>
      <c r="C73" s="1067" t="s">
        <v>1528</v>
      </c>
      <c r="D73" s="1067" t="s">
        <v>1529</v>
      </c>
      <c r="E73" s="1138">
        <v>0.4</v>
      </c>
      <c r="F73" s="1153">
        <v>60</v>
      </c>
    </row>
    <row r="74" spans="1:6" s="1104" customFormat="1" ht="24">
      <c r="A74" s="1153">
        <v>14</v>
      </c>
      <c r="B74" s="3476"/>
      <c r="C74" s="1067" t="s">
        <v>1530</v>
      </c>
      <c r="D74" s="1067" t="s">
        <v>1531</v>
      </c>
      <c r="E74" s="1138">
        <v>0.2</v>
      </c>
      <c r="F74" s="1153">
        <v>30</v>
      </c>
    </row>
    <row r="75" spans="1:6" s="1104" customFormat="1" ht="24">
      <c r="A75" s="1153">
        <v>15</v>
      </c>
      <c r="B75" s="3476"/>
      <c r="C75" s="1067" t="s">
        <v>1532</v>
      </c>
      <c r="D75" s="1067" t="s">
        <v>1533</v>
      </c>
      <c r="E75" s="1138">
        <v>0.2</v>
      </c>
      <c r="F75" s="1153">
        <v>30</v>
      </c>
    </row>
    <row r="76" spans="1:6" s="1104" customFormat="1" ht="24">
      <c r="A76" s="1153">
        <v>16</v>
      </c>
      <c r="B76" s="3476" t="s">
        <v>1534</v>
      </c>
      <c r="C76" s="1067" t="s">
        <v>1535</v>
      </c>
      <c r="D76" s="1067" t="s">
        <v>1536</v>
      </c>
      <c r="E76" s="1138">
        <v>0.5</v>
      </c>
      <c r="F76" s="1153">
        <v>80</v>
      </c>
    </row>
    <row r="77" spans="1:6" s="1104" customFormat="1" ht="24">
      <c r="A77" s="1153">
        <v>17</v>
      </c>
      <c r="B77" s="3476"/>
      <c r="C77" s="1067" t="s">
        <v>1537</v>
      </c>
      <c r="D77" s="1067" t="s">
        <v>1538</v>
      </c>
      <c r="E77" s="1138">
        <v>0.5</v>
      </c>
      <c r="F77" s="1153">
        <v>80</v>
      </c>
    </row>
    <row r="78" spans="1:6" s="1104" customFormat="1" ht="24">
      <c r="A78" s="1153">
        <v>18</v>
      </c>
      <c r="B78" s="3476"/>
      <c r="C78" s="1067" t="s">
        <v>1539</v>
      </c>
      <c r="D78" s="1067" t="s">
        <v>1540</v>
      </c>
      <c r="E78" s="1138">
        <v>0.2</v>
      </c>
      <c r="F78" s="1153">
        <v>30</v>
      </c>
    </row>
    <row r="79" spans="1:6" s="1104" customFormat="1" ht="24">
      <c r="A79" s="1153">
        <v>19</v>
      </c>
      <c r="B79" s="3476"/>
      <c r="C79" s="1067" t="s">
        <v>1541</v>
      </c>
      <c r="D79" s="1067" t="s">
        <v>1542</v>
      </c>
      <c r="E79" s="1138">
        <v>0.5</v>
      </c>
      <c r="F79" s="1153">
        <v>80</v>
      </c>
    </row>
    <row r="80" spans="1:6" s="1104" customFormat="1" ht="36">
      <c r="A80" s="1153">
        <v>20</v>
      </c>
      <c r="B80" s="3476"/>
      <c r="C80" s="1067" t="s">
        <v>1543</v>
      </c>
      <c r="D80" s="1067" t="s">
        <v>1544</v>
      </c>
      <c r="E80" s="1138">
        <v>0.2</v>
      </c>
      <c r="F80" s="1153">
        <v>30</v>
      </c>
    </row>
    <row r="81" spans="1:6" s="1104" customFormat="1" ht="36">
      <c r="A81" s="1153">
        <v>21</v>
      </c>
      <c r="B81" s="3476"/>
      <c r="C81" s="1067" t="s">
        <v>1545</v>
      </c>
      <c r="D81" s="1067" t="s">
        <v>1546</v>
      </c>
      <c r="E81" s="1138">
        <v>0.2</v>
      </c>
      <c r="F81" s="1153">
        <v>30</v>
      </c>
    </row>
    <row r="82" spans="1:6" s="1104" customFormat="1" ht="48">
      <c r="A82" s="1153">
        <v>22</v>
      </c>
      <c r="B82" s="3476"/>
      <c r="C82" s="1067" t="s">
        <v>1547</v>
      </c>
      <c r="D82" s="1067" t="s">
        <v>1548</v>
      </c>
      <c r="E82" s="1138">
        <v>0.2</v>
      </c>
      <c r="F82" s="1153">
        <v>30</v>
      </c>
    </row>
    <row r="83" spans="1:6" s="1104" customFormat="1" ht="48">
      <c r="A83" s="1153">
        <v>23</v>
      </c>
      <c r="B83" s="3476"/>
      <c r="C83" s="1067" t="s">
        <v>1549</v>
      </c>
      <c r="D83" s="1067" t="s">
        <v>1550</v>
      </c>
      <c r="E83" s="1138">
        <v>0.2</v>
      </c>
      <c r="F83" s="1153">
        <v>30</v>
      </c>
    </row>
    <row r="84" spans="1:6" s="1104" customFormat="1" ht="36">
      <c r="A84" s="1153">
        <v>24</v>
      </c>
      <c r="B84" s="3476"/>
      <c r="C84" s="1067" t="s">
        <v>1551</v>
      </c>
      <c r="D84" s="1067" t="s">
        <v>1552</v>
      </c>
      <c r="E84" s="1138">
        <v>0.2</v>
      </c>
      <c r="F84" s="1153">
        <v>30</v>
      </c>
    </row>
    <row r="85" spans="1:6" s="1104" customFormat="1" ht="36">
      <c r="A85" s="1153">
        <v>25</v>
      </c>
      <c r="B85" s="3476"/>
      <c r="C85" s="1067" t="s">
        <v>1553</v>
      </c>
      <c r="D85" s="1067" t="s">
        <v>1554</v>
      </c>
      <c r="E85" s="1138">
        <v>0.5</v>
      </c>
      <c r="F85" s="1153">
        <v>80</v>
      </c>
    </row>
    <row r="86" spans="1:6" s="1104" customFormat="1" ht="36">
      <c r="A86" s="1153">
        <v>26</v>
      </c>
      <c r="B86" s="3476"/>
      <c r="C86" s="1067" t="s">
        <v>1555</v>
      </c>
      <c r="D86" s="1067" t="s">
        <v>1556</v>
      </c>
      <c r="E86" s="1138">
        <v>0.2</v>
      </c>
      <c r="F86" s="1153">
        <v>30</v>
      </c>
    </row>
    <row r="87" spans="1:6" s="1104" customFormat="1" ht="36">
      <c r="A87" s="1153">
        <v>27</v>
      </c>
      <c r="B87" s="3476"/>
      <c r="C87" s="1067" t="s">
        <v>1557</v>
      </c>
      <c r="D87" s="1067" t="s">
        <v>1558</v>
      </c>
      <c r="E87" s="1138">
        <v>0.2</v>
      </c>
      <c r="F87" s="1153">
        <v>30</v>
      </c>
    </row>
    <row r="88" spans="1:6" s="1104" customFormat="1" ht="36">
      <c r="A88" s="1153">
        <v>28</v>
      </c>
      <c r="B88" s="3476"/>
      <c r="C88" s="1067" t="s">
        <v>1559</v>
      </c>
      <c r="D88" s="1067" t="s">
        <v>1560</v>
      </c>
      <c r="E88" s="1138">
        <v>0.2</v>
      </c>
      <c r="F88" s="1153">
        <v>30</v>
      </c>
    </row>
    <row r="89" spans="1:6" s="1104" customFormat="1" ht="24">
      <c r="A89" s="1153">
        <v>29</v>
      </c>
      <c r="B89" s="3476"/>
      <c r="C89" s="1067" t="s">
        <v>1561</v>
      </c>
      <c r="D89" s="1067" t="s">
        <v>1562</v>
      </c>
      <c r="E89" s="1138">
        <v>0.2</v>
      </c>
      <c r="F89" s="1153">
        <v>30</v>
      </c>
    </row>
    <row r="90" spans="1:6" s="1104" customFormat="1" ht="24">
      <c r="A90" s="1153">
        <v>30</v>
      </c>
      <c r="B90" s="3476"/>
      <c r="C90" s="1067" t="s">
        <v>1563</v>
      </c>
      <c r="D90" s="1067" t="s">
        <v>1564</v>
      </c>
      <c r="E90" s="1138">
        <v>0.2</v>
      </c>
      <c r="F90" s="1153">
        <v>30</v>
      </c>
    </row>
    <row r="91" spans="1:6" s="1104" customFormat="1" ht="36">
      <c r="A91" s="1153">
        <v>31</v>
      </c>
      <c r="B91" s="3476"/>
      <c r="C91" s="1067" t="s">
        <v>1565</v>
      </c>
      <c r="D91" s="1067" t="s">
        <v>1566</v>
      </c>
      <c r="E91" s="1138">
        <v>0.2</v>
      </c>
      <c r="F91" s="1153">
        <v>30</v>
      </c>
    </row>
    <row r="92" spans="1:6" s="1104" customFormat="1" ht="24">
      <c r="A92" s="1153">
        <v>32</v>
      </c>
      <c r="B92" s="3476" t="s">
        <v>1567</v>
      </c>
      <c r="C92" s="1153" t="s">
        <v>1568</v>
      </c>
      <c r="D92" s="1067" t="s">
        <v>1569</v>
      </c>
      <c r="E92" s="1138">
        <v>0.2</v>
      </c>
      <c r="F92" s="1153">
        <v>30</v>
      </c>
    </row>
    <row r="93" spans="1:6" s="1104" customFormat="1" ht="36">
      <c r="A93" s="1153">
        <v>33</v>
      </c>
      <c r="B93" s="3476"/>
      <c r="C93" s="1153" t="s">
        <v>1570</v>
      </c>
      <c r="D93" s="1067" t="s">
        <v>1571</v>
      </c>
      <c r="E93" s="1138">
        <v>0.2</v>
      </c>
      <c r="F93" s="1153">
        <v>30</v>
      </c>
    </row>
    <row r="94" spans="1:6" s="1104" customFormat="1" ht="48">
      <c r="A94" s="1153">
        <v>34</v>
      </c>
      <c r="B94" s="3476"/>
      <c r="C94" s="1153" t="s">
        <v>1572</v>
      </c>
      <c r="D94" s="1067" t="s">
        <v>1573</v>
      </c>
      <c r="E94" s="1138">
        <v>0.2</v>
      </c>
      <c r="F94" s="1153">
        <v>30</v>
      </c>
    </row>
    <row r="95" spans="1:6" s="1104" customFormat="1" ht="36">
      <c r="A95" s="1153">
        <v>35</v>
      </c>
      <c r="B95" s="3476"/>
      <c r="C95" s="1153" t="s">
        <v>1574</v>
      </c>
      <c r="D95" s="1067" t="s">
        <v>1575</v>
      </c>
      <c r="E95" s="1138">
        <v>0.2</v>
      </c>
      <c r="F95" s="1153">
        <v>30</v>
      </c>
    </row>
    <row r="96" spans="1:6" s="1104" customFormat="1" ht="48">
      <c r="A96" s="1153">
        <v>36</v>
      </c>
      <c r="B96" s="3476"/>
      <c r="C96" s="1067" t="s">
        <v>1576</v>
      </c>
      <c r="D96" s="1067" t="s">
        <v>1577</v>
      </c>
      <c r="E96" s="1138">
        <v>0.2</v>
      </c>
      <c r="F96" s="1153">
        <v>30</v>
      </c>
    </row>
    <row r="97" spans="1:6" s="1104" customFormat="1" ht="36">
      <c r="A97" s="1153">
        <v>37</v>
      </c>
      <c r="B97" s="3476"/>
      <c r="C97" s="1153" t="s">
        <v>1578</v>
      </c>
      <c r="D97" s="1067" t="s">
        <v>1579</v>
      </c>
      <c r="E97" s="1138">
        <v>0.2</v>
      </c>
      <c r="F97" s="1153">
        <v>30</v>
      </c>
    </row>
    <row r="98" spans="1:6" s="1104" customFormat="1" ht="36">
      <c r="A98" s="1153">
        <v>38</v>
      </c>
      <c r="B98" s="3476"/>
      <c r="C98" s="1153" t="s">
        <v>1580</v>
      </c>
      <c r="D98" s="1067" t="s">
        <v>1581</v>
      </c>
      <c r="E98" s="1138">
        <v>0.2</v>
      </c>
      <c r="F98" s="1153">
        <v>30</v>
      </c>
    </row>
    <row r="99" spans="1:6" s="1104" customFormat="1" ht="36">
      <c r="A99" s="1153">
        <v>39</v>
      </c>
      <c r="B99" s="3476" t="s">
        <v>1582</v>
      </c>
      <c r="C99" s="1153" t="s">
        <v>1583</v>
      </c>
      <c r="D99" s="1067" t="s">
        <v>1584</v>
      </c>
      <c r="E99" s="1138">
        <v>0.3</v>
      </c>
      <c r="F99" s="1153">
        <v>50</v>
      </c>
    </row>
    <row r="100" spans="1:6" s="1104" customFormat="1" ht="24">
      <c r="A100" s="1153">
        <v>40</v>
      </c>
      <c r="B100" s="3476"/>
      <c r="C100" s="1153" t="s">
        <v>1585</v>
      </c>
      <c r="D100" s="1067" t="s">
        <v>1586</v>
      </c>
      <c r="E100" s="1138">
        <v>0.2</v>
      </c>
      <c r="F100" s="1153">
        <v>30</v>
      </c>
    </row>
    <row r="101" spans="1:6" s="1104" customFormat="1" ht="36">
      <c r="A101" s="1153">
        <v>41</v>
      </c>
      <c r="B101" s="3476"/>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76" t="s">
        <v>1597</v>
      </c>
      <c r="C105" s="1153" t="s">
        <v>1598</v>
      </c>
      <c r="D105" s="1067" t="s">
        <v>1599</v>
      </c>
      <c r="E105" s="1138">
        <v>0.2</v>
      </c>
      <c r="F105" s="1153">
        <v>30</v>
      </c>
    </row>
    <row r="106" spans="1:6" s="1104" customFormat="1" ht="36">
      <c r="A106" s="1153">
        <v>46</v>
      </c>
      <c r="B106" s="3476"/>
      <c r="C106" s="1153" t="s">
        <v>1600</v>
      </c>
      <c r="D106" s="1067" t="s">
        <v>1601</v>
      </c>
      <c r="E106" s="1138">
        <v>0.2</v>
      </c>
      <c r="F106" s="1153">
        <v>30</v>
      </c>
    </row>
    <row r="107" spans="1:6" s="1104" customFormat="1" ht="36">
      <c r="A107" s="1153">
        <v>47</v>
      </c>
      <c r="B107" s="3476" t="s">
        <v>1602</v>
      </c>
      <c r="C107" s="1153" t="s">
        <v>1603</v>
      </c>
      <c r="D107" s="1067" t="s">
        <v>1604</v>
      </c>
      <c r="E107" s="1138">
        <v>0.3</v>
      </c>
      <c r="F107" s="1153">
        <v>50</v>
      </c>
    </row>
    <row r="108" spans="1:6" s="1104" customFormat="1" ht="36">
      <c r="A108" s="1153">
        <v>48</v>
      </c>
      <c r="B108" s="3476"/>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76" t="s">
        <v>1613</v>
      </c>
      <c r="C111" s="1153" t="s">
        <v>1614</v>
      </c>
      <c r="D111" s="1067" t="s">
        <v>1615</v>
      </c>
      <c r="E111" s="1138">
        <v>0.2</v>
      </c>
      <c r="F111" s="1153">
        <v>30</v>
      </c>
    </row>
    <row r="112" spans="1:6" s="1104" customFormat="1" ht="24">
      <c r="A112" s="1153">
        <v>52</v>
      </c>
      <c r="B112" s="3476"/>
      <c r="C112" s="1153" t="s">
        <v>1616</v>
      </c>
      <c r="D112" s="1067" t="s">
        <v>1617</v>
      </c>
      <c r="E112" s="1138">
        <v>0.2</v>
      </c>
      <c r="F112" s="1153">
        <v>30</v>
      </c>
    </row>
    <row r="113" spans="1:14" s="1104" customFormat="1" ht="24">
      <c r="A113" s="1153">
        <v>53</v>
      </c>
      <c r="B113" s="3476"/>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76" t="s">
        <v>1626</v>
      </c>
      <c r="C116" s="1153" t="s">
        <v>1627</v>
      </c>
      <c r="D116" s="1067" t="s">
        <v>1628</v>
      </c>
      <c r="E116" s="1138">
        <v>0.2</v>
      </c>
      <c r="F116" s="1153">
        <v>30</v>
      </c>
    </row>
    <row r="117" spans="1:14" ht="36">
      <c r="A117" s="1153">
        <v>57</v>
      </c>
      <c r="B117" s="3476"/>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75" t="s">
        <v>1635</v>
      </c>
      <c r="B121" s="3475"/>
      <c r="C121" s="3475"/>
      <c r="D121" s="3475"/>
      <c r="E121" s="3475"/>
      <c r="F121" s="3475"/>
      <c r="G121" s="3475"/>
      <c r="H121" s="3475"/>
      <c r="I121" s="3475"/>
      <c r="J121" s="347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8" t="s">
        <v>1041</v>
      </c>
      <c r="B1" s="3488"/>
      <c r="C1" s="3488"/>
      <c r="D1" s="3488"/>
      <c r="E1" s="3488"/>
      <c r="F1" s="3488"/>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9" t="s">
        <v>1054</v>
      </c>
      <c r="B2" s="3489"/>
      <c r="C2" s="3489"/>
      <c r="D2" s="3489"/>
      <c r="E2" s="3489"/>
      <c r="F2" s="3489"/>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90"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91"/>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2" t="s">
        <v>2080</v>
      </c>
      <c r="B1" s="349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1098</v>
      </c>
      <c r="B6" s="1859" t="s">
        <v>2089</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2090</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2091</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2092</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2093</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2094</v>
      </c>
      <c r="C72" s="1869"/>
      <c r="D72" s="1869"/>
      <c r="E72" s="1869"/>
      <c r="F72" s="1861">
        <v>0.05</v>
      </c>
    </row>
    <row r="73" spans="1:6" ht="14.25" thickBot="1">
      <c r="A73" s="1855" t="s">
        <v>926</v>
      </c>
      <c r="B73" s="1859" t="s">
        <v>2095</v>
      </c>
      <c r="C73" s="1869"/>
      <c r="D73" s="1869"/>
      <c r="E73" s="1869"/>
      <c r="F73" s="1861">
        <v>0.05</v>
      </c>
    </row>
    <row r="74" spans="1:6" ht="14.25" thickBot="1">
      <c r="A74" s="1855" t="s">
        <v>926</v>
      </c>
      <c r="B74" s="1859" t="s">
        <v>2096</v>
      </c>
      <c r="C74" s="1869"/>
      <c r="D74" s="1869"/>
      <c r="E74" s="1869"/>
      <c r="F74" s="1861">
        <v>0.05</v>
      </c>
    </row>
    <row r="75" spans="1:6" ht="14.25" thickBot="1">
      <c r="A75" s="1863" t="s">
        <v>926</v>
      </c>
      <c r="B75" s="1870" t="s">
        <v>2097</v>
      </c>
      <c r="C75" s="1866"/>
      <c r="D75" s="1866"/>
      <c r="E75" s="1866"/>
      <c r="F75" s="1871">
        <v>0.05</v>
      </c>
    </row>
    <row r="76" spans="1:6" ht="14.25" thickBot="1">
      <c r="A76" s="1855" t="s">
        <v>1409</v>
      </c>
      <c r="B76" s="1856" t="s">
        <v>2098</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2099</v>
      </c>
      <c r="C102" s="1869"/>
      <c r="D102" s="1869"/>
      <c r="E102" s="1869"/>
      <c r="F102" s="1861">
        <v>0.05</v>
      </c>
    </row>
    <row r="103" spans="1:6" ht="24.75" thickBot="1">
      <c r="A103" s="1855" t="s">
        <v>1409</v>
      </c>
      <c r="B103" s="1859" t="s">
        <v>2100</v>
      </c>
      <c r="C103" s="1869"/>
      <c r="D103" s="1869"/>
      <c r="E103" s="1869"/>
      <c r="F103" s="1861">
        <v>0.05</v>
      </c>
    </row>
    <row r="104" spans="1:6" ht="14.25" thickBot="1">
      <c r="A104" s="1855" t="s">
        <v>1409</v>
      </c>
      <c r="B104" s="1859" t="s">
        <v>2101</v>
      </c>
      <c r="C104" s="1869"/>
      <c r="D104" s="1869"/>
      <c r="E104" s="1869"/>
      <c r="F104" s="1861">
        <v>0.05</v>
      </c>
    </row>
    <row r="105" spans="1:6" ht="14.25" thickBot="1">
      <c r="A105" s="1855" t="s">
        <v>1409</v>
      </c>
      <c r="B105" s="1859" t="s">
        <v>2102</v>
      </c>
      <c r="C105" s="1869"/>
      <c r="D105" s="1869"/>
      <c r="E105" s="1869"/>
      <c r="F105" s="1861">
        <v>0.05</v>
      </c>
    </row>
    <row r="106" spans="1:6" ht="14.25" thickBot="1">
      <c r="A106" s="1855" t="s">
        <v>1409</v>
      </c>
      <c r="B106" s="1859" t="s">
        <v>2103</v>
      </c>
      <c r="C106" s="1869"/>
      <c r="D106" s="1869"/>
      <c r="E106" s="1869"/>
      <c r="F106" s="1861">
        <v>0.05</v>
      </c>
    </row>
    <row r="107" spans="1:6" ht="24.75" thickBot="1">
      <c r="A107" s="1855" t="s">
        <v>1409</v>
      </c>
      <c r="B107" s="1859" t="s">
        <v>2104</v>
      </c>
      <c r="C107" s="1869"/>
      <c r="D107" s="1869"/>
      <c r="E107" s="1869"/>
      <c r="F107" s="1861">
        <v>0.05</v>
      </c>
    </row>
    <row r="108" spans="1:6" ht="24.75" thickBot="1">
      <c r="A108" s="1855" t="s">
        <v>1409</v>
      </c>
      <c r="B108" s="1859" t="s">
        <v>2105</v>
      </c>
      <c r="C108" s="1869"/>
      <c r="D108" s="1869"/>
      <c r="E108" s="1869"/>
      <c r="F108" s="1861">
        <v>0.05</v>
      </c>
    </row>
    <row r="109" spans="1:6" ht="24.75" thickBot="1">
      <c r="A109" s="1863" t="s">
        <v>1409</v>
      </c>
      <c r="B109" s="1870" t="s">
        <v>2106</v>
      </c>
      <c r="C109" s="1866"/>
      <c r="D109" s="1866"/>
      <c r="E109" s="1866"/>
      <c r="F109" s="1871">
        <v>0.05</v>
      </c>
    </row>
    <row r="110" spans="1:6" ht="14.25" thickBot="1">
      <c r="A110" s="1855" t="s">
        <v>1411</v>
      </c>
      <c r="B110" s="1856" t="s">
        <v>2107</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2108</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2109</v>
      </c>
      <c r="C138" s="1860">
        <v>0.105</v>
      </c>
      <c r="D138" s="1860">
        <v>0.125</v>
      </c>
      <c r="E138" s="1860">
        <v>0.112</v>
      </c>
      <c r="F138" s="1868"/>
    </row>
    <row r="139" spans="1:6" ht="14.25" thickBot="1">
      <c r="A139" s="1855" t="s">
        <v>1411</v>
      </c>
      <c r="B139" s="1859" t="s">
        <v>2110</v>
      </c>
      <c r="C139" s="1860">
        <v>0.127</v>
      </c>
      <c r="D139" s="1860">
        <v>0.127</v>
      </c>
      <c r="E139" s="1860">
        <v>0.122</v>
      </c>
      <c r="F139" s="1861">
        <v>0.13</v>
      </c>
    </row>
    <row r="140" spans="1:6" ht="14.25" thickBot="1">
      <c r="A140" s="1855" t="s">
        <v>1411</v>
      </c>
      <c r="B140" s="1859" t="s">
        <v>2111</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2112</v>
      </c>
      <c r="C144" s="1873">
        <v>0.126</v>
      </c>
      <c r="D144" s="1873">
        <v>0.126</v>
      </c>
      <c r="E144" s="1873">
        <v>0.121</v>
      </c>
      <c r="F144" s="1868"/>
    </row>
    <row r="145" spans="1:6" ht="14.25" thickBot="1">
      <c r="A145" s="1863" t="s">
        <v>1411</v>
      </c>
      <c r="B145" s="1874" t="s">
        <v>2113</v>
      </c>
      <c r="C145" s="1875"/>
      <c r="D145" s="1875"/>
      <c r="E145" s="1875"/>
      <c r="F145" s="1876">
        <v>0.05</v>
      </c>
    </row>
    <row r="146" spans="1:6" ht="24.75" thickBot="1">
      <c r="A146" s="1877" t="s">
        <v>1411</v>
      </c>
      <c r="B146" s="1862" t="s">
        <v>2114</v>
      </c>
      <c r="C146" s="1869"/>
      <c r="D146" s="1869"/>
      <c r="E146" s="1869"/>
      <c r="F146" s="1878">
        <v>0.05</v>
      </c>
    </row>
    <row r="147" spans="1:6" ht="24.75" thickBot="1">
      <c r="A147" s="1855" t="s">
        <v>1411</v>
      </c>
      <c r="B147" s="1859" t="s">
        <v>2115</v>
      </c>
      <c r="C147" s="1869"/>
      <c r="D147" s="1869"/>
      <c r="E147" s="1869"/>
      <c r="F147" s="1861">
        <v>0.05</v>
      </c>
    </row>
    <row r="148" spans="1:6" ht="24.75" thickBot="1">
      <c r="A148" s="1855" t="s">
        <v>1411</v>
      </c>
      <c r="B148" s="1859" t="s">
        <v>2116</v>
      </c>
      <c r="C148" s="1869"/>
      <c r="D148" s="1869"/>
      <c r="E148" s="1869"/>
      <c r="F148" s="1861">
        <v>0.05</v>
      </c>
    </row>
    <row r="149" spans="1:6" ht="24.75" thickBot="1">
      <c r="A149" s="1855" t="s">
        <v>1411</v>
      </c>
      <c r="B149" s="1859" t="s">
        <v>2117</v>
      </c>
      <c r="C149" s="1869"/>
      <c r="D149" s="1869"/>
      <c r="E149" s="1869"/>
      <c r="F149" s="1861">
        <v>0.05</v>
      </c>
    </row>
    <row r="150" spans="1:6" ht="24.75" thickBot="1">
      <c r="A150" s="1855" t="s">
        <v>1411</v>
      </c>
      <c r="B150" s="1859" t="s">
        <v>2118</v>
      </c>
      <c r="C150" s="1869"/>
      <c r="D150" s="1869"/>
      <c r="E150" s="1869"/>
      <c r="F150" s="1861">
        <v>0.05</v>
      </c>
    </row>
    <row r="151" spans="1:6" ht="24.75" thickBot="1">
      <c r="A151" s="1855" t="s">
        <v>1411</v>
      </c>
      <c r="B151" s="1859" t="s">
        <v>2119</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2120</v>
      </c>
      <c r="C153" s="1869"/>
      <c r="D153" s="1869"/>
      <c r="E153" s="1869"/>
      <c r="F153" s="1861">
        <v>0.05</v>
      </c>
    </row>
    <row r="154" spans="1:6" ht="14.25" thickBot="1">
      <c r="A154" s="1855" t="s">
        <v>1411</v>
      </c>
      <c r="B154" s="1859" t="s">
        <v>2121</v>
      </c>
      <c r="C154" s="1869"/>
      <c r="D154" s="1869"/>
      <c r="E154" s="1869"/>
      <c r="F154" s="1861">
        <v>0.05</v>
      </c>
    </row>
    <row r="155" spans="1:6" ht="24.75" thickBot="1">
      <c r="A155" s="1855" t="s">
        <v>1411</v>
      </c>
      <c r="B155" s="1859" t="s">
        <v>2122</v>
      </c>
      <c r="C155" s="1869"/>
      <c r="D155" s="1869"/>
      <c r="E155" s="1869"/>
      <c r="F155" s="1861">
        <v>0.05</v>
      </c>
    </row>
    <row r="156" spans="1:6" ht="24.75" thickBot="1">
      <c r="A156" s="1855" t="s">
        <v>1411</v>
      </c>
      <c r="B156" s="1859" t="s">
        <v>2123</v>
      </c>
      <c r="C156" s="1869"/>
      <c r="D156" s="1869"/>
      <c r="E156" s="1869"/>
      <c r="F156" s="1861">
        <v>0.05</v>
      </c>
    </row>
    <row r="157" spans="1:6" ht="14.25" thickBot="1">
      <c r="A157" s="1863" t="s">
        <v>1411</v>
      </c>
      <c r="B157" s="1870" t="s">
        <v>2124</v>
      </c>
      <c r="C157" s="1866"/>
      <c r="D157" s="1866"/>
      <c r="E157" s="1866"/>
      <c r="F157" s="1871">
        <v>0.05</v>
      </c>
    </row>
    <row r="158" spans="1:6" ht="14.25" thickBot="1">
      <c r="A158" s="1855" t="s">
        <v>1413</v>
      </c>
      <c r="B158" s="1856" t="s">
        <v>2125</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2126</v>
      </c>
      <c r="C171" s="1860">
        <v>0.127</v>
      </c>
      <c r="D171" s="1860">
        <v>0.126</v>
      </c>
      <c r="E171" s="1860">
        <v>0.126</v>
      </c>
      <c r="F171" s="1861">
        <v>0.11799999999999999</v>
      </c>
    </row>
    <row r="172" spans="1:6" ht="14.25" thickBot="1">
      <c r="A172" s="1855" t="s">
        <v>1413</v>
      </c>
      <c r="B172" s="1859" t="s">
        <v>2127</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2128</v>
      </c>
      <c r="C174" s="1860">
        <v>0.13</v>
      </c>
      <c r="D174" s="1860">
        <v>0.13</v>
      </c>
      <c r="E174" s="1860">
        <v>0.13</v>
      </c>
      <c r="F174" s="1861">
        <v>0.13</v>
      </c>
    </row>
    <row r="175" spans="1:6" ht="14.25" thickBot="1">
      <c r="A175" s="1855" t="s">
        <v>1413</v>
      </c>
      <c r="B175" s="1859" t="s">
        <v>2129</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2130</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2131</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2132</v>
      </c>
      <c r="C185" s="1860">
        <v>0.127</v>
      </c>
      <c r="D185" s="1860">
        <v>0.127</v>
      </c>
      <c r="E185" s="1860">
        <v>0.128</v>
      </c>
      <c r="F185" s="1861">
        <v>0.13</v>
      </c>
    </row>
    <row r="186" spans="1:6" ht="24.75" thickBot="1">
      <c r="A186" s="1855" t="s">
        <v>1413</v>
      </c>
      <c r="B186" s="1859" t="s">
        <v>2133</v>
      </c>
      <c r="C186" s="1869"/>
      <c r="D186" s="1869"/>
      <c r="E186" s="1869"/>
      <c r="F186" s="1861">
        <v>0.05</v>
      </c>
    </row>
    <row r="187" spans="1:6" ht="14.25" thickBot="1">
      <c r="A187" s="1855" t="s">
        <v>1413</v>
      </c>
      <c r="B187" s="1859" t="s">
        <v>2134</v>
      </c>
      <c r="C187" s="1869"/>
      <c r="D187" s="1869"/>
      <c r="E187" s="1869"/>
      <c r="F187" s="1861">
        <v>0.05</v>
      </c>
    </row>
    <row r="188" spans="1:6" ht="14.25" thickBot="1">
      <c r="A188" s="1855" t="s">
        <v>1413</v>
      </c>
      <c r="B188" s="1859" t="s">
        <v>2135</v>
      </c>
      <c r="C188" s="1869"/>
      <c r="D188" s="1869"/>
      <c r="E188" s="1869"/>
      <c r="F188" s="1861">
        <v>0.05</v>
      </c>
    </row>
    <row r="189" spans="1:6" ht="24.75" thickBot="1">
      <c r="A189" s="1855" t="s">
        <v>1413</v>
      </c>
      <c r="B189" s="1859" t="s">
        <v>2136</v>
      </c>
      <c r="C189" s="1869"/>
      <c r="D189" s="1869"/>
      <c r="E189" s="1869"/>
      <c r="F189" s="1861">
        <v>0.05</v>
      </c>
    </row>
    <row r="190" spans="1:6" ht="24.75" thickBot="1">
      <c r="A190" s="1855" t="s">
        <v>1413</v>
      </c>
      <c r="B190" s="1859" t="s">
        <v>2137</v>
      </c>
      <c r="C190" s="1869"/>
      <c r="D190" s="1869"/>
      <c r="E190" s="1869"/>
      <c r="F190" s="1861">
        <v>0.05</v>
      </c>
    </row>
    <row r="191" spans="1:6" ht="24.75" thickBot="1">
      <c r="A191" s="1855" t="s">
        <v>1413</v>
      </c>
      <c r="B191" s="1859" t="s">
        <v>2138</v>
      </c>
      <c r="C191" s="1869"/>
      <c r="D191" s="1869"/>
      <c r="E191" s="1869"/>
      <c r="F191" s="1861">
        <v>0.05</v>
      </c>
    </row>
    <row r="192" spans="1:6" ht="24.75" thickBot="1">
      <c r="A192" s="1855" t="s">
        <v>1413</v>
      </c>
      <c r="B192" s="1859" t="s">
        <v>2139</v>
      </c>
      <c r="C192" s="1869"/>
      <c r="D192" s="1869"/>
      <c r="E192" s="1869"/>
      <c r="F192" s="1861">
        <v>0.05</v>
      </c>
    </row>
    <row r="193" spans="1:6" ht="24.75" thickBot="1">
      <c r="A193" s="1855" t="s">
        <v>1413</v>
      </c>
      <c r="B193" s="1859" t="s">
        <v>2140</v>
      </c>
      <c r="C193" s="1869"/>
      <c r="D193" s="1869"/>
      <c r="E193" s="1869"/>
      <c r="F193" s="1861">
        <v>0.05</v>
      </c>
    </row>
    <row r="194" spans="1:6" ht="24.75" thickBot="1">
      <c r="A194" s="1855" t="s">
        <v>1413</v>
      </c>
      <c r="B194" s="1859" t="s">
        <v>2141</v>
      </c>
      <c r="C194" s="1869"/>
      <c r="D194" s="1869"/>
      <c r="E194" s="1869"/>
      <c r="F194" s="1861">
        <v>0.05</v>
      </c>
    </row>
    <row r="195" spans="1:6" ht="14.25" thickBot="1">
      <c r="A195" s="1855" t="s">
        <v>1413</v>
      </c>
      <c r="B195" s="1859" t="s">
        <v>2142</v>
      </c>
      <c r="C195" s="1869"/>
      <c r="D195" s="1869"/>
      <c r="E195" s="1869"/>
      <c r="F195" s="1861">
        <v>0.05</v>
      </c>
    </row>
    <row r="196" spans="1:6" ht="24.75" thickBot="1">
      <c r="A196" s="1855" t="s">
        <v>1413</v>
      </c>
      <c r="B196" s="1859" t="s">
        <v>2143</v>
      </c>
      <c r="C196" s="1869"/>
      <c r="D196" s="1869"/>
      <c r="E196" s="1869"/>
      <c r="F196" s="1861">
        <v>0.05</v>
      </c>
    </row>
    <row r="197" spans="1:6" ht="24.75" thickBot="1">
      <c r="A197" s="1855" t="s">
        <v>1413</v>
      </c>
      <c r="B197" s="1859" t="s">
        <v>2144</v>
      </c>
      <c r="C197" s="1869"/>
      <c r="D197" s="1869"/>
      <c r="E197" s="1869"/>
      <c r="F197" s="1861">
        <v>0.05</v>
      </c>
    </row>
    <row r="198" spans="1:6" ht="24.75" thickBot="1">
      <c r="A198" s="1855" t="s">
        <v>1413</v>
      </c>
      <c r="B198" s="1859" t="s">
        <v>2145</v>
      </c>
      <c r="C198" s="1869"/>
      <c r="D198" s="1869"/>
      <c r="E198" s="1869"/>
      <c r="F198" s="1861">
        <v>0.05</v>
      </c>
    </row>
    <row r="199" spans="1:6" ht="24.75" thickBot="1">
      <c r="A199" s="1855" t="s">
        <v>1413</v>
      </c>
      <c r="B199" s="1859" t="s">
        <v>2146</v>
      </c>
      <c r="C199" s="1869"/>
      <c r="D199" s="1869"/>
      <c r="E199" s="1869"/>
      <c r="F199" s="1861">
        <v>0.05</v>
      </c>
    </row>
    <row r="200" spans="1:6" ht="24.75" thickBot="1">
      <c r="A200" s="1855" t="s">
        <v>1413</v>
      </c>
      <c r="B200" s="1859" t="s">
        <v>2147</v>
      </c>
      <c r="C200" s="1869"/>
      <c r="D200" s="1869"/>
      <c r="E200" s="1869"/>
      <c r="F200" s="1861">
        <v>0.05</v>
      </c>
    </row>
    <row r="201" spans="1:6" ht="24.75" thickBot="1">
      <c r="A201" s="1855" t="s">
        <v>1413</v>
      </c>
      <c r="B201" s="1859" t="s">
        <v>2148</v>
      </c>
      <c r="C201" s="1869"/>
      <c r="D201" s="1869"/>
      <c r="E201" s="1869"/>
      <c r="F201" s="1861">
        <v>0.05</v>
      </c>
    </row>
    <row r="202" spans="1:6" ht="24.75" thickBot="1">
      <c r="A202" s="1855" t="s">
        <v>1413</v>
      </c>
      <c r="B202" s="1859" t="s">
        <v>2149</v>
      </c>
      <c r="C202" s="1869"/>
      <c r="D202" s="1869"/>
      <c r="E202" s="1869"/>
      <c r="F202" s="1861">
        <v>0.05</v>
      </c>
    </row>
    <row r="203" spans="1:6" ht="24.75" thickBot="1">
      <c r="A203" s="1855" t="s">
        <v>1413</v>
      </c>
      <c r="B203" s="1859" t="s">
        <v>2150</v>
      </c>
      <c r="C203" s="1869"/>
      <c r="D203" s="1869"/>
      <c r="E203" s="1869"/>
      <c r="F203" s="1861">
        <v>0.05</v>
      </c>
    </row>
    <row r="204" spans="1:6" ht="14.25" thickBot="1">
      <c r="A204" s="1855" t="s">
        <v>1413</v>
      </c>
      <c r="B204" s="1859" t="s">
        <v>2151</v>
      </c>
      <c r="C204" s="1869"/>
      <c r="D204" s="1869"/>
      <c r="E204" s="1869"/>
      <c r="F204" s="1861">
        <v>0.05</v>
      </c>
    </row>
    <row r="205" spans="1:6" ht="14.25" thickBot="1">
      <c r="A205" s="1863" t="s">
        <v>1413</v>
      </c>
      <c r="B205" s="1870" t="s">
        <v>2152</v>
      </c>
      <c r="C205" s="1866"/>
      <c r="D205" s="1866"/>
      <c r="E205" s="1866"/>
      <c r="F205" s="1871">
        <v>0.05</v>
      </c>
    </row>
    <row r="206" spans="1:6" ht="14.25" thickBot="1">
      <c r="A206" s="1855" t="s">
        <v>1415</v>
      </c>
      <c r="B206" s="1856" t="s">
        <v>2153</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2154</v>
      </c>
      <c r="C210" s="1860">
        <v>0.15</v>
      </c>
      <c r="D210" s="1860">
        <v>0.15</v>
      </c>
      <c r="E210" s="1860">
        <v>0.15</v>
      </c>
      <c r="F210" s="1861">
        <v>0.13800000000000001</v>
      </c>
    </row>
    <row r="211" spans="1:6" ht="14.25" thickBot="1">
      <c r="A211" s="1855" t="s">
        <v>1415</v>
      </c>
      <c r="B211" s="1859" t="s">
        <v>2155</v>
      </c>
      <c r="C211" s="1860">
        <v>0.13700000000000001</v>
      </c>
      <c r="D211" s="1860">
        <v>0.13500000000000001</v>
      </c>
      <c r="E211" s="1860">
        <v>0.13600000000000001</v>
      </c>
      <c r="F211" s="1861">
        <v>0.1</v>
      </c>
    </row>
    <row r="212" spans="1:6" ht="14.25" thickBot="1">
      <c r="A212" s="1855" t="s">
        <v>1415</v>
      </c>
      <c r="B212" s="1859" t="s">
        <v>2156</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2157</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2158</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2159</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2160</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2161</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2162</v>
      </c>
      <c r="C231" s="1860">
        <v>0.128</v>
      </c>
      <c r="D231" s="1860">
        <v>0.125</v>
      </c>
      <c r="E231" s="1860">
        <v>0.13200000000000001</v>
      </c>
      <c r="F231" s="1868"/>
    </row>
    <row r="232" spans="1:6" ht="14.25" thickBot="1">
      <c r="A232" s="1855" t="s">
        <v>1415</v>
      </c>
      <c r="B232" s="1859" t="s">
        <v>2163</v>
      </c>
      <c r="C232" s="1860">
        <v>0.14499999999999999</v>
      </c>
      <c r="D232" s="1860">
        <v>0.14399999999999999</v>
      </c>
      <c r="E232" s="1860">
        <v>0.14599999999999999</v>
      </c>
      <c r="F232" s="1861">
        <v>0.13800000000000001</v>
      </c>
    </row>
    <row r="233" spans="1:6" ht="14.25" thickBot="1">
      <c r="A233" s="1855" t="s">
        <v>1415</v>
      </c>
      <c r="B233" s="1859" t="s">
        <v>2164</v>
      </c>
      <c r="C233" s="1860">
        <v>0.14499999999999999</v>
      </c>
      <c r="D233" s="1860">
        <v>0.14299999999999999</v>
      </c>
      <c r="E233" s="1860">
        <v>0.14199999999999999</v>
      </c>
      <c r="F233" s="1868"/>
    </row>
    <row r="234" spans="1:6" ht="14.25" thickBot="1">
      <c r="A234" s="1855" t="s">
        <v>1415</v>
      </c>
      <c r="B234" s="1859" t="s">
        <v>2165</v>
      </c>
      <c r="C234" s="1860">
        <v>0.14000000000000001</v>
      </c>
      <c r="D234" s="1860">
        <v>0.14000000000000001</v>
      </c>
      <c r="E234" s="1860">
        <v>0.14399999999999999</v>
      </c>
      <c r="F234" s="1868"/>
    </row>
    <row r="235" spans="1:6" ht="14.25" thickBot="1">
      <c r="A235" s="1855" t="s">
        <v>1415</v>
      </c>
      <c r="B235" s="1859" t="s">
        <v>2166</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2167</v>
      </c>
      <c r="C237" s="1869"/>
      <c r="D237" s="1869"/>
      <c r="E237" s="1869"/>
      <c r="F237" s="1861">
        <v>0.05</v>
      </c>
    </row>
    <row r="238" spans="1:6" ht="24.75" thickBot="1">
      <c r="A238" s="1855" t="s">
        <v>1415</v>
      </c>
      <c r="B238" s="1859" t="s">
        <v>2168</v>
      </c>
      <c r="C238" s="1869"/>
      <c r="D238" s="1869"/>
      <c r="E238" s="1869"/>
      <c r="F238" s="1861">
        <v>0.05</v>
      </c>
    </row>
    <row r="239" spans="1:6" ht="24.75" thickBot="1">
      <c r="A239" s="1855" t="s">
        <v>1415</v>
      </c>
      <c r="B239" s="1859" t="s">
        <v>2169</v>
      </c>
      <c r="C239" s="1869"/>
      <c r="D239" s="1869"/>
      <c r="E239" s="1869"/>
      <c r="F239" s="1861">
        <v>0.05</v>
      </c>
    </row>
    <row r="240" spans="1:6" ht="24.75" thickBot="1">
      <c r="A240" s="1855" t="s">
        <v>1415</v>
      </c>
      <c r="B240" s="1859" t="s">
        <v>2170</v>
      </c>
      <c r="C240" s="1869"/>
      <c r="D240" s="1869"/>
      <c r="E240" s="1869"/>
      <c r="F240" s="1861">
        <v>0.05</v>
      </c>
    </row>
    <row r="241" spans="1:6" ht="24.75" thickBot="1">
      <c r="A241" s="1855" t="s">
        <v>1415</v>
      </c>
      <c r="B241" s="1859" t="s">
        <v>2171</v>
      </c>
      <c r="C241" s="1869"/>
      <c r="D241" s="1869"/>
      <c r="E241" s="1869"/>
      <c r="F241" s="1861">
        <v>0.05</v>
      </c>
    </row>
    <row r="242" spans="1:6" ht="24.75" thickBot="1">
      <c r="A242" s="1855" t="s">
        <v>1415</v>
      </c>
      <c r="B242" s="1859" t="s">
        <v>2172</v>
      </c>
      <c r="C242" s="1869"/>
      <c r="D242" s="1869"/>
      <c r="E242" s="1869"/>
      <c r="F242" s="1861">
        <v>0.05</v>
      </c>
    </row>
    <row r="243" spans="1:6" ht="24.75" thickBot="1">
      <c r="A243" s="1855" t="s">
        <v>1415</v>
      </c>
      <c r="B243" s="1859" t="s">
        <v>2173</v>
      </c>
      <c r="C243" s="1869"/>
      <c r="D243" s="1869"/>
      <c r="E243" s="1869"/>
      <c r="F243" s="1861">
        <v>0.05</v>
      </c>
    </row>
    <row r="244" spans="1:6" ht="24.75" thickBot="1">
      <c r="A244" s="1863" t="s">
        <v>1415</v>
      </c>
      <c r="B244" s="1870" t="s">
        <v>2174</v>
      </c>
      <c r="C244" s="1866"/>
      <c r="D244" s="1866"/>
      <c r="E244" s="1866"/>
      <c r="F244" s="1871">
        <v>0.05</v>
      </c>
    </row>
    <row r="245" spans="1:6" ht="14.25" thickBot="1">
      <c r="A245" s="1855" t="s">
        <v>1417</v>
      </c>
      <c r="B245" s="1856" t="s">
        <v>2175</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2176</v>
      </c>
      <c r="C247" s="1860">
        <v>0.15</v>
      </c>
      <c r="D247" s="1860">
        <v>0.15</v>
      </c>
      <c r="E247" s="1860">
        <v>0.15</v>
      </c>
      <c r="F247" s="1861">
        <v>0.15</v>
      </c>
    </row>
    <row r="248" spans="1:6" ht="14.25" thickBot="1">
      <c r="A248" s="1855" t="s">
        <v>1417</v>
      </c>
      <c r="B248" s="1859" t="s">
        <v>2177</v>
      </c>
      <c r="C248" s="1860">
        <v>0.15</v>
      </c>
      <c r="D248" s="1860">
        <v>0.15</v>
      </c>
      <c r="E248" s="1860">
        <v>0.15</v>
      </c>
      <c r="F248" s="1861">
        <v>0.14000000000000001</v>
      </c>
    </row>
    <row r="249" spans="1:6" ht="14.25" thickBot="1">
      <c r="A249" s="1855" t="s">
        <v>1417</v>
      </c>
      <c r="B249" s="1859" t="s">
        <v>2178</v>
      </c>
      <c r="C249" s="1860">
        <v>0.15</v>
      </c>
      <c r="D249" s="1860">
        <v>0.14899999999999999</v>
      </c>
      <c r="E249" s="1860">
        <v>0.15</v>
      </c>
      <c r="F249" s="1861">
        <v>0.1</v>
      </c>
    </row>
    <row r="250" spans="1:6" ht="14.25" thickBot="1">
      <c r="A250" s="1855" t="s">
        <v>1417</v>
      </c>
      <c r="B250" s="1859" t="s">
        <v>2179</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2180</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2181</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2182</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2183</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2184</v>
      </c>
      <c r="C273" s="1860">
        <v>0.14199999999999999</v>
      </c>
      <c r="D273" s="1860">
        <v>0.14299999999999999</v>
      </c>
      <c r="E273" s="1860">
        <v>0.15</v>
      </c>
      <c r="F273" s="1861">
        <v>0.1</v>
      </c>
    </row>
    <row r="274" spans="1:6" ht="14.25" thickBot="1">
      <c r="A274" s="1855" t="s">
        <v>1417</v>
      </c>
      <c r="B274" s="1859" t="s">
        <v>2185</v>
      </c>
      <c r="C274" s="1860">
        <v>0.14799999999999999</v>
      </c>
      <c r="D274" s="1860">
        <v>0.14799999999999999</v>
      </c>
      <c r="E274" s="1860">
        <v>0.15</v>
      </c>
      <c r="F274" s="1861">
        <v>6.7000000000000004E-2</v>
      </c>
    </row>
    <row r="275" spans="1:6" ht="14.25" thickBot="1">
      <c r="A275" s="1855" t="s">
        <v>1417</v>
      </c>
      <c r="B275" s="1859" t="s">
        <v>2186</v>
      </c>
      <c r="C275" s="1860">
        <v>0.15</v>
      </c>
      <c r="D275" s="1860">
        <v>0.15</v>
      </c>
      <c r="E275" s="1860">
        <v>0.15</v>
      </c>
      <c r="F275" s="1861">
        <v>0.15</v>
      </c>
    </row>
    <row r="276" spans="1:6" ht="14.25" thickBot="1">
      <c r="A276" s="1855" t="s">
        <v>1417</v>
      </c>
      <c r="B276" s="1859" t="s">
        <v>2187</v>
      </c>
      <c r="C276" s="1860">
        <v>0.14499999999999999</v>
      </c>
      <c r="D276" s="1860">
        <v>0.14299999999999999</v>
      </c>
      <c r="E276" s="1860">
        <v>0.15</v>
      </c>
      <c r="F276" s="1861">
        <v>5.8999999999999997E-2</v>
      </c>
    </row>
    <row r="277" spans="1:6" ht="14.25" thickBot="1">
      <c r="A277" s="1855" t="s">
        <v>1417</v>
      </c>
      <c r="B277" s="1859" t="s">
        <v>2188</v>
      </c>
      <c r="C277" s="1860">
        <v>0.15</v>
      </c>
      <c r="D277" s="1860">
        <v>0.15</v>
      </c>
      <c r="E277" s="1860">
        <v>0.15</v>
      </c>
      <c r="F277" s="1861">
        <v>0.121</v>
      </c>
    </row>
    <row r="278" spans="1:6" ht="14.25" thickBot="1">
      <c r="A278" s="1855" t="s">
        <v>1417</v>
      </c>
      <c r="B278" s="1859" t="s">
        <v>2189</v>
      </c>
      <c r="C278" s="1860">
        <v>0.15</v>
      </c>
      <c r="D278" s="1860">
        <v>0.15</v>
      </c>
      <c r="E278" s="1860">
        <v>0.15</v>
      </c>
      <c r="F278" s="1861">
        <v>0.13800000000000001</v>
      </c>
    </row>
    <row r="279" spans="1:6" ht="24.75" thickBot="1">
      <c r="A279" s="1855" t="s">
        <v>1417</v>
      </c>
      <c r="B279" s="1859" t="s">
        <v>2190</v>
      </c>
      <c r="C279" s="1869"/>
      <c r="D279" s="1869"/>
      <c r="E279" s="1869"/>
      <c r="F279" s="1861">
        <v>0.05</v>
      </c>
    </row>
    <row r="280" spans="1:6" ht="24.75" thickBot="1">
      <c r="A280" s="1855" t="s">
        <v>1417</v>
      </c>
      <c r="B280" s="1859" t="s">
        <v>2191</v>
      </c>
      <c r="C280" s="1869"/>
      <c r="D280" s="1869"/>
      <c r="E280" s="1869"/>
      <c r="F280" s="1861">
        <v>0.05</v>
      </c>
    </row>
    <row r="281" spans="1:6" ht="24.75" thickBot="1">
      <c r="A281" s="1855" t="s">
        <v>1417</v>
      </c>
      <c r="B281" s="1859" t="s">
        <v>2192</v>
      </c>
      <c r="C281" s="1869"/>
      <c r="D281" s="1869"/>
      <c r="E281" s="1869"/>
      <c r="F281" s="1861">
        <v>0.05</v>
      </c>
    </row>
    <row r="282" spans="1:6" ht="24.75" thickBot="1">
      <c r="A282" s="1855" t="s">
        <v>1417</v>
      </c>
      <c r="B282" s="1859" t="s">
        <v>2193</v>
      </c>
      <c r="C282" s="1869"/>
      <c r="D282" s="1869"/>
      <c r="E282" s="1869"/>
      <c r="F282" s="1861">
        <v>0.05</v>
      </c>
    </row>
    <row r="283" spans="1:6" ht="24.75" thickBot="1">
      <c r="A283" s="1855" t="s">
        <v>1417</v>
      </c>
      <c r="B283" s="1859" t="s">
        <v>2194</v>
      </c>
      <c r="C283" s="1869"/>
      <c r="D283" s="1869"/>
      <c r="E283" s="1869"/>
      <c r="F283" s="1861">
        <v>0.05</v>
      </c>
    </row>
    <row r="284" spans="1:6" ht="24.75" thickBot="1">
      <c r="A284" s="1855" t="s">
        <v>1417</v>
      </c>
      <c r="B284" s="1859" t="s">
        <v>2195</v>
      </c>
      <c r="C284" s="1869"/>
      <c r="D284" s="1869"/>
      <c r="E284" s="1869"/>
      <c r="F284" s="1861">
        <v>0.05</v>
      </c>
    </row>
    <row r="285" spans="1:6" ht="24.75" thickBot="1">
      <c r="A285" s="1855" t="s">
        <v>1417</v>
      </c>
      <c r="B285" s="1859" t="s">
        <v>2196</v>
      </c>
      <c r="C285" s="1869"/>
      <c r="D285" s="1869"/>
      <c r="E285" s="1869"/>
      <c r="F285" s="1861">
        <v>0.05</v>
      </c>
    </row>
    <row r="286" spans="1:6" ht="24.75" thickBot="1">
      <c r="A286" s="1855" t="s">
        <v>1417</v>
      </c>
      <c r="B286" s="1859" t="s">
        <v>2197</v>
      </c>
      <c r="C286" s="1869"/>
      <c r="D286" s="1869"/>
      <c r="E286" s="1869"/>
      <c r="F286" s="1861">
        <v>0.05</v>
      </c>
    </row>
    <row r="287" spans="1:6" ht="24.75" thickBot="1">
      <c r="A287" s="1855" t="s">
        <v>1417</v>
      </c>
      <c r="B287" s="1859" t="s">
        <v>2198</v>
      </c>
      <c r="C287" s="1869"/>
      <c r="D287" s="1869"/>
      <c r="E287" s="1869"/>
      <c r="F287" s="1861">
        <v>0.05</v>
      </c>
    </row>
    <row r="288" spans="1:6" ht="24.75" thickBot="1">
      <c r="A288" s="1855" t="s">
        <v>1417</v>
      </c>
      <c r="B288" s="1859" t="s">
        <v>2199</v>
      </c>
      <c r="C288" s="1869"/>
      <c r="D288" s="1869"/>
      <c r="E288" s="1869"/>
      <c r="F288" s="1861">
        <v>0.05</v>
      </c>
    </row>
    <row r="289" spans="1:6" ht="24.75" thickBot="1">
      <c r="A289" s="1863" t="s">
        <v>1417</v>
      </c>
      <c r="B289" s="1870" t="s">
        <v>2200</v>
      </c>
      <c r="C289" s="1866"/>
      <c r="D289" s="1866"/>
      <c r="E289" s="1866"/>
      <c r="F289" s="1871">
        <v>0.05</v>
      </c>
    </row>
    <row r="290" spans="1:6" ht="14.25" thickBot="1">
      <c r="A290" s="1855" t="s">
        <v>1421</v>
      </c>
      <c r="B290" s="1856" t="s">
        <v>2201</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2202</v>
      </c>
      <c r="C292" s="1860">
        <v>0.15</v>
      </c>
      <c r="D292" s="1860">
        <v>0.15</v>
      </c>
      <c r="E292" s="1860">
        <v>0.15</v>
      </c>
      <c r="F292" s="1861">
        <v>0.14699999999999999</v>
      </c>
    </row>
    <row r="293" spans="1:6" ht="14.25" thickBot="1">
      <c r="A293" s="1855" t="s">
        <v>1421</v>
      </c>
      <c r="B293" s="1859" t="s">
        <v>2203</v>
      </c>
      <c r="C293" s="1869"/>
      <c r="D293" s="1869"/>
      <c r="E293" s="1869"/>
      <c r="F293" s="1861">
        <v>0.1</v>
      </c>
    </row>
    <row r="294" spans="1:6" ht="14.25" thickBot="1">
      <c r="A294" s="1855" t="s">
        <v>1421</v>
      </c>
      <c r="B294" s="1859" t="s">
        <v>2204</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2205</v>
      </c>
      <c r="C296" s="1860">
        <v>0.15</v>
      </c>
      <c r="D296" s="1860">
        <v>0.15</v>
      </c>
      <c r="E296" s="1860">
        <v>0.15</v>
      </c>
      <c r="F296" s="1861">
        <v>0.15</v>
      </c>
    </row>
    <row r="297" spans="1:6" ht="14.25" thickBot="1">
      <c r="A297" s="1855" t="s">
        <v>1421</v>
      </c>
      <c r="B297" s="1859" t="s">
        <v>2206</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2207</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2208</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2209</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2210</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2211</v>
      </c>
      <c r="C310" s="1860">
        <v>0.15</v>
      </c>
      <c r="D310" s="1860">
        <v>0.15</v>
      </c>
      <c r="E310" s="1860">
        <v>0.15</v>
      </c>
      <c r="F310" s="1861">
        <v>0.13700000000000001</v>
      </c>
    </row>
    <row r="311" spans="1:6" ht="14.25" thickBot="1">
      <c r="A311" s="1855" t="s">
        <v>1421</v>
      </c>
      <c r="B311" s="1859" t="s">
        <v>2212</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2213</v>
      </c>
      <c r="C313" s="1860">
        <v>0.15</v>
      </c>
      <c r="D313" s="1860">
        <v>0.15</v>
      </c>
      <c r="E313" s="1860">
        <v>0.15</v>
      </c>
      <c r="F313" s="1861">
        <v>0.15</v>
      </c>
    </row>
    <row r="314" spans="1:6" ht="24.75" thickBot="1">
      <c r="A314" s="1855" t="s">
        <v>1421</v>
      </c>
      <c r="B314" s="1859" t="s">
        <v>2214</v>
      </c>
      <c r="C314" s="1869"/>
      <c r="D314" s="1869"/>
      <c r="E314" s="1869"/>
      <c r="F314" s="1861">
        <v>0.05</v>
      </c>
    </row>
    <row r="315" spans="1:6" ht="24.75" thickBot="1">
      <c r="A315" s="1855" t="s">
        <v>1421</v>
      </c>
      <c r="B315" s="1859" t="s">
        <v>2215</v>
      </c>
      <c r="C315" s="1869"/>
      <c r="D315" s="1869"/>
      <c r="E315" s="1869"/>
      <c r="F315" s="1861">
        <v>0.05</v>
      </c>
    </row>
    <row r="316" spans="1:6" ht="24.75" thickBot="1">
      <c r="A316" s="1863" t="s">
        <v>1421</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1109</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1178</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1198</v>
      </c>
      <c r="C328" s="1860">
        <v>0.15</v>
      </c>
      <c r="D328" s="1860">
        <v>0.15</v>
      </c>
      <c r="E328" s="1860">
        <v>0.15</v>
      </c>
      <c r="F328" s="1861">
        <v>0.14099999999999999</v>
      </c>
    </row>
    <row r="329" spans="1:6" ht="14.25" thickBot="1">
      <c r="A329" s="1855" t="s">
        <v>2217</v>
      </c>
      <c r="B329" s="1859" t="s">
        <v>1208</v>
      </c>
      <c r="C329" s="1860">
        <v>0.15</v>
      </c>
      <c r="D329" s="1860">
        <v>0.15</v>
      </c>
      <c r="E329" s="1860">
        <v>0.15</v>
      </c>
      <c r="F329" s="1861">
        <v>0.15</v>
      </c>
    </row>
    <row r="330" spans="1:6" ht="14.25" thickBot="1">
      <c r="A330" s="1855" t="s">
        <v>2217</v>
      </c>
      <c r="B330" s="1859" t="s">
        <v>1218</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1238</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1258</v>
      </c>
      <c r="C334" s="1860">
        <v>0.15</v>
      </c>
      <c r="D334" s="1860">
        <v>0.15</v>
      </c>
      <c r="E334" s="1860">
        <v>0.15</v>
      </c>
      <c r="F334" s="1861">
        <v>0.15</v>
      </c>
    </row>
    <row r="335" spans="1:6" ht="14.25" thickBot="1">
      <c r="A335" s="1855" t="s">
        <v>2217</v>
      </c>
      <c r="B335" s="1859" t="s">
        <v>1268</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1286</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2941</v>
      </c>
      <c r="B1" s="3128"/>
      <c r="C1" s="3128"/>
      <c r="D1" s="3128"/>
      <c r="E1" s="3128"/>
      <c r="F1" s="3128"/>
    </row>
    <row r="2" spans="1:6" ht="14.25">
      <c r="A2" s="3129" t="s">
        <v>2935</v>
      </c>
      <c r="B2" s="3130" t="e">
        <f ca="1">SUMIF(B7:B14,"&lt;&gt;#ref!",B7:B14)</f>
        <v>#DIV/0!</v>
      </c>
      <c r="C2" s="3129" t="s">
        <v>2936</v>
      </c>
      <c r="D2" s="3128"/>
      <c r="E2" s="3128"/>
      <c r="F2" s="3128"/>
    </row>
    <row r="3" spans="1:6" ht="14.25">
      <c r="A3" s="3129" t="s">
        <v>2938</v>
      </c>
      <c r="B3" s="3130" t="e">
        <f ca="1">ROUND(B2*10000/E3,0)</f>
        <v>#DIV/0!</v>
      </c>
      <c r="C3" s="3129" t="s">
        <v>2079</v>
      </c>
      <c r="D3" s="3129" t="s">
        <v>2937</v>
      </c>
      <c r="E3" s="3130" t="e">
        <f ca="1">SUM(E7:E14)</f>
        <v>#REF!</v>
      </c>
      <c r="F3" s="3128"/>
    </row>
    <row r="4" spans="1:6" ht="14.25">
      <c r="A4" s="3129" t="s">
        <v>2945</v>
      </c>
      <c r="B4" s="3130" t="e">
        <f ca="1">ROUND(B2*10000/E4,0)</f>
        <v>#DIV/0!</v>
      </c>
      <c r="C4" s="3129" t="s">
        <v>2079</v>
      </c>
      <c r="D4" s="3129" t="s">
        <v>2946</v>
      </c>
      <c r="E4" s="3130" t="e">
        <f ca="1">SUM(F7:F14)</f>
        <v>#REF!</v>
      </c>
      <c r="F4" s="3128"/>
    </row>
    <row r="5" spans="1:6" ht="14.25">
      <c r="A5" s="3131"/>
      <c r="B5" s="1881"/>
      <c r="C5" s="1881"/>
      <c r="D5" s="1881"/>
      <c r="E5" s="1881"/>
      <c r="F5" s="3128"/>
    </row>
    <row r="6" spans="1:6" ht="28.5">
      <c r="A6" s="3132" t="s">
        <v>2942</v>
      </c>
      <c r="B6" s="3129" t="s">
        <v>2939</v>
      </c>
      <c r="C6" s="3130"/>
      <c r="D6" s="1881"/>
      <c r="E6" s="3129" t="s">
        <v>2940</v>
      </c>
      <c r="F6" s="3129" t="s">
        <v>2944</v>
      </c>
    </row>
    <row r="7" spans="1:6" ht="14.25">
      <c r="A7" s="260" t="s">
        <v>2943</v>
      </c>
      <c r="B7" s="3133" t="e">
        <f ca="1">SUMIF(INDIRECT("'"&amp;A7&amp;"'"&amp;"!A:A"),"总价",INDIRECT("'"&amp;A7&amp;"'"&amp;"!B:B"))</f>
        <v>#DIV/0!</v>
      </c>
      <c r="C7" s="3129" t="s">
        <v>2936</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2936</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2936</v>
      </c>
      <c r="D9" s="1881"/>
      <c r="E9" s="3134" t="e">
        <f t="shared" ca="1" si="1"/>
        <v>#REF!</v>
      </c>
      <c r="F9" s="3134" t="e">
        <f t="shared" ca="1" si="2"/>
        <v>#REF!</v>
      </c>
    </row>
    <row r="10" spans="1:6" ht="14.25">
      <c r="A10" s="260"/>
      <c r="B10" s="3133" t="e">
        <f t="shared" ca="1" si="0"/>
        <v>#REF!</v>
      </c>
      <c r="C10" s="3129" t="s">
        <v>2936</v>
      </c>
      <c r="D10" s="1881"/>
      <c r="E10" s="3134" t="e">
        <f t="shared" ca="1" si="1"/>
        <v>#REF!</v>
      </c>
      <c r="F10" s="3134" t="e">
        <f t="shared" ca="1" si="2"/>
        <v>#REF!</v>
      </c>
    </row>
    <row r="11" spans="1:6" ht="14.25">
      <c r="A11" s="260"/>
      <c r="B11" s="3133" t="e">
        <f t="shared" ca="1" si="0"/>
        <v>#REF!</v>
      </c>
      <c r="C11" s="3129" t="s">
        <v>2936</v>
      </c>
      <c r="D11" s="1881"/>
      <c r="E11" s="3134" t="e">
        <f t="shared" ca="1" si="1"/>
        <v>#REF!</v>
      </c>
      <c r="F11" s="3134" t="e">
        <f t="shared" ca="1" si="2"/>
        <v>#REF!</v>
      </c>
    </row>
    <row r="12" spans="1:6" ht="14.25">
      <c r="A12" s="260"/>
      <c r="B12" s="3133" t="e">
        <f t="shared" ca="1" si="0"/>
        <v>#REF!</v>
      </c>
      <c r="C12" s="3129" t="s">
        <v>2936</v>
      </c>
      <c r="D12" s="1881"/>
      <c r="E12" s="3134" t="e">
        <f t="shared" ca="1" si="1"/>
        <v>#REF!</v>
      </c>
      <c r="F12" s="3134" t="e">
        <f t="shared" ca="1" si="2"/>
        <v>#REF!</v>
      </c>
    </row>
    <row r="13" spans="1:6" ht="14.25">
      <c r="A13" s="260"/>
      <c r="B13" s="3133" t="e">
        <f t="shared" ca="1" si="0"/>
        <v>#REF!</v>
      </c>
      <c r="C13" s="3129" t="s">
        <v>2936</v>
      </c>
      <c r="D13" s="1881"/>
      <c r="E13" s="3134" t="e">
        <f t="shared" ca="1" si="1"/>
        <v>#REF!</v>
      </c>
      <c r="F13" s="3134" t="e">
        <f t="shared" ca="1" si="2"/>
        <v>#REF!</v>
      </c>
    </row>
    <row r="14" spans="1:6" ht="14.25">
      <c r="A14" s="3127"/>
      <c r="B14" s="3133" t="e">
        <f t="shared" ca="1" si="0"/>
        <v>#REF!</v>
      </c>
      <c r="C14" s="3129" t="s">
        <v>2936</v>
      </c>
      <c r="D14" s="1881"/>
      <c r="E14" s="3134" t="e">
        <f t="shared" ca="1" si="1"/>
        <v>#REF!</v>
      </c>
      <c r="F14" s="313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56.25">
      <c r="A7" s="1795" t="s">
        <v>2753</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2932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本次估价对象为出让国有建设用地使用权，《不动产权证书》证载土地终止日期为住宅2087年6月12日、商业2057年6月12日。截至估价期日，出让国有建设用地使用权剩余土地使用年限为住宅70年、商业40年。</v>
      </c>
    </row>
    <row r="23" spans="1:1" ht="18.75">
      <c r="A23" s="1791" t="str">
        <f>IF(项目基本情况!B16="出让","本次评估设定估价对象剩余土地使用年限为"&amp;项目基本情况!D20&amp;"。","")</f>
        <v>本次评估设定估价对象剩余土地使用年限为住宅70年、商业40年。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F46" sqref="F4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t="s">
        <v>2974</v>
      </c>
      <c r="D1" s="2049"/>
      <c r="E1" s="2408" t="s">
        <v>2376</v>
      </c>
      <c r="F1" s="2409">
        <f ca="1">J54</f>
        <v>0</v>
      </c>
      <c r="G1" s="775">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6">
        <f ca="1">IF(ISERROR(C45+J31),0,C45+J31)</f>
        <v>17471</v>
      </c>
      <c r="C2" s="1350"/>
      <c r="D2" s="2054"/>
      <c r="E2" s="2055"/>
      <c r="F2" s="2055"/>
      <c r="G2" s="1589"/>
      <c r="H2" s="1362"/>
      <c r="I2" s="2056"/>
      <c r="J2" s="2056"/>
      <c r="K2" s="2057"/>
      <c r="L2" s="2056"/>
      <c r="M2" s="2056"/>
    </row>
    <row r="3" spans="1:25" ht="18" customHeight="1">
      <c r="A3" s="1644" t="s">
        <v>1688</v>
      </c>
      <c r="B3" s="1390">
        <f ca="1">ROUND(B2*10000/'数据-汇总表'!E3,0)</f>
        <v>382</v>
      </c>
      <c r="C3" s="1350"/>
      <c r="D3" s="2054"/>
      <c r="E3" s="2055"/>
      <c r="F3" s="2055"/>
      <c r="G3" s="1589"/>
      <c r="H3" s="777" t="s">
        <v>696</v>
      </c>
      <c r="I3" s="2056"/>
      <c r="J3" s="2056"/>
      <c r="K3" s="2057"/>
      <c r="L3" s="2056"/>
      <c r="M3" s="2056"/>
    </row>
    <row r="4" spans="1:25" ht="18" customHeight="1">
      <c r="A4" s="1645" t="s">
        <v>697</v>
      </c>
      <c r="B4" s="1351">
        <f ca="1">ROUND(B2*10000/'数据-汇总表'!D3,0)</f>
        <v>1101</v>
      </c>
      <c r="C4" s="431"/>
      <c r="D4" s="2054"/>
      <c r="E4" s="2055"/>
      <c r="F4" s="2055"/>
      <c r="G4" s="1589"/>
      <c r="H4" s="777"/>
      <c r="I4" s="2056"/>
      <c r="J4" s="2056"/>
      <c r="K4" s="2057"/>
      <c r="L4" s="2056"/>
      <c r="M4" s="2056"/>
    </row>
    <row r="5" spans="1:25" ht="18" customHeight="1" thickBot="1">
      <c r="A5" s="1646"/>
      <c r="B5" s="433">
        <f ca="1">ROUND(B2/('数据-汇总表'!D3/666.67),0)</f>
        <v>73</v>
      </c>
      <c r="C5" s="434" t="s">
        <v>698</v>
      </c>
      <c r="D5" s="2054"/>
      <c r="E5" s="2055"/>
      <c r="F5" s="2055"/>
      <c r="G5" s="1589"/>
      <c r="H5" s="777"/>
      <c r="I5" s="2056"/>
      <c r="J5" s="2056"/>
      <c r="K5" s="2057"/>
      <c r="L5" s="2056"/>
      <c r="M5" s="2056"/>
    </row>
    <row r="6" spans="1:25" ht="18" customHeight="1">
      <c r="A6" s="1828" t="s">
        <v>699</v>
      </c>
      <c r="B6" s="1820" t="s">
        <v>700</v>
      </c>
      <c r="C6" s="1820" t="s">
        <v>633</v>
      </c>
      <c r="D6" s="1820" t="s">
        <v>634</v>
      </c>
      <c r="E6" s="780" t="s">
        <v>635</v>
      </c>
      <c r="F6" s="781"/>
      <c r="G6" s="1591"/>
      <c r="H6" s="1828" t="s">
        <v>631</v>
      </c>
      <c r="I6" s="1820" t="s">
        <v>632</v>
      </c>
      <c r="J6" s="1820" t="s">
        <v>633</v>
      </c>
      <c r="K6" s="1820" t="s">
        <v>634</v>
      </c>
      <c r="L6" s="780" t="s">
        <v>635</v>
      </c>
      <c r="M6" s="781"/>
    </row>
    <row r="7" spans="1:25" ht="18" customHeight="1">
      <c r="A7" s="782">
        <v>1</v>
      </c>
      <c r="B7" s="783" t="s">
        <v>2461</v>
      </c>
      <c r="C7" s="53">
        <f ca="1">C8+C12+C14</f>
        <v>1265</v>
      </c>
      <c r="D7" s="2517" t="s">
        <v>2464</v>
      </c>
      <c r="E7" s="2511"/>
      <c r="F7" s="2512"/>
      <c r="G7" s="1591"/>
      <c r="H7" s="782">
        <v>1</v>
      </c>
      <c r="I7" s="783" t="s">
        <v>2461</v>
      </c>
      <c r="J7" s="53">
        <f ca="1">J8+J12+J14</f>
        <v>0</v>
      </c>
      <c r="K7" s="2517" t="s">
        <v>2464</v>
      </c>
      <c r="L7" s="2511"/>
      <c r="M7" s="2512"/>
    </row>
    <row r="8" spans="1:25" ht="18" customHeight="1">
      <c r="A8" s="1830" t="s">
        <v>1826</v>
      </c>
      <c r="B8" s="3494" t="s">
        <v>2466</v>
      </c>
      <c r="C8" s="1825">
        <f ca="1">ROUND(F8*F10*F9*(1-F11)/10000,0)</f>
        <v>1263</v>
      </c>
      <c r="D8" s="1822" t="s">
        <v>2538</v>
      </c>
      <c r="E8" s="61" t="s">
        <v>638</v>
      </c>
      <c r="F8" s="786">
        <f ca="1">INDIRECT("'数据-取费表'!u"&amp;$G$1)</f>
        <v>2.5</v>
      </c>
      <c r="G8" s="1591"/>
      <c r="H8" s="2525" t="s">
        <v>1826</v>
      </c>
      <c r="I8" s="3494" t="s">
        <v>2466</v>
      </c>
      <c r="J8" s="784">
        <f ca="1">ROUND(M8*M10*M9*(1-M11)/10000,0)</f>
        <v>0</v>
      </c>
      <c r="K8" s="344" t="s">
        <v>2538</v>
      </c>
      <c r="L8" s="785" t="s">
        <v>1740</v>
      </c>
      <c r="M8" s="786">
        <f ca="1">INDIRECT("'数据-取费表'!z"&amp;$G$1)</f>
        <v>0</v>
      </c>
    </row>
    <row r="9" spans="1:25" ht="18" customHeight="1">
      <c r="A9" s="2521"/>
      <c r="B9" s="3495"/>
      <c r="C9" s="1826"/>
      <c r="D9" s="1823"/>
      <c r="E9" s="61" t="s">
        <v>639</v>
      </c>
      <c r="F9" s="786">
        <f ca="1">IF(INDIRECT("'数据-取费表'!ah"&amp;$G$1)="",INDIRECT("'数据-取费表'!k"&amp;$G$1),INDIRECT("'数据-取费表'!ah"&amp;$G$1))</f>
        <v>16283.900000000001</v>
      </c>
      <c r="G9" s="1591"/>
      <c r="H9" s="2510"/>
      <c r="I9" s="3495"/>
      <c r="J9" s="789"/>
      <c r="K9" s="790"/>
      <c r="L9" s="785" t="s">
        <v>1741</v>
      </c>
      <c r="M9" s="786">
        <f ca="1">F9</f>
        <v>16283.900000000001</v>
      </c>
    </row>
    <row r="10" spans="1:25" ht="18" customHeight="1">
      <c r="A10" s="2514"/>
      <c r="B10" s="3496"/>
      <c r="C10" s="1826"/>
      <c r="D10" s="1823"/>
      <c r="E10" s="61" t="s">
        <v>640</v>
      </c>
      <c r="F10" s="786">
        <f ca="1">INDIRECT("'数据-取费表'!ai"&amp;$G$1)</f>
        <v>365</v>
      </c>
      <c r="G10" s="1591"/>
      <c r="H10" s="2510"/>
      <c r="I10" s="3496"/>
      <c r="J10" s="789"/>
      <c r="K10" s="790"/>
      <c r="L10" s="785" t="s">
        <v>1742</v>
      </c>
      <c r="M10" s="786">
        <f ca="1">INDIRECT("'数据-取费表'!ai"&amp;$G$1)</f>
        <v>365</v>
      </c>
    </row>
    <row r="11" spans="1:25" ht="18" customHeight="1">
      <c r="A11" s="787"/>
      <c r="B11" s="3497"/>
      <c r="C11" s="1826"/>
      <c r="D11" s="1823"/>
      <c r="E11" s="61" t="s">
        <v>641</v>
      </c>
      <c r="F11" s="795">
        <f ca="1">INDIRECT("'数据-取费表'!w"&amp;$G$1)</f>
        <v>0.15</v>
      </c>
      <c r="G11" s="1591"/>
      <c r="H11" s="2526"/>
      <c r="I11" s="3496"/>
      <c r="J11" s="789"/>
      <c r="K11" s="790"/>
      <c r="L11" s="796" t="s">
        <v>1743</v>
      </c>
      <c r="M11" s="797">
        <f ca="1">INDIRECT("'数据-取费表'!ab"&amp;$G$1)</f>
        <v>0</v>
      </c>
    </row>
    <row r="12" spans="1:25" ht="18" customHeight="1">
      <c r="A12" s="1830" t="s">
        <v>1827</v>
      </c>
      <c r="B12" s="2515" t="s">
        <v>2462</v>
      </c>
      <c r="C12" s="800">
        <f ca="1">ROUND(IF(F12="押一",F8*F10*F9/12*F13,IF(F12="押二",F8*F10*F9/12*2*F13,IF(F12="押三",F8*F10*F9/12*3*F13,C13*F13)))/10000,0)</f>
        <v>2</v>
      </c>
      <c r="D12" s="2522" t="s">
        <v>2469</v>
      </c>
      <c r="E12" s="2519" t="s">
        <v>2467</v>
      </c>
      <c r="F12" s="2642" t="s">
        <v>2988</v>
      </c>
      <c r="G12" s="1591"/>
      <c r="H12" s="2582" t="s">
        <v>1827</v>
      </c>
      <c r="I12" s="2587" t="s">
        <v>2462</v>
      </c>
      <c r="J12" s="784">
        <f ca="1">ROUND(IF(M12="押一",M8*M10*M9/12*M13,IF(M12="押二",M8*M10*M9/12*2*M13,IF(M12="押三",M8*M10*M9/12*3*M13,J13*M13)))/10000,0)</f>
        <v>0</v>
      </c>
      <c r="K12" s="2522" t="s">
        <v>2469</v>
      </c>
      <c r="L12" s="2519" t="s">
        <v>2467</v>
      </c>
      <c r="M12" s="2642"/>
    </row>
    <row r="13" spans="1:25" ht="18" customHeight="1">
      <c r="A13" s="791"/>
      <c r="B13" s="2516" t="s">
        <v>2577</v>
      </c>
      <c r="C13" s="2520"/>
      <c r="D13" s="790"/>
      <c r="E13" s="2519" t="s">
        <v>2459</v>
      </c>
      <c r="F13" s="797">
        <f ca="1">'数据-取费表'!B39</f>
        <v>1.4999999999999999E-2</v>
      </c>
      <c r="G13" s="1591"/>
      <c r="H13" s="2583"/>
      <c r="I13" s="2516" t="s">
        <v>2577</v>
      </c>
      <c r="J13" s="2520"/>
      <c r="K13" s="2584"/>
      <c r="L13" s="2519" t="s">
        <v>2459</v>
      </c>
      <c r="M13" s="2513">
        <f ca="1">'数据-取费表'!B39</f>
        <v>1.4999999999999999E-2</v>
      </c>
    </row>
    <row r="14" spans="1:25" ht="18" customHeight="1" thickBot="1">
      <c r="A14" s="2558" t="s">
        <v>2471</v>
      </c>
      <c r="B14" s="2559" t="s">
        <v>2463</v>
      </c>
      <c r="C14" s="2560"/>
      <c r="D14" s="2561"/>
      <c r="E14" s="2562"/>
      <c r="F14" s="2563"/>
      <c r="G14" s="1591"/>
      <c r="H14" s="2572" t="s">
        <v>2471</v>
      </c>
      <c r="I14" s="2585" t="s">
        <v>2463</v>
      </c>
      <c r="J14" s="2586"/>
      <c r="K14" s="2561"/>
      <c r="L14" s="2562"/>
      <c r="M14" s="2575"/>
    </row>
    <row r="15" spans="1:25" ht="18" customHeight="1" thickTop="1">
      <c r="A15" s="1829" t="s">
        <v>1876</v>
      </c>
      <c r="B15" s="1827" t="s">
        <v>642</v>
      </c>
      <c r="C15" s="793">
        <f ca="1">ROUND(C31*F15,0)</f>
        <v>6428</v>
      </c>
      <c r="D15" s="1834" t="s">
        <v>643</v>
      </c>
      <c r="E15" s="796" t="s">
        <v>644</v>
      </c>
      <c r="F15" s="801">
        <f ca="1">INDIRECT("'数据-取费表'!y"&amp;$G$1)</f>
        <v>1</v>
      </c>
      <c r="G15" s="1591"/>
      <c r="H15" s="1829" t="s">
        <v>1828</v>
      </c>
      <c r="I15" s="1827" t="s">
        <v>645</v>
      </c>
      <c r="J15" s="1819">
        <f ca="1">ROUND(J16*J17,0)</f>
        <v>0</v>
      </c>
      <c r="K15" s="1821" t="s">
        <v>643</v>
      </c>
      <c r="L15" s="802"/>
      <c r="M15" s="803"/>
    </row>
    <row r="16" spans="1:25" ht="18" customHeight="1">
      <c r="A16" s="804" t="s">
        <v>1877</v>
      </c>
      <c r="B16" s="785" t="s">
        <v>646</v>
      </c>
      <c r="C16" s="805">
        <f ca="1">INDIRECT("'数据-取费表'!m"&amp;$G$1)+INDIRECT("'数据-取费表'!t"&amp;$G$1)</f>
        <v>4195</v>
      </c>
      <c r="D16" s="1978" t="s">
        <v>647</v>
      </c>
      <c r="E16" s="1979"/>
      <c r="F16" s="806"/>
      <c r="G16" s="1591"/>
      <c r="H16" s="804" t="s">
        <v>2070</v>
      </c>
      <c r="I16" s="2230" t="s">
        <v>2831</v>
      </c>
      <c r="J16" s="53">
        <f ca="1">C31</f>
        <v>6428</v>
      </c>
      <c r="K16" s="26"/>
      <c r="L16" s="802"/>
      <c r="M16" s="803"/>
    </row>
    <row r="17" spans="1:25" s="2063" customFormat="1" ht="18" customHeight="1">
      <c r="A17" s="804" t="s">
        <v>1851</v>
      </c>
      <c r="B17" s="785" t="s">
        <v>648</v>
      </c>
      <c r="C17" s="53">
        <f ca="1">ROUND(C16*F17,0)</f>
        <v>210</v>
      </c>
      <c r="D17" s="807" t="s">
        <v>649</v>
      </c>
      <c r="E17" s="807" t="s">
        <v>650</v>
      </c>
      <c r="F17" s="808">
        <f>'数据-取费表'!B33</f>
        <v>0.05</v>
      </c>
      <c r="G17" s="1592"/>
      <c r="H17" s="804" t="s">
        <v>2071</v>
      </c>
      <c r="I17" s="785" t="s">
        <v>644</v>
      </c>
      <c r="J17" s="809">
        <f ca="1">INDIRECT("'数据-取费表'!ad"&amp;$G$1)</f>
        <v>0</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1"/>
      <c r="H18" s="798" t="s">
        <v>1829</v>
      </c>
      <c r="I18" s="799" t="s">
        <v>652</v>
      </c>
      <c r="J18" s="800">
        <f ca="1">ROUND(J19+J24+J25+J26,0)</f>
        <v>154</v>
      </c>
      <c r="K18" s="26" t="s">
        <v>653</v>
      </c>
      <c r="L18" s="1981"/>
      <c r="M18" s="56"/>
    </row>
    <row r="19" spans="1:25" s="2063" customFormat="1" ht="18" customHeight="1">
      <c r="A19" s="804" t="s">
        <v>1853</v>
      </c>
      <c r="B19" s="785" t="s">
        <v>654</v>
      </c>
      <c r="C19" s="53">
        <f ca="1">ROUND(F19*(INDIRECT("'数据-取费表'!k"&amp;$G$1)+INDIRECT("'数据-取费表'!S"&amp;$G$1))/10000,0)</f>
        <v>338</v>
      </c>
      <c r="D19" s="785" t="s">
        <v>655</v>
      </c>
      <c r="E19" s="785" t="s">
        <v>656</v>
      </c>
      <c r="F19" s="56">
        <f>'数据-取费表'!B35</f>
        <v>150</v>
      </c>
      <c r="G19" s="1592"/>
      <c r="H19" s="804" t="s">
        <v>2070</v>
      </c>
      <c r="I19" s="785" t="s">
        <v>657</v>
      </c>
      <c r="J19" s="53">
        <f ca="1">ROUND(IF(项目基本情况!B11="自然人",J7*M19,J20+J21+J22),0)</f>
        <v>58</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63</v>
      </c>
      <c r="D20" s="785" t="s">
        <v>649</v>
      </c>
      <c r="E20" s="785" t="s">
        <v>650</v>
      </c>
      <c r="F20" s="810">
        <f>'数据-取费表'!B36</f>
        <v>1.4999999999999999E-2</v>
      </c>
      <c r="G20" s="1592"/>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4806</v>
      </c>
      <c r="D21" s="261" t="s">
        <v>664</v>
      </c>
      <c r="E21" s="1981"/>
      <c r="F21" s="56"/>
      <c r="G21" s="1591"/>
      <c r="H21" s="1830" t="s">
        <v>1851</v>
      </c>
      <c r="I21" s="785" t="s">
        <v>665</v>
      </c>
      <c r="J21" s="53">
        <f ca="1">IF(K21="按租金收入计税",ROUND(J7*M21,1),ROUND(C31*F35*0.7,1))</f>
        <v>54</v>
      </c>
      <c r="K21" s="812" t="s">
        <v>666</v>
      </c>
      <c r="L21" s="785" t="s">
        <v>650</v>
      </c>
      <c r="M21" s="810">
        <f>IF(K21="按租金收入计税",'数据-取费表'!B51,'数据-取费表'!B50)</f>
        <v>1.2E-2</v>
      </c>
    </row>
    <row r="22" spans="1:25" s="2063" customFormat="1" ht="18" customHeight="1">
      <c r="A22" s="804" t="s">
        <v>1879</v>
      </c>
      <c r="B22" s="785" t="s">
        <v>667</v>
      </c>
      <c r="C22" s="53">
        <f ca="1">ROUND(C21*F22,0)</f>
        <v>96</v>
      </c>
      <c r="D22" s="813" t="s">
        <v>668</v>
      </c>
      <c r="E22" s="785" t="s">
        <v>650</v>
      </c>
      <c r="F22" s="810">
        <f>'数据-取费表'!B37</f>
        <v>0.02</v>
      </c>
      <c r="G22" s="1592"/>
      <c r="H22" s="1832" t="s">
        <v>1852</v>
      </c>
      <c r="I22" s="1822" t="s">
        <v>669</v>
      </c>
      <c r="J22" s="54">
        <f ca="1">ROUND(M22*M23/10000,0)</f>
        <v>4</v>
      </c>
      <c r="K22" s="815" t="s">
        <v>670</v>
      </c>
      <c r="L22" s="785" t="s">
        <v>671</v>
      </c>
      <c r="M22" s="641">
        <f>'数据-取费表'!B52</f>
        <v>5</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2"/>
      <c r="H23" s="1833"/>
      <c r="I23" s="1824"/>
      <c r="J23" s="69"/>
      <c r="K23" s="817"/>
      <c r="L23" s="785" t="s">
        <v>675</v>
      </c>
      <c r="M23" s="786">
        <f ca="1">INDIRECT("'数据-取费表'!r"&amp;$G$1)</f>
        <v>7814.92</v>
      </c>
      <c r="N23" s="2062"/>
      <c r="O23" s="2062"/>
      <c r="P23" s="2062"/>
      <c r="Q23" s="2062"/>
      <c r="R23" s="2062"/>
      <c r="S23" s="2062"/>
      <c r="T23" s="2062"/>
      <c r="U23" s="2062"/>
      <c r="V23" s="2062"/>
      <c r="W23" s="2062"/>
      <c r="X23" s="2062"/>
      <c r="Y23" s="2062"/>
    </row>
    <row r="24" spans="1:25" ht="18" customHeight="1">
      <c r="A24" s="804" t="s">
        <v>1881</v>
      </c>
      <c r="B24" s="785" t="s">
        <v>676</v>
      </c>
      <c r="C24" s="53"/>
      <c r="D24" s="2593" t="str">
        <f>IF(F25&lt;=1,"单利计息。","复利计息。")&amp;"建造成本、管理费用、销售费用产生的利息。"</f>
        <v>复利计息。建造成本、管理费用、销售费用产生的利息。</v>
      </c>
      <c r="E24" s="1981"/>
      <c r="F24" s="56"/>
      <c r="G24" s="1591"/>
      <c r="H24" s="1831" t="s">
        <v>2071</v>
      </c>
      <c r="I24" s="785" t="s">
        <v>677</v>
      </c>
      <c r="J24" s="53">
        <f ca="1">ROUND(J16*M24,0)</f>
        <v>96</v>
      </c>
      <c r="K24" s="1976" t="s">
        <v>678</v>
      </c>
      <c r="L24" s="785" t="s">
        <v>650</v>
      </c>
      <c r="M24" s="818">
        <f ca="1">INDIRECT("'数据-取费表'!Ak"&amp;$G$1)</f>
        <v>1.4999999999999999E-2</v>
      </c>
    </row>
    <row r="25" spans="1:25" s="2063" customFormat="1" ht="18" customHeight="1">
      <c r="A25" s="804" t="s">
        <v>1877</v>
      </c>
      <c r="B25" s="785" t="s">
        <v>2439</v>
      </c>
      <c r="C25" s="53">
        <f ca="1">ROUND(IF('数据-取费表'!B22&lt;=1,(C21+C22)*F26*F25/2,(C21+C22)*(POWER((1+F26),F25/2)-1)),0)</f>
        <v>293</v>
      </c>
      <c r="D25" s="2592" t="str">
        <f>IF(F25&lt;=1,"(建造成本+管理费用)×利率×(建设周期÷2)","(建造成本+管理费用)×((1+利率)^(建设周期÷2)-1)")</f>
        <v>(建造成本+管理费用)×((1+利率)^(建设周期÷2)-1)</v>
      </c>
      <c r="E25" s="785" t="s">
        <v>679</v>
      </c>
      <c r="F25" s="641">
        <f>'数据-取费表'!B20</f>
        <v>2.5</v>
      </c>
      <c r="G25" s="1592"/>
      <c r="H25" s="804" t="s">
        <v>1880</v>
      </c>
      <c r="I25" s="785" t="s">
        <v>680</v>
      </c>
      <c r="J25" s="53">
        <f ca="1">ROUND(J15*M25,0)</f>
        <v>0</v>
      </c>
      <c r="K25" s="1976" t="s">
        <v>681</v>
      </c>
      <c r="L25" s="785" t="s">
        <v>650</v>
      </c>
      <c r="M25" s="819">
        <f ca="1">INDIRECT("'数据-取费表'!Al"&amp;$G$1)</f>
        <v>1.5E-3</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1.1999999999999999E-3</v>
      </c>
      <c r="D26" s="2592" t="str">
        <f>IF(F25&lt;=1,"销售费用×利率×(建设周期÷2)","销售费用×((1+利率)^(建设周期÷2)-1)")</f>
        <v>销售费用×((1+利率)^(建设周期÷2)-1)</v>
      </c>
      <c r="E26" s="785" t="s">
        <v>683</v>
      </c>
      <c r="F26" s="820">
        <f ca="1">'数据-取费表'!B40</f>
        <v>4.7500000000000001E-2</v>
      </c>
      <c r="G26" s="1592"/>
      <c r="H26" s="804" t="s">
        <v>1881</v>
      </c>
      <c r="I26" s="785" t="s">
        <v>667</v>
      </c>
      <c r="J26" s="53">
        <f ca="1">ROUND(J7*M26,0)</f>
        <v>0</v>
      </c>
      <c r="K26" s="1976" t="s">
        <v>684</v>
      </c>
      <c r="L26" s="785" t="s">
        <v>650</v>
      </c>
      <c r="M26" s="795">
        <f ca="1">INDIRECT("'数据-取费表'!Am"&amp;$G$1)</f>
        <v>0.01</v>
      </c>
      <c r="N26" s="2062"/>
      <c r="O26" s="2062"/>
      <c r="P26" s="2062"/>
      <c r="Q26" s="2062"/>
      <c r="R26" s="2062"/>
      <c r="S26" s="2062"/>
      <c r="T26" s="2062"/>
      <c r="U26" s="2062"/>
      <c r="V26" s="2062"/>
      <c r="W26" s="2062"/>
      <c r="X26" s="2062"/>
      <c r="Y26" s="2062"/>
    </row>
    <row r="27" spans="1:25" ht="18" customHeight="1">
      <c r="A27" s="804" t="s">
        <v>1883</v>
      </c>
      <c r="B27" s="785" t="s">
        <v>685</v>
      </c>
      <c r="C27" s="53"/>
      <c r="D27" s="261" t="s">
        <v>686</v>
      </c>
      <c r="E27" s="1981"/>
      <c r="F27" s="56"/>
      <c r="G27" s="1591"/>
      <c r="H27" s="798" t="s">
        <v>1830</v>
      </c>
      <c r="I27" s="3033" t="s">
        <v>2828</v>
      </c>
      <c r="J27" s="800">
        <f ca="1">J7-J18</f>
        <v>-154</v>
      </c>
      <c r="K27" s="1978" t="s">
        <v>701</v>
      </c>
      <c r="L27" s="1980"/>
      <c r="M27" s="821"/>
    </row>
    <row r="28" spans="1:25" ht="18" customHeight="1">
      <c r="A28" s="804" t="s">
        <v>1877</v>
      </c>
      <c r="B28" s="785" t="s">
        <v>2440</v>
      </c>
      <c r="C28" s="53">
        <f ca="1">ROUND((C21+C22)*F28,0)</f>
        <v>735</v>
      </c>
      <c r="D28" s="813" t="s">
        <v>702</v>
      </c>
      <c r="E28" s="796" t="s">
        <v>703</v>
      </c>
      <c r="F28" s="795">
        <f ca="1">INDIRECT("'数据-取费表'!q"&amp;$G$1)</f>
        <v>0.15</v>
      </c>
      <c r="G28" s="1591"/>
      <c r="H28" s="782" t="s">
        <v>1839</v>
      </c>
      <c r="I28" s="783" t="s">
        <v>704</v>
      </c>
      <c r="J28" s="784">
        <f ca="1">IF(J7&lt;&gt;0,ROUND(J27*(1-((1+M30)/(1+M28))^M29)/(M28-M30),0),0)</f>
        <v>0</v>
      </c>
      <c r="K28" s="815" t="s">
        <v>705</v>
      </c>
      <c r="L28" s="785" t="s">
        <v>706</v>
      </c>
      <c r="M28" s="795">
        <f ca="1">INDIRECT("'数据-取费表'!I"&amp;$G$1)</f>
        <v>5.5E-2</v>
      </c>
    </row>
    <row r="29" spans="1:25" ht="18" customHeight="1">
      <c r="A29" s="804" t="s">
        <v>1851</v>
      </c>
      <c r="B29" s="785" t="s">
        <v>687</v>
      </c>
      <c r="C29" s="53">
        <f ca="1">ROUND(F23*F28,4)</f>
        <v>3.0000000000000001E-3</v>
      </c>
      <c r="D29" s="813" t="s">
        <v>707</v>
      </c>
      <c r="E29" s="807"/>
      <c r="F29" s="808"/>
      <c r="G29" s="1591"/>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2"/>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1885</v>
      </c>
      <c r="B31" s="2562" t="s">
        <v>2829</v>
      </c>
      <c r="C31" s="2565">
        <f ca="1">ROUND((C21+C22+C25+C28)/(1-F23-C26-C29-C30),0)</f>
        <v>6428</v>
      </c>
      <c r="D31" s="2566"/>
      <c r="E31" s="2567"/>
      <c r="F31" s="2568"/>
      <c r="G31" s="1592"/>
      <c r="H31" s="824" t="s">
        <v>1874</v>
      </c>
      <c r="I31" s="3034" t="s">
        <v>2830</v>
      </c>
      <c r="J31" s="826">
        <f ca="1">ROUND(J28/(1+F45)^F46,0)</f>
        <v>0</v>
      </c>
      <c r="K31" s="827" t="s">
        <v>689</v>
      </c>
      <c r="L31" s="828"/>
      <c r="M31" s="829">
        <f ca="1">INDIRECT("'数据-取费表'!k"&amp;$G$1)</f>
        <v>16283.900000000001</v>
      </c>
      <c r="N31" s="2062"/>
      <c r="O31" s="2062"/>
      <c r="P31" s="2062"/>
      <c r="Q31" s="2062"/>
      <c r="R31" s="2062"/>
      <c r="S31" s="2062"/>
      <c r="T31" s="2062"/>
      <c r="U31" s="2062"/>
      <c r="V31" s="2062"/>
      <c r="W31" s="2062"/>
      <c r="X31" s="2062"/>
      <c r="Y31" s="2062"/>
    </row>
    <row r="32" spans="1:25" ht="18" customHeight="1" thickTop="1">
      <c r="A32" s="1829" t="s">
        <v>7</v>
      </c>
      <c r="B32" s="1827" t="s">
        <v>690</v>
      </c>
      <c r="C32" s="793">
        <f ca="1">ROUND(C33+C38+C39+C40,0)</f>
        <v>244</v>
      </c>
      <c r="D32" s="1821" t="s">
        <v>653</v>
      </c>
      <c r="E32" s="2508"/>
      <c r="F32" s="2512"/>
      <c r="G32" s="2061"/>
      <c r="H32" s="2064"/>
      <c r="I32" s="2065"/>
      <c r="J32" s="2066"/>
      <c r="K32" s="2067"/>
      <c r="L32" s="2068"/>
      <c r="M32" s="2069"/>
    </row>
    <row r="33" spans="1:18" ht="18" customHeight="1">
      <c r="A33" s="804" t="s">
        <v>1878</v>
      </c>
      <c r="B33" s="785" t="s">
        <v>657</v>
      </c>
      <c r="C33" s="53">
        <f ca="1">ROUND(IF(项目基本情况!B11="自然人",C7*F33,C34+C35+C36),1)</f>
        <v>125.4</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67.5</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54</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4" t="s">
        <v>669</v>
      </c>
      <c r="C36" s="54">
        <f ca="1">ROUND(F36*F37/10000,1)</f>
        <v>3.9</v>
      </c>
      <c r="D36" s="815" t="s">
        <v>670</v>
      </c>
      <c r="E36" s="785" t="s">
        <v>671</v>
      </c>
      <c r="F36" s="641">
        <f>'数据-取费表'!B52</f>
        <v>5</v>
      </c>
      <c r="G36" s="2061"/>
      <c r="H36" s="2064"/>
      <c r="I36" s="3493"/>
      <c r="J36" s="2078"/>
      <c r="K36" s="2079"/>
      <c r="L36" s="2078"/>
      <c r="M36" s="2078"/>
    </row>
    <row r="37" spans="1:18" ht="18" customHeight="1">
      <c r="A37" s="816"/>
      <c r="B37" s="794"/>
      <c r="C37" s="69"/>
      <c r="D37" s="817"/>
      <c r="E37" s="785" t="s">
        <v>675</v>
      </c>
      <c r="F37" s="786">
        <f ca="1">INDIRECT("'数据-取费表'!r"&amp;$G$1)</f>
        <v>7814.92</v>
      </c>
      <c r="G37" s="2061"/>
      <c r="H37" s="2064"/>
      <c r="I37" s="3493"/>
      <c r="J37" s="2076"/>
      <c r="K37" s="2077"/>
      <c r="L37" s="2076"/>
      <c r="M37" s="2076"/>
    </row>
    <row r="38" spans="1:18" ht="18" customHeight="1">
      <c r="A38" s="804" t="s">
        <v>1879</v>
      </c>
      <c r="B38" s="785" t="s">
        <v>677</v>
      </c>
      <c r="C38" s="53">
        <f ca="1">ROUND(C31*F38,1)</f>
        <v>96.4</v>
      </c>
      <c r="D38" s="1976" t="s">
        <v>692</v>
      </c>
      <c r="E38" s="785" t="s">
        <v>650</v>
      </c>
      <c r="F38" s="818">
        <f ca="1">INDIRECT("'数据-取费表'!Ak"&amp;$G$1)</f>
        <v>1.4999999999999999E-2</v>
      </c>
      <c r="G38" s="2061"/>
      <c r="H38" s="2076"/>
      <c r="I38" s="2080"/>
      <c r="J38" s="1987"/>
      <c r="K38" s="2081"/>
      <c r="L38" s="2076"/>
      <c r="M38" s="2076"/>
    </row>
    <row r="39" spans="1:18" ht="18" customHeight="1">
      <c r="A39" s="804" t="s">
        <v>1880</v>
      </c>
      <c r="B39" s="785" t="s">
        <v>680</v>
      </c>
      <c r="C39" s="53">
        <f ca="1">ROUND(C15*F39,1)</f>
        <v>9.6</v>
      </c>
      <c r="D39" s="1976" t="s">
        <v>681</v>
      </c>
      <c r="E39" s="785" t="s">
        <v>650</v>
      </c>
      <c r="F39" s="819">
        <f ca="1">INDIRECT("'数据-取费表'!Al"&amp;$G$1)</f>
        <v>1.5E-3</v>
      </c>
      <c r="G39" s="2061"/>
      <c r="H39" s="2076"/>
      <c r="I39" s="2080"/>
      <c r="J39" s="1987"/>
      <c r="K39" s="2081"/>
      <c r="L39" s="2076"/>
      <c r="M39" s="2076"/>
    </row>
    <row r="40" spans="1:18" ht="18" customHeight="1" thickBot="1">
      <c r="A40" s="2581" t="s">
        <v>1881</v>
      </c>
      <c r="B40" s="2567" t="s">
        <v>667</v>
      </c>
      <c r="C40" s="2565">
        <f ca="1">ROUND(C7*F40,1)</f>
        <v>12.7</v>
      </c>
      <c r="D40" s="2566" t="s">
        <v>684</v>
      </c>
      <c r="E40" s="2567" t="s">
        <v>650</v>
      </c>
      <c r="F40" s="2563">
        <f ca="1">INDIRECT("'数据-取费表'!Am"&amp;$G$1)</f>
        <v>0.01</v>
      </c>
      <c r="G40" s="2061"/>
      <c r="H40" s="2076"/>
      <c r="I40" s="2080"/>
      <c r="J40" s="1987"/>
      <c r="K40" s="2082"/>
      <c r="L40" s="2076"/>
      <c r="M40" s="2076"/>
    </row>
    <row r="41" spans="1:18" ht="18" customHeight="1" thickTop="1">
      <c r="A41" s="1829">
        <v>4</v>
      </c>
      <c r="B41" s="1827" t="s">
        <v>693</v>
      </c>
      <c r="C41" s="1352"/>
      <c r="D41" s="1353"/>
      <c r="E41" s="1353"/>
      <c r="F41" s="1354"/>
      <c r="G41" s="2061"/>
      <c r="H41" s="2061"/>
      <c r="I41" s="2061"/>
      <c r="J41" s="2061"/>
      <c r="K41" s="2082"/>
      <c r="L41" s="2061"/>
      <c r="M41" s="2061"/>
    </row>
    <row r="42" spans="1:18" ht="18" customHeight="1">
      <c r="A42" s="804" t="s">
        <v>1878</v>
      </c>
      <c r="B42" s="836" t="s">
        <v>694</v>
      </c>
      <c r="C42" s="830">
        <f ca="1">C7-C32</f>
        <v>1021</v>
      </c>
      <c r="D42" s="1978" t="s">
        <v>695</v>
      </c>
      <c r="E42" s="1980"/>
      <c r="F42" s="821"/>
      <c r="G42" s="2061"/>
      <c r="H42" s="2061"/>
      <c r="I42" s="2061"/>
      <c r="J42" s="2061"/>
      <c r="K42" s="2082"/>
      <c r="L42" s="2061"/>
      <c r="M42" s="2061"/>
    </row>
    <row r="43" spans="1:18" ht="18" customHeight="1">
      <c r="A43" s="804" t="s">
        <v>1879</v>
      </c>
      <c r="B43" s="836" t="s">
        <v>712</v>
      </c>
      <c r="C43" s="837">
        <f ca="1">ROUND(C15*F43,0)</f>
        <v>0</v>
      </c>
      <c r="D43" s="1355" t="s">
        <v>713</v>
      </c>
      <c r="E43" s="3147" t="s">
        <v>2954</v>
      </c>
      <c r="F43" s="3148">
        <f ca="1">INDIRECT("'数据-取费表'!j"&amp;$G$1)</f>
        <v>0</v>
      </c>
      <c r="G43" s="2061"/>
      <c r="H43" s="2061"/>
      <c r="I43" s="2061"/>
      <c r="J43" s="2061"/>
      <c r="K43" s="2082"/>
      <c r="L43" s="2061"/>
      <c r="M43" s="2061"/>
    </row>
    <row r="44" spans="1:18" ht="18" customHeight="1">
      <c r="A44" s="804" t="s">
        <v>1880</v>
      </c>
      <c r="B44" s="836" t="s">
        <v>714</v>
      </c>
      <c r="C44" s="1356">
        <f ca="1">C42-C43</f>
        <v>1021</v>
      </c>
      <c r="D44" s="466" t="s">
        <v>715</v>
      </c>
      <c r="E44" s="467"/>
      <c r="F44" s="468"/>
      <c r="G44" s="2061"/>
      <c r="H44" s="2061"/>
      <c r="I44" s="2061"/>
      <c r="J44" s="2061"/>
      <c r="K44" s="2082"/>
      <c r="L44" s="2061"/>
      <c r="M44" s="2061"/>
    </row>
    <row r="45" spans="1:18" ht="18" customHeight="1">
      <c r="A45" s="804" t="s">
        <v>1881</v>
      </c>
      <c r="B45" s="1355" t="s">
        <v>716</v>
      </c>
      <c r="C45" s="3059">
        <f ca="1">ROUND(-PV(F45,F46,C44,0),0)</f>
        <v>17471</v>
      </c>
      <c r="D45" s="1357" t="s">
        <v>717</v>
      </c>
      <c r="E45" s="807" t="s">
        <v>718</v>
      </c>
      <c r="F45" s="831">
        <f ca="1">INDIRECT("'数据-取费表'!h"&amp;$G$1)</f>
        <v>0.05</v>
      </c>
      <c r="G45" s="2061"/>
      <c r="H45" s="2061"/>
      <c r="I45" s="2061"/>
      <c r="J45" s="2061"/>
      <c r="K45" s="2082"/>
      <c r="L45" s="2061"/>
      <c r="M45" s="2061"/>
    </row>
    <row r="46" spans="1:18" ht="18" customHeight="1" thickBot="1">
      <c r="A46" s="832"/>
      <c r="B46" s="1358"/>
      <c r="C46" s="1359"/>
      <c r="D46" s="1360"/>
      <c r="E46" s="3149" t="s">
        <v>2957</v>
      </c>
      <c r="F46" s="829">
        <f ca="1">IF(INDIRECT("'数据-取费表'!af"&amp;$G$1)=0,INDIRECT("'数据-取费表'!ae"&amp;$G$1),INDIRECT("'数据-取费表'!af"&amp;$G$1))</f>
        <v>39.659999999999997</v>
      </c>
      <c r="G46" s="2061"/>
      <c r="H46" s="2061"/>
      <c r="I46" s="2061"/>
      <c r="J46" s="2061"/>
      <c r="K46" s="2082"/>
      <c r="L46" s="2061"/>
      <c r="M46" s="2061"/>
    </row>
    <row r="47" spans="1:18" s="2058" customFormat="1" ht="18" customHeight="1" thickBot="1">
      <c r="A47" s="2083"/>
      <c r="D47" s="2084"/>
      <c r="E47" s="2084"/>
      <c r="F47" s="2084"/>
      <c r="I47" s="2375" t="s">
        <v>2344</v>
      </c>
      <c r="J47" s="2376"/>
      <c r="K47" s="2377"/>
      <c r="L47" s="2378" t="e">
        <f ca="1">IF(M48="住宅",0,IF(L49&gt;J52,L61,J61))</f>
        <v>#DIV/0!</v>
      </c>
      <c r="O47" s="2415" t="s">
        <v>2412</v>
      </c>
      <c r="P47" s="1591"/>
      <c r="Q47" s="1603"/>
      <c r="R47" s="1591"/>
    </row>
    <row r="48" spans="1:18" s="2058" customFormat="1" ht="18" customHeight="1" thickBot="1">
      <c r="A48" s="2083"/>
      <c r="C48" s="2086"/>
      <c r="D48" s="2087"/>
      <c r="E48" s="2087"/>
      <c r="F48" s="2088"/>
      <c r="G48" s="2089"/>
      <c r="I48" s="2379" t="s">
        <v>2345</v>
      </c>
      <c r="J48" s="2384"/>
      <c r="K48" s="2385" t="s">
        <v>2351</v>
      </c>
      <c r="L48" s="2386">
        <f ca="1">INDIRECT("'数据-取费表'!d"&amp;$G$1)</f>
        <v>40</v>
      </c>
      <c r="M48" s="3144" t="str">
        <f>IF(ISNUMBER(FIND("住宅",C1)),"住宅","非住宅")</f>
        <v>非住宅</v>
      </c>
      <c r="O48" s="2416" t="s">
        <v>2377</v>
      </c>
      <c r="P48" s="2417" t="s">
        <v>2378</v>
      </c>
      <c r="Q48" s="2418" t="s">
        <v>2379</v>
      </c>
      <c r="R48" s="2417" t="s">
        <v>2380</v>
      </c>
    </row>
    <row r="49" spans="1:18" s="2058" customFormat="1" ht="18" customHeight="1" thickBot="1">
      <c r="A49" s="2083"/>
      <c r="D49" s="2090"/>
      <c r="E49" s="2091"/>
      <c r="F49" s="2088"/>
      <c r="G49" s="2089"/>
      <c r="H49" s="2092"/>
      <c r="I49" s="2380" t="s">
        <v>2346</v>
      </c>
      <c r="J49" s="2387"/>
      <c r="K49" s="2388" t="s">
        <v>2353</v>
      </c>
      <c r="L49" s="2389">
        <f ca="1">INDIRECT("'数据-取费表'!f"&amp;$G$1)</f>
        <v>39.659999999999997</v>
      </c>
      <c r="O49" s="2419" t="s">
        <v>2381</v>
      </c>
      <c r="P49" s="2420" t="s">
        <v>2407</v>
      </c>
      <c r="Q49" s="2421">
        <f ca="1">C41+J31</f>
        <v>0</v>
      </c>
      <c r="R49" s="2420" t="s">
        <v>2382</v>
      </c>
    </row>
    <row r="50" spans="1:18" s="2058" customFormat="1" ht="18" customHeight="1" thickBot="1">
      <c r="A50" s="2083"/>
      <c r="D50" s="2093"/>
      <c r="E50" s="2093"/>
      <c r="F50" s="2087"/>
      <c r="G50" s="2094"/>
      <c r="H50" s="2092"/>
      <c r="I50" s="2380" t="s">
        <v>2347</v>
      </c>
      <c r="J50" s="2390"/>
      <c r="K50" s="2391" t="s">
        <v>2354</v>
      </c>
      <c r="L50" s="2392"/>
      <c r="O50" s="2419" t="s">
        <v>2383</v>
      </c>
      <c r="P50" s="2420" t="s">
        <v>2408</v>
      </c>
      <c r="Q50" s="2421" t="str">
        <f ca="1">J61</f>
        <v>0</v>
      </c>
      <c r="R50" s="2420" t="s">
        <v>2384</v>
      </c>
    </row>
    <row r="51" spans="1:18" s="2058" customFormat="1" ht="18" customHeight="1" thickBot="1">
      <c r="A51" s="2095"/>
      <c r="D51" s="2093"/>
      <c r="E51" s="2093"/>
      <c r="F51" s="2084"/>
      <c r="H51" s="2092"/>
      <c r="I51" s="2380" t="s">
        <v>2348</v>
      </c>
      <c r="J51" s="2393">
        <f>SUMPRODUCT((I64:I66=J48)*(J63:L63=J49)*(J64:L66))</f>
        <v>0</v>
      </c>
      <c r="K51" s="2391" t="s">
        <v>2355</v>
      </c>
      <c r="L51" s="2392"/>
      <c r="O51" s="2422" t="s">
        <v>2385</v>
      </c>
      <c r="P51" s="2420" t="s">
        <v>2409</v>
      </c>
      <c r="Q51" s="2421">
        <f ca="1">C31</f>
        <v>6428</v>
      </c>
      <c r="R51" s="2420" t="s">
        <v>2382</v>
      </c>
    </row>
    <row r="52" spans="1:18" s="2058" customFormat="1" ht="18" customHeight="1" thickBot="1">
      <c r="A52" s="2095"/>
      <c r="F52" s="2084"/>
      <c r="I52" s="2381" t="s">
        <v>2349</v>
      </c>
      <c r="J52" s="2394">
        <f>IF(J50="",J51,J50+J51-YEAR('数据-取费表'!B3))</f>
        <v>0</v>
      </c>
      <c r="K52" s="2380" t="s">
        <v>2356</v>
      </c>
      <c r="L52" s="2395">
        <f ca="1">ROUND(-PV(INDIRECT("'数据-取费表'!h"&amp;$G$1),L49,(C40-C14*J36),0),0)</f>
        <v>217</v>
      </c>
      <c r="O52" s="2422" t="s">
        <v>2386</v>
      </c>
      <c r="P52" s="2420" t="s">
        <v>2387</v>
      </c>
      <c r="Q52" s="2423" t="e">
        <f ca="1">J59</f>
        <v>#VALUE!</v>
      </c>
      <c r="R52" s="2424"/>
    </row>
    <row r="53" spans="1:18" s="2058" customFormat="1" ht="18" customHeight="1" thickBot="1">
      <c r="A53" s="2095"/>
      <c r="F53" s="2084"/>
      <c r="I53" s="2382" t="s">
        <v>2423</v>
      </c>
      <c r="J53" s="2396"/>
      <c r="K53" s="2382" t="s">
        <v>2422</v>
      </c>
      <c r="L53" s="2396"/>
      <c r="O53" s="2422" t="s">
        <v>2388</v>
      </c>
      <c r="P53" s="2420" t="s">
        <v>2389</v>
      </c>
      <c r="Q53" s="2423">
        <f>J53</f>
        <v>0</v>
      </c>
      <c r="R53" s="2424"/>
    </row>
    <row r="54" spans="1:18" s="2058" customFormat="1" ht="43.5" thickBot="1">
      <c r="A54" s="2095"/>
      <c r="I54" s="2383" t="s">
        <v>2350</v>
      </c>
      <c r="J54" s="2397">
        <f ca="1">IF(M48="住宅",J52,IF(J52&gt;L49,L49-'数据-取费表'!B25,J52))</f>
        <v>0</v>
      </c>
      <c r="K54" s="3498"/>
      <c r="L54" s="3499"/>
      <c r="O54" s="2422" t="s">
        <v>2390</v>
      </c>
      <c r="P54" s="2420" t="s">
        <v>2391</v>
      </c>
      <c r="Q54" s="2421">
        <f ca="1">J54</f>
        <v>0</v>
      </c>
      <c r="R54" s="2420"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19" t="s">
        <v>2393</v>
      </c>
      <c r="P55" s="2420" t="s">
        <v>2410</v>
      </c>
      <c r="Q55" s="2421">
        <f ca="1">Q49+Q50</f>
        <v>0</v>
      </c>
      <c r="R55" s="2424" t="s">
        <v>2394</v>
      </c>
    </row>
    <row r="56" spans="1:18" s="2058" customFormat="1" ht="16.5" thickBot="1">
      <c r="A56" s="2095"/>
      <c r="B56" s="2096"/>
      <c r="C56" s="2096"/>
      <c r="I56" s="3121" t="s">
        <v>2357</v>
      </c>
      <c r="J56" s="3145" t="e">
        <f ca="1">ROUND(IF(J48="钢混",J58/J51,1-(1-2%)*(J51-J58)/J51),3)</f>
        <v>#VALUE!</v>
      </c>
      <c r="K56" s="2398" t="s">
        <v>2358</v>
      </c>
      <c r="L56" s="2399"/>
      <c r="O56" s="2425" t="s">
        <v>2413</v>
      </c>
      <c r="P56" s="1591"/>
      <c r="Q56" s="1603"/>
      <c r="R56" s="1591"/>
    </row>
    <row r="57" spans="1:18" s="2058" customFormat="1" ht="43.5" thickBot="1">
      <c r="A57" s="2095"/>
      <c r="B57" s="2096"/>
      <c r="C57" s="2096"/>
      <c r="I57" s="2400" t="s">
        <v>2359</v>
      </c>
      <c r="J57" s="3144" t="s">
        <v>1680</v>
      </c>
      <c r="K57" s="2380" t="s">
        <v>2364</v>
      </c>
      <c r="L57" s="2389">
        <f ca="1">IF(L49&lt;J52,"——",L49-J52)</f>
        <v>39.659999999999997</v>
      </c>
      <c r="O57" s="2416" t="s">
        <v>2377</v>
      </c>
      <c r="P57" s="2417" t="s">
        <v>2378</v>
      </c>
      <c r="Q57" s="2418" t="s">
        <v>2379</v>
      </c>
      <c r="R57" s="2417" t="s">
        <v>2380</v>
      </c>
    </row>
    <row r="58" spans="1:18" s="2058" customFormat="1" ht="29.25" thickBot="1">
      <c r="A58" s="2095"/>
      <c r="B58" s="2096"/>
      <c r="C58" s="2096"/>
      <c r="I58" s="2401" t="s">
        <v>2360</v>
      </c>
      <c r="J58" s="2403" t="str">
        <f ca="1">IF(OR(M48="住宅",J52&lt;L49,J57="是"),"——",J52-L49)</f>
        <v>——</v>
      </c>
      <c r="K58" s="2380" t="s">
        <v>2365</v>
      </c>
      <c r="L58" s="2389">
        <f ca="1">IF(L49&lt;J52,"——",IF(L56="比较法",L50,IF(L56="基准地价",L51,L52)))</f>
        <v>217</v>
      </c>
      <c r="O58" s="2419" t="s">
        <v>2381</v>
      </c>
      <c r="P58" s="2420" t="s">
        <v>2407</v>
      </c>
      <c r="Q58" s="2421">
        <f ca="1">C41+J31</f>
        <v>0</v>
      </c>
      <c r="R58" s="2420" t="s">
        <v>2382</v>
      </c>
    </row>
    <row r="59" spans="1:18" s="2058" customFormat="1" ht="29.25" thickBot="1">
      <c r="A59" s="2095"/>
      <c r="B59" s="2096"/>
      <c r="C59" s="2096"/>
      <c r="I59" s="2401" t="s">
        <v>2361</v>
      </c>
      <c r="J59" s="3146" t="e">
        <f ca="1">IF(J56&lt;0.4,0.4,J56)</f>
        <v>#VALUE!</v>
      </c>
      <c r="K59" s="2380" t="s">
        <v>2366</v>
      </c>
      <c r="L59" s="2389">
        <f ca="1">IF(ISERROR(POWER(1+L53,L48-L49)*(POWER(1+L53,L49)-1)/(POWER(1+L53,L48)-1)),0,POWER(1+L53,L48-L49)*(POWER(1+L53,L49)-1)/(POWER(1+L53,L48)-1))</f>
        <v>0</v>
      </c>
      <c r="O59" s="2419" t="s">
        <v>2383</v>
      </c>
      <c r="P59" s="2420" t="s">
        <v>2414</v>
      </c>
      <c r="Q59" s="2421" t="e">
        <f ca="1">L61</f>
        <v>#DIV/0!</v>
      </c>
      <c r="R59" s="2424" t="s">
        <v>2416</v>
      </c>
    </row>
    <row r="60" spans="1:18" s="2058" customFormat="1" ht="29.25" thickBot="1">
      <c r="A60" s="2095"/>
      <c r="B60" s="2096"/>
      <c r="C60" s="2096"/>
      <c r="I60" s="2401" t="s">
        <v>2362</v>
      </c>
      <c r="J60" s="2403" t="str">
        <f ca="1">IF(OR(M48="住宅",J52&lt;L49,J57="是"),"——",ROUND(C30*J59,0))</f>
        <v>——</v>
      </c>
      <c r="K60" s="2380" t="s">
        <v>2367</v>
      </c>
      <c r="L60" s="2389">
        <f ca="1">IF(ISERROR(POWER(1+L53,L48-J52)*(POWER(1+L53,J52)-1)/(POWER(1+L53,L48)-1)),0,POWER(1+L53,L48-J52)*(POWER(1+L53,J52)-1)/(POWER(1+L53,L48)-1))</f>
        <v>0</v>
      </c>
      <c r="O60" s="2422" t="s">
        <v>2385</v>
      </c>
      <c r="P60" s="2420" t="s">
        <v>2415</v>
      </c>
      <c r="Q60" s="2421">
        <f>IF(L56="比较法",L50,IF(L56="基准地价",L51,0))</f>
        <v>0</v>
      </c>
      <c r="R60" s="2420" t="s">
        <v>2382</v>
      </c>
    </row>
    <row r="61" spans="1:18" s="2058" customFormat="1" ht="15.75" thickBot="1">
      <c r="A61" s="2095"/>
      <c r="B61" s="2096"/>
      <c r="C61" s="2096"/>
      <c r="I61" s="2402" t="s">
        <v>2363</v>
      </c>
      <c r="J61" s="2404" t="str">
        <f ca="1">IF(OR(M48="住宅",J52&lt;L49,J57="是"),"0",ROUND(J60/(1+J53)^J54,0))</f>
        <v>0</v>
      </c>
      <c r="K61" s="2405" t="s">
        <v>2368</v>
      </c>
      <c r="L61" s="2404" t="e">
        <f ca="1">IF(OR(M48="住宅",L49&lt;J52),0,ROUND(L58*(L59/L60-1),0))</f>
        <v>#DIV/0!</v>
      </c>
      <c r="O61" s="2422" t="s">
        <v>2386</v>
      </c>
      <c r="P61" s="2420" t="s">
        <v>2395</v>
      </c>
      <c r="Q61" s="2423">
        <f>L53</f>
        <v>0</v>
      </c>
      <c r="R61" s="2424"/>
    </row>
    <row r="62" spans="1:18" s="2058" customFormat="1" ht="20.25" thickBot="1">
      <c r="A62" s="2095"/>
      <c r="B62" s="2096"/>
      <c r="C62" s="2096"/>
      <c r="K62" s="2085"/>
      <c r="O62" s="2422" t="s">
        <v>2388</v>
      </c>
      <c r="P62" s="2420" t="s">
        <v>2396</v>
      </c>
      <c r="Q62" s="2421">
        <f ca="1">L59</f>
        <v>0</v>
      </c>
      <c r="R62" s="2424" t="s">
        <v>2397</v>
      </c>
    </row>
    <row r="63" spans="1:18" s="2058" customFormat="1" ht="20.25" thickBot="1">
      <c r="A63" s="2095"/>
      <c r="B63" s="2096"/>
      <c r="C63" s="2096"/>
      <c r="I63" s="2406" t="s">
        <v>2369</v>
      </c>
      <c r="J63" s="2407" t="s">
        <v>2370</v>
      </c>
      <c r="K63" s="2407" t="s">
        <v>2371</v>
      </c>
      <c r="L63" s="2407" t="s">
        <v>2352</v>
      </c>
      <c r="M63" s="3123" t="s">
        <v>2933</v>
      </c>
      <c r="O63" s="2422" t="s">
        <v>2390</v>
      </c>
      <c r="P63" s="2420" t="s">
        <v>2398</v>
      </c>
      <c r="Q63" s="2421">
        <f ca="1">L60</f>
        <v>0</v>
      </c>
      <c r="R63" s="2424" t="s">
        <v>2399</v>
      </c>
    </row>
    <row r="64" spans="1:18" s="2058" customFormat="1" ht="15.75" thickBot="1">
      <c r="A64" s="2095"/>
      <c r="B64" s="2096"/>
      <c r="C64" s="2096"/>
      <c r="I64" s="2406" t="s">
        <v>2372</v>
      </c>
      <c r="J64" s="2407">
        <v>70</v>
      </c>
      <c r="K64" s="2407">
        <v>50</v>
      </c>
      <c r="L64" s="2407">
        <v>80</v>
      </c>
      <c r="M64" s="3124">
        <v>0.02</v>
      </c>
      <c r="O64" s="2419" t="s">
        <v>2393</v>
      </c>
      <c r="P64" s="2420" t="s">
        <v>2410</v>
      </c>
      <c r="Q64" s="2421" t="e">
        <f ca="1">Q58+Q59</f>
        <v>#DIV/0!</v>
      </c>
      <c r="R64" s="2424" t="s">
        <v>2394</v>
      </c>
    </row>
    <row r="65" spans="1:18" s="2058" customFormat="1" ht="16.5" thickBot="1">
      <c r="A65" s="2095"/>
      <c r="B65" s="2096"/>
      <c r="C65" s="2096"/>
      <c r="I65" s="2406" t="s">
        <v>2373</v>
      </c>
      <c r="J65" s="2407">
        <v>50</v>
      </c>
      <c r="K65" s="2407">
        <v>35</v>
      </c>
      <c r="L65" s="2407">
        <v>60</v>
      </c>
      <c r="M65" s="3125">
        <v>0</v>
      </c>
      <c r="O65" s="2425" t="s">
        <v>2417</v>
      </c>
      <c r="P65" s="1591"/>
      <c r="Q65" s="1603"/>
      <c r="R65" s="1591"/>
    </row>
    <row r="66" spans="1:18" s="2058" customFormat="1" ht="15.75" thickBot="1">
      <c r="A66" s="2095"/>
      <c r="B66" s="2096"/>
      <c r="C66" s="2096"/>
      <c r="I66" s="2406" t="s">
        <v>2374</v>
      </c>
      <c r="J66" s="2407">
        <v>40</v>
      </c>
      <c r="K66" s="2407">
        <v>30</v>
      </c>
      <c r="L66" s="2407">
        <v>50</v>
      </c>
      <c r="M66" s="3124">
        <v>0.02</v>
      </c>
      <c r="O66" s="2416" t="s">
        <v>2377</v>
      </c>
      <c r="P66" s="2417" t="s">
        <v>2378</v>
      </c>
      <c r="Q66" s="2418" t="s">
        <v>2379</v>
      </c>
      <c r="R66" s="2417" t="s">
        <v>2380</v>
      </c>
    </row>
    <row r="67" spans="1:18" s="2058" customFormat="1" ht="15.75" thickBot="1">
      <c r="A67" s="2095"/>
      <c r="B67" s="2096"/>
      <c r="C67" s="2096"/>
      <c r="K67" s="2085"/>
      <c r="O67" s="2419" t="s">
        <v>2381</v>
      </c>
      <c r="P67" s="2420" t="s">
        <v>2407</v>
      </c>
      <c r="Q67" s="2421">
        <f ca="1">C41+J31</f>
        <v>0</v>
      </c>
      <c r="R67" s="2420" t="s">
        <v>2382</v>
      </c>
    </row>
    <row r="68" spans="1:18" s="2058" customFormat="1" ht="20.25" thickBot="1">
      <c r="A68" s="2095"/>
      <c r="B68" s="2096"/>
      <c r="C68" s="2096"/>
      <c r="K68" s="2085"/>
      <c r="O68" s="2419" t="s">
        <v>2383</v>
      </c>
      <c r="P68" s="2420" t="s">
        <v>2414</v>
      </c>
      <c r="Q68" s="2421" t="e">
        <f ca="1">L61</f>
        <v>#DIV/0!</v>
      </c>
      <c r="R68" s="2424" t="s">
        <v>2416</v>
      </c>
    </row>
    <row r="69" spans="1:18" s="2058" customFormat="1" ht="21.75" thickBot="1">
      <c r="A69" s="2095"/>
      <c r="B69" s="2096"/>
      <c r="C69" s="2096"/>
      <c r="K69" s="2085"/>
      <c r="O69" s="2422" t="s">
        <v>2385</v>
      </c>
      <c r="P69" s="2420" t="s">
        <v>2415</v>
      </c>
      <c r="Q69" s="2426">
        <f ca="1">L52</f>
        <v>217</v>
      </c>
      <c r="R69" s="2427" t="s">
        <v>2418</v>
      </c>
    </row>
    <row r="70" spans="1:18" s="2058" customFormat="1" ht="20.25" thickBot="1">
      <c r="A70" s="2095"/>
      <c r="B70" s="2096"/>
      <c r="C70" s="2096"/>
      <c r="K70" s="2085"/>
      <c r="O70" s="2422" t="s">
        <v>2386</v>
      </c>
      <c r="P70" s="2428" t="s">
        <v>2400</v>
      </c>
      <c r="Q70" s="2421">
        <f ca="1">ROUND(Q71-Q72*Q73,0)</f>
        <v>1021</v>
      </c>
      <c r="R70" s="2424"/>
    </row>
    <row r="71" spans="1:18" s="2058" customFormat="1" ht="15.75" thickBot="1">
      <c r="A71" s="2095"/>
      <c r="B71" s="2096"/>
      <c r="C71" s="2096"/>
      <c r="K71" s="2085"/>
      <c r="O71" s="2422" t="s">
        <v>2401</v>
      </c>
      <c r="P71" s="2428" t="s">
        <v>2402</v>
      </c>
      <c r="Q71" s="2421">
        <f ca="1">C42</f>
        <v>1021</v>
      </c>
      <c r="R71" s="2420" t="s">
        <v>2382</v>
      </c>
    </row>
    <row r="72" spans="1:18" s="2058" customFormat="1" ht="15.75" thickBot="1">
      <c r="A72" s="2095"/>
      <c r="B72" s="2096"/>
      <c r="C72" s="2096"/>
      <c r="K72" s="2085"/>
      <c r="O72" s="2422" t="s">
        <v>2403</v>
      </c>
      <c r="P72" s="2428" t="s">
        <v>2404</v>
      </c>
      <c r="Q72" s="2421">
        <f ca="1">C15</f>
        <v>6428</v>
      </c>
      <c r="R72" s="2420" t="s">
        <v>2382</v>
      </c>
    </row>
    <row r="73" spans="1:18" s="2058" customFormat="1" ht="15.75" thickBot="1">
      <c r="A73" s="2095"/>
      <c r="B73" s="2096"/>
      <c r="C73" s="2096"/>
      <c r="K73" s="2085"/>
      <c r="O73" s="2422" t="s">
        <v>2405</v>
      </c>
      <c r="P73" s="2428" t="s">
        <v>2406</v>
      </c>
      <c r="Q73" s="2423">
        <f ca="1">F43</f>
        <v>0</v>
      </c>
      <c r="R73" s="2424"/>
    </row>
    <row r="74" spans="1:18" s="2058" customFormat="1" ht="15.75" thickBot="1">
      <c r="A74" s="2095"/>
      <c r="B74" s="2096"/>
      <c r="C74" s="2096"/>
      <c r="K74" s="2085"/>
      <c r="O74" s="2422" t="s">
        <v>2388</v>
      </c>
      <c r="P74" s="2420" t="s">
        <v>2395</v>
      </c>
      <c r="Q74" s="2423">
        <f>L53</f>
        <v>0</v>
      </c>
      <c r="R74" s="2424"/>
    </row>
    <row r="75" spans="1:18" s="2058" customFormat="1" ht="20.25" thickBot="1">
      <c r="A75" s="2095"/>
      <c r="B75" s="2096"/>
      <c r="C75" s="2096"/>
      <c r="K75" s="2085"/>
      <c r="O75" s="2422" t="s">
        <v>2390</v>
      </c>
      <c r="P75" s="2420" t="s">
        <v>2396</v>
      </c>
      <c r="Q75" s="2421">
        <f ca="1">L59</f>
        <v>0</v>
      </c>
      <c r="R75" s="2424" t="s">
        <v>2397</v>
      </c>
    </row>
    <row r="76" spans="1:18" s="2058" customFormat="1" ht="20.25" thickBot="1">
      <c r="A76" s="2095"/>
      <c r="B76" s="2096"/>
      <c r="C76" s="2096"/>
      <c r="K76" s="2085"/>
      <c r="O76" s="2422" t="s">
        <v>2419</v>
      </c>
      <c r="P76" s="2420" t="s">
        <v>2398</v>
      </c>
      <c r="Q76" s="2421">
        <f ca="1">L60</f>
        <v>0</v>
      </c>
      <c r="R76" s="2424" t="s">
        <v>2399</v>
      </c>
    </row>
    <row r="77" spans="1:18" s="2058" customFormat="1" ht="15.75" thickBot="1">
      <c r="A77" s="2095"/>
      <c r="B77" s="2096"/>
      <c r="C77" s="2096"/>
      <c r="K77" s="2085"/>
      <c r="O77" s="2419" t="s">
        <v>2393</v>
      </c>
      <c r="P77" s="2420" t="s">
        <v>2410</v>
      </c>
      <c r="Q77" s="2421" t="e">
        <f ca="1">Q67+Q68</f>
        <v>#DIV/0!</v>
      </c>
      <c r="R77" s="2424"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2" t="s">
        <v>2580</v>
      </c>
      <c r="C1" s="3502"/>
      <c r="D1" s="3502"/>
      <c r="E1" s="3502"/>
      <c r="F1" s="3502"/>
      <c r="G1" s="3501" t="s">
        <v>2581</v>
      </c>
      <c r="H1" s="3501"/>
      <c r="I1" s="3501"/>
      <c r="J1" s="3501"/>
      <c r="K1" s="3501"/>
      <c r="L1" s="3501"/>
      <c r="N1" s="3501" t="s">
        <v>2582</v>
      </c>
      <c r="O1" s="3501"/>
      <c r="P1" s="3501"/>
      <c r="Q1" s="3501"/>
      <c r="R1" s="2676"/>
      <c r="S1" s="3501" t="s">
        <v>2583</v>
      </c>
      <c r="T1" s="3501"/>
      <c r="U1" s="3501"/>
      <c r="V1" s="3501"/>
      <c r="X1" s="3500" t="s">
        <v>2644</v>
      </c>
      <c r="Y1" s="3501"/>
      <c r="Z1" s="3501"/>
      <c r="AA1" s="3501"/>
      <c r="AB1" s="3501"/>
      <c r="AD1" s="3500" t="s">
        <v>2649</v>
      </c>
      <c r="AE1" s="3501"/>
      <c r="AF1" s="3501"/>
      <c r="AG1" s="3501"/>
      <c r="AH1" s="3501"/>
    </row>
    <row r="2" spans="1:34" s="2778" customFormat="1" ht="14.25" thickBot="1">
      <c r="B2" s="2787" t="s">
        <v>2584</v>
      </c>
      <c r="C2" s="2787" t="s">
        <v>2647</v>
      </c>
      <c r="D2" s="2779" t="s">
        <v>1646</v>
      </c>
      <c r="E2" s="2779" t="s">
        <v>1953</v>
      </c>
      <c r="F2" s="2787" t="s">
        <v>2648</v>
      </c>
      <c r="G2" s="2782"/>
      <c r="H2" s="2781"/>
      <c r="I2" s="2787" t="s">
        <v>2948</v>
      </c>
      <c r="J2" s="2779" t="s">
        <v>2950</v>
      </c>
      <c r="K2" s="2779" t="s">
        <v>2951</v>
      </c>
      <c r="L2" s="2787" t="s">
        <v>2952</v>
      </c>
      <c r="N2" s="2787" t="s">
        <v>2584</v>
      </c>
      <c r="O2" s="2779" t="s">
        <v>2949</v>
      </c>
      <c r="P2" s="2779" t="s">
        <v>1953</v>
      </c>
      <c r="Q2" s="2787" t="s">
        <v>2648</v>
      </c>
      <c r="R2" s="2780"/>
      <c r="S2" s="2787" t="s">
        <v>2584</v>
      </c>
      <c r="T2" s="2779" t="s">
        <v>2949</v>
      </c>
      <c r="U2" s="2779" t="s">
        <v>1953</v>
      </c>
      <c r="V2" s="2787" t="s">
        <v>2648</v>
      </c>
      <c r="X2" s="2787" t="s">
        <v>2584</v>
      </c>
      <c r="Y2" s="2787" t="s">
        <v>2647</v>
      </c>
      <c r="Z2" s="2779" t="s">
        <v>1646</v>
      </c>
      <c r="AA2" s="2779" t="s">
        <v>1953</v>
      </c>
      <c r="AB2" s="2787" t="s">
        <v>2648</v>
      </c>
      <c r="AD2" s="2787" t="s">
        <v>2584</v>
      </c>
      <c r="AE2" s="2787" t="s">
        <v>2647</v>
      </c>
      <c r="AF2" s="2779" t="s">
        <v>1646</v>
      </c>
      <c r="AG2" s="2779" t="s">
        <v>1953</v>
      </c>
      <c r="AH2" s="2787" t="s">
        <v>2648</v>
      </c>
    </row>
    <row r="3" spans="1:34" s="2771" customFormat="1" ht="14.25">
      <c r="B3" s="2772"/>
      <c r="C3" s="2772"/>
      <c r="D3" s="2773"/>
      <c r="E3" s="2773"/>
      <c r="F3" s="2772"/>
      <c r="G3" s="2777"/>
      <c r="H3" s="2774"/>
      <c r="I3" s="3155"/>
      <c r="J3" s="3155"/>
      <c r="K3" s="3155"/>
      <c r="L3" s="3155"/>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2960</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55">
        <f>ROUND(AVERAGE(I5:I20),2)</f>
        <v>2.4900000000000002</v>
      </c>
      <c r="J4" s="3155">
        <f t="shared" ref="J4:L4" si="6">ROUND(AVERAGE(J5:J20),2)</f>
        <v>1.64</v>
      </c>
      <c r="K4" s="3155">
        <f t="shared" si="6"/>
        <v>2.78</v>
      </c>
      <c r="L4" s="3155">
        <f t="shared" si="6"/>
        <v>1.39</v>
      </c>
      <c r="N4" s="3153">
        <f t="shared" ref="N4:N9" si="7">I4/100</f>
        <v>2.4900000000000002E-2</v>
      </c>
      <c r="O4" s="3154">
        <f t="shared" ref="O4" si="8">J4/100</f>
        <v>1.6399999999999998E-2</v>
      </c>
      <c r="P4" s="3154">
        <f t="shared" ref="P4" si="9">K4/100</f>
        <v>2.7799999999999998E-2</v>
      </c>
      <c r="Q4" s="3154">
        <f t="shared" ref="Q4" si="10">L4/100</f>
        <v>1.3899999999999999E-2</v>
      </c>
      <c r="R4" s="2775"/>
      <c r="S4" s="2777"/>
      <c r="T4" s="2775"/>
      <c r="U4" s="2775"/>
      <c r="V4" s="2775"/>
      <c r="X4" s="2776"/>
      <c r="Y4" s="2776"/>
      <c r="Z4" s="2776"/>
      <c r="AA4" s="2776"/>
      <c r="AB4" s="2776"/>
      <c r="AD4" s="2696"/>
      <c r="AE4" s="2696"/>
      <c r="AF4" s="2696"/>
      <c r="AG4" s="2696"/>
      <c r="AH4" s="2696"/>
    </row>
    <row r="5" spans="1:34" s="3138" customFormat="1">
      <c r="A5" s="3136" t="s">
        <v>2959</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09">
        <v>2017</v>
      </c>
      <c r="H5" s="3137">
        <v>4</v>
      </c>
      <c r="I5" s="3156">
        <f>ROUND(AVERAGE(I6:I20),2)</f>
        <v>2.4900000000000002</v>
      </c>
      <c r="J5" s="3156">
        <f>ROUND(AVERAGE(J6:J20),2)</f>
        <v>1.64</v>
      </c>
      <c r="K5" s="3156">
        <f>ROUND(AVERAGE(K6:K20),2)</f>
        <v>2.78</v>
      </c>
      <c r="L5" s="3156">
        <f>ROUND(AVERAGE(L6:L20),2)</f>
        <v>1.39</v>
      </c>
      <c r="N5" s="2784">
        <f t="shared" si="7"/>
        <v>2.4900000000000002E-2</v>
      </c>
      <c r="O5" s="2784">
        <f t="shared" ref="O5" si="15">J5/100</f>
        <v>1.6399999999999998E-2</v>
      </c>
      <c r="P5" s="2784">
        <f t="shared" ref="P5" si="16">K5/100</f>
        <v>2.7799999999999998E-2</v>
      </c>
      <c r="Q5" s="2784">
        <f t="shared" ref="Q5" si="17">L5/100</f>
        <v>1.3899999999999999E-2</v>
      </c>
      <c r="R5" s="3139"/>
      <c r="S5" s="3140"/>
      <c r="T5" s="3139"/>
      <c r="U5" s="3139"/>
      <c r="V5" s="3139"/>
      <c r="W5" s="2785" t="s">
        <v>2645</v>
      </c>
      <c r="X5" s="3141">
        <f>ROUND(SUMPRODUCT(PRODUCT(1+N5:N$19)),4)</f>
        <v>1.4383999999999999</v>
      </c>
      <c r="Y5" s="3141">
        <f>ROUND(SUMPRODUCT(PRODUCT(1+O5:O$19)),4)</f>
        <v>1.2667999999999999</v>
      </c>
      <c r="Z5" s="3141">
        <f t="shared" si="0"/>
        <v>1.2667999999999999</v>
      </c>
      <c r="AA5" s="3141">
        <f>ROUND(SUMPRODUCT(PRODUCT(1+P5:P$19)),4)</f>
        <v>1.4982</v>
      </c>
      <c r="AB5" s="3141">
        <f>ROUND(SUMPRODUCT(PRODUCT(1+Q5:Q$19)),4)</f>
        <v>1.2303999999999999</v>
      </c>
      <c r="AD5" s="3142">
        <f>ROUND(AVERAGE(I5:I$20)/100,4)</f>
        <v>2.4899999999999999E-2</v>
      </c>
      <c r="AE5" s="3142">
        <f>ROUND(AVERAGE(J5:J$20)/100,4)</f>
        <v>1.6400000000000001E-2</v>
      </c>
      <c r="AF5" s="3142">
        <f t="shared" si="1"/>
        <v>1.6400000000000001E-2</v>
      </c>
      <c r="AG5" s="3142">
        <f>ROUND(AVERAGE(K5:K$20)/100,4)</f>
        <v>2.7799999999999998E-2</v>
      </c>
      <c r="AH5" s="3142">
        <f>ROUND(AVERAGE(L5:L$20)/100,4)</f>
        <v>1.3899999999999999E-2</v>
      </c>
    </row>
    <row r="6" spans="1:34" s="3138" customFormat="1">
      <c r="A6" s="2677" t="s">
        <v>2585</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4"/>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39"/>
      <c r="S6" s="2680"/>
      <c r="T6" s="3152"/>
      <c r="U6" s="3152"/>
      <c r="V6" s="3152"/>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2586</v>
      </c>
      <c r="B7" s="2691">
        <f t="shared" si="18"/>
        <v>419.31181600000002</v>
      </c>
      <c r="C7" s="2691">
        <f t="shared" si="18"/>
        <v>313.95436800000004</v>
      </c>
      <c r="D7" s="2691">
        <f t="shared" si="3"/>
        <v>313.95436800000004</v>
      </c>
      <c r="E7" s="2691">
        <f t="shared" si="19"/>
        <v>596.63028431999999</v>
      </c>
      <c r="F7" s="2691">
        <f t="shared" si="19"/>
        <v>274.74220703999998</v>
      </c>
      <c r="G7" s="3504"/>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2587</v>
      </c>
      <c r="B8" s="2691">
        <f t="shared" si="18"/>
        <v>405.524</v>
      </c>
      <c r="C8" s="2691">
        <f t="shared" si="18"/>
        <v>307.79840000000002</v>
      </c>
      <c r="D8" s="2691">
        <f t="shared" si="3"/>
        <v>307.79840000000002</v>
      </c>
      <c r="E8" s="2691">
        <f t="shared" si="19"/>
        <v>574.67759999999998</v>
      </c>
      <c r="F8" s="2691">
        <f t="shared" si="19"/>
        <v>270.20280000000002</v>
      </c>
      <c r="G8" s="3505"/>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3"/>
        <v>302</v>
      </c>
      <c r="E9" s="2683">
        <v>553</v>
      </c>
      <c r="F9" s="2684">
        <v>266</v>
      </c>
      <c r="G9" s="3509">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4"/>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27"/>
        <v>360.06949782209392</v>
      </c>
      <c r="C11" s="2691">
        <f t="shared" si="27"/>
        <v>289.84672674747821</v>
      </c>
      <c r="D11" s="2691">
        <f t="shared" si="28"/>
        <v>289.84672674747821</v>
      </c>
      <c r="E11" s="2691">
        <f t="shared" si="29"/>
        <v>501.06543001181495</v>
      </c>
      <c r="F11" s="2691">
        <f t="shared" si="29"/>
        <v>256.82882500744967</v>
      </c>
      <c r="G11" s="3504"/>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27"/>
        <v>346.720748986128</v>
      </c>
      <c r="C12" s="2691">
        <f t="shared" si="27"/>
        <v>284.30282172386285</v>
      </c>
      <c r="D12" s="2691">
        <f t="shared" si="28"/>
        <v>284.30282172386285</v>
      </c>
      <c r="E12" s="2691">
        <f t="shared" si="29"/>
        <v>479.58023546306947</v>
      </c>
      <c r="F12" s="2691">
        <f t="shared" si="29"/>
        <v>253.25788877571213</v>
      </c>
      <c r="G12" s="3505"/>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28"/>
        <v>277</v>
      </c>
      <c r="E13" s="2683">
        <v>459</v>
      </c>
      <c r="F13" s="2684">
        <v>249</v>
      </c>
      <c r="G13" s="3503">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4"/>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31"/>
        <v>322.34053690220776</v>
      </c>
      <c r="C15" s="2691">
        <f t="shared" si="31"/>
        <v>271.46160770422546</v>
      </c>
      <c r="D15" s="2691">
        <f t="shared" si="28"/>
        <v>271.46160770422546</v>
      </c>
      <c r="E15" s="2691">
        <f t="shared" si="32"/>
        <v>442.69434542172456</v>
      </c>
      <c r="F15" s="2691">
        <f t="shared" si="32"/>
        <v>241.34030753190925</v>
      </c>
      <c r="G15" s="3504"/>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31"/>
        <v>319.87748030386797</v>
      </c>
      <c r="C16" s="2691">
        <f t="shared" si="31"/>
        <v>269.60135833173649</v>
      </c>
      <c r="D16" s="2691">
        <f t="shared" si="28"/>
        <v>269.60135833173649</v>
      </c>
      <c r="E16" s="2691">
        <f t="shared" si="32"/>
        <v>439.18089823583784</v>
      </c>
      <c r="F16" s="2691">
        <f t="shared" si="32"/>
        <v>239.23503918706311</v>
      </c>
      <c r="G16" s="3505"/>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28"/>
        <v>268</v>
      </c>
      <c r="E17" s="2705">
        <v>437</v>
      </c>
      <c r="F17" s="2706">
        <v>237</v>
      </c>
      <c r="G17" s="3503">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4"/>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33"/>
        <v>314.72141172386546</v>
      </c>
      <c r="C19" s="2691">
        <f t="shared" si="33"/>
        <v>263.03901319069001</v>
      </c>
      <c r="D19" s="2691">
        <f t="shared" si="28"/>
        <v>263.03901319069001</v>
      </c>
      <c r="E19" s="2691">
        <f t="shared" si="34"/>
        <v>433.65745506782821</v>
      </c>
      <c r="F19" s="2691">
        <f t="shared" si="34"/>
        <v>233.23005080045735</v>
      </c>
      <c r="G19" s="3504"/>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962</v>
      </c>
      <c r="B20" s="2710">
        <f t="shared" si="33"/>
        <v>307.34512863658733</v>
      </c>
      <c r="C20" s="2710">
        <f t="shared" si="33"/>
        <v>257.80556031626975</v>
      </c>
      <c r="D20" s="2710">
        <f t="shared" si="28"/>
        <v>257.80556031626975</v>
      </c>
      <c r="E20" s="2710">
        <f t="shared" si="34"/>
        <v>422.70928459677179</v>
      </c>
      <c r="F20" s="2710">
        <f t="shared" si="34"/>
        <v>229.73803270336617</v>
      </c>
      <c r="G20" s="3505"/>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2646</v>
      </c>
      <c r="X20" s="2788">
        <v>1</v>
      </c>
      <c r="Y20" s="2788">
        <v>1</v>
      </c>
      <c r="Z20" s="2788">
        <v>1</v>
      </c>
      <c r="AA20" s="2788">
        <v>1</v>
      </c>
      <c r="AB20" s="2788">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7" t="s">
        <v>2588</v>
      </c>
      <c r="B21" s="2683">
        <v>299</v>
      </c>
      <c r="C21" s="2683">
        <v>252</v>
      </c>
      <c r="D21" s="2683">
        <f t="shared" si="28"/>
        <v>252</v>
      </c>
      <c r="E21" s="2683">
        <v>409</v>
      </c>
      <c r="F21" s="2684">
        <v>227</v>
      </c>
      <c r="G21" s="3506">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2589</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7"/>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2590</v>
      </c>
      <c r="B23" s="2691">
        <f t="shared" si="37"/>
        <v>288.2649053828776</v>
      </c>
      <c r="C23" s="2691">
        <f t="shared" si="37"/>
        <v>243.64564425013293</v>
      </c>
      <c r="D23" s="2691">
        <f t="shared" si="28"/>
        <v>243.64564425013293</v>
      </c>
      <c r="E23" s="2691">
        <f t="shared" si="38"/>
        <v>393.31080825986544</v>
      </c>
      <c r="F23" s="2691">
        <f t="shared" si="38"/>
        <v>223.07903790551154</v>
      </c>
      <c r="G23" s="3507"/>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2591</v>
      </c>
      <c r="B24" s="2691">
        <f t="shared" si="37"/>
        <v>282.50186729015837</v>
      </c>
      <c r="C24" s="2691">
        <f t="shared" si="37"/>
        <v>238.09796174155468</v>
      </c>
      <c r="D24" s="2691">
        <f t="shared" si="28"/>
        <v>238.09796174155468</v>
      </c>
      <c r="E24" s="2691">
        <f t="shared" si="38"/>
        <v>385.33438646014054</v>
      </c>
      <c r="F24" s="2691">
        <f t="shared" si="38"/>
        <v>221.55034055567739</v>
      </c>
      <c r="G24" s="3508"/>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2592</v>
      </c>
      <c r="B25" s="2721">
        <v>278</v>
      </c>
      <c r="C25" s="2721">
        <v>234</v>
      </c>
      <c r="D25" s="2721">
        <f t="shared" si="28"/>
        <v>234</v>
      </c>
      <c r="E25" s="2721">
        <v>379</v>
      </c>
      <c r="F25" s="2722">
        <v>220</v>
      </c>
      <c r="G25" s="3503">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2593</v>
      </c>
      <c r="B26" s="2691">
        <f>B25/(1+N25)</f>
        <v>275.49301357645425</v>
      </c>
      <c r="C26" s="2691">
        <f>C25/(1+O25)</f>
        <v>232.41954707985698</v>
      </c>
      <c r="D26" s="2691">
        <f t="shared" si="28"/>
        <v>232.41954707985698</v>
      </c>
      <c r="E26" s="2691">
        <f t="shared" ref="E26:F28" si="39">E25/(1+P25)</f>
        <v>375.32184591008121</v>
      </c>
      <c r="F26" s="2691">
        <f t="shared" si="39"/>
        <v>218.03766105054513</v>
      </c>
      <c r="G26" s="3504"/>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2594</v>
      </c>
      <c r="B27" s="2691">
        <f>B26/(1+N26)</f>
        <v>275.24529281292263</v>
      </c>
      <c r="C27" s="2691">
        <f>C26/(1+O26)</f>
        <v>231.74747938962707</v>
      </c>
      <c r="D27" s="2691">
        <f t="shared" si="28"/>
        <v>231.74747938962707</v>
      </c>
      <c r="E27" s="2691">
        <f t="shared" si="39"/>
        <v>375.35938184826603</v>
      </c>
      <c r="F27" s="2691">
        <f t="shared" si="39"/>
        <v>216.78033510692495</v>
      </c>
      <c r="G27" s="3504"/>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2595</v>
      </c>
      <c r="B28" s="2691">
        <f>B27/(1+N27)</f>
        <v>275.19025476197027</v>
      </c>
      <c r="C28" s="2723">
        <v>232</v>
      </c>
      <c r="D28" s="2723">
        <f t="shared" si="28"/>
        <v>232</v>
      </c>
      <c r="E28" s="2691">
        <f t="shared" si="39"/>
        <v>375.65990977608692</v>
      </c>
      <c r="F28" s="2691">
        <f t="shared" si="39"/>
        <v>214.12518283971252</v>
      </c>
      <c r="G28" s="3505"/>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2596</v>
      </c>
      <c r="B29" s="2683">
        <v>275</v>
      </c>
      <c r="C29" s="2683">
        <v>232</v>
      </c>
      <c r="D29" s="2683">
        <f t="shared" si="28"/>
        <v>232</v>
      </c>
      <c r="E29" s="2683">
        <v>376</v>
      </c>
      <c r="F29" s="2684">
        <v>213</v>
      </c>
      <c r="G29" s="3503">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2597</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4">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2598</v>
      </c>
      <c r="B31" s="2691">
        <f t="shared" si="40"/>
        <v>275.19335084830601</v>
      </c>
      <c r="C31" s="2691">
        <f t="shared" si="40"/>
        <v>230.18088050139744</v>
      </c>
      <c r="D31" s="2691">
        <f t="shared" si="28"/>
        <v>230.18088050139744</v>
      </c>
      <c r="E31" s="2691">
        <f t="shared" si="41"/>
        <v>377.58482925212331</v>
      </c>
      <c r="F31" s="2691">
        <f t="shared" si="41"/>
        <v>210.90687997847917</v>
      </c>
      <c r="G31" s="3504">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2599</v>
      </c>
      <c r="B32" s="2691">
        <f t="shared" si="40"/>
        <v>276.29854502841971</v>
      </c>
      <c r="C32" s="2691">
        <f t="shared" si="40"/>
        <v>229.79023709833027</v>
      </c>
      <c r="D32" s="2691">
        <f t="shared" si="28"/>
        <v>229.79023709833027</v>
      </c>
      <c r="E32" s="2691">
        <f t="shared" si="41"/>
        <v>379.78759731655936</v>
      </c>
      <c r="F32" s="2691">
        <f t="shared" si="41"/>
        <v>211.32953905659235</v>
      </c>
      <c r="G32" s="3505">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2600</v>
      </c>
      <c r="B33" s="2683">
        <v>269</v>
      </c>
      <c r="C33" s="2683">
        <v>221</v>
      </c>
      <c r="D33" s="2683">
        <f t="shared" si="28"/>
        <v>221</v>
      </c>
      <c r="E33" s="2683">
        <v>373</v>
      </c>
      <c r="F33" s="2684">
        <v>196</v>
      </c>
      <c r="G33" s="3503">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2601</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4">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2602</v>
      </c>
      <c r="B35" s="2691">
        <f t="shared" si="42"/>
        <v>242.95398227588385</v>
      </c>
      <c r="C35" s="2691">
        <f t="shared" si="42"/>
        <v>199.59137053614126</v>
      </c>
      <c r="D35" s="2691">
        <f t="shared" si="28"/>
        <v>199.59137053614126</v>
      </c>
      <c r="E35" s="2691">
        <f t="shared" si="43"/>
        <v>335.92189522342125</v>
      </c>
      <c r="F35" s="2691">
        <f t="shared" si="43"/>
        <v>183.10139991109489</v>
      </c>
      <c r="G35" s="3504">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2603</v>
      </c>
      <c r="B36" s="2691">
        <f t="shared" si="42"/>
        <v>232.06990378821649</v>
      </c>
      <c r="C36" s="2691">
        <f t="shared" si="42"/>
        <v>192.74878854286936</v>
      </c>
      <c r="D36" s="2691">
        <f t="shared" si="28"/>
        <v>192.74878854286936</v>
      </c>
      <c r="E36" s="2691">
        <f t="shared" si="43"/>
        <v>319.71247284992984</v>
      </c>
      <c r="F36" s="2691">
        <f t="shared" si="43"/>
        <v>175.67053622862409</v>
      </c>
      <c r="G36" s="3505">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2604</v>
      </c>
      <c r="B37" s="2683">
        <v>220</v>
      </c>
      <c r="C37" s="2683">
        <v>187</v>
      </c>
      <c r="D37" s="2683">
        <f t="shared" si="28"/>
        <v>187</v>
      </c>
      <c r="E37" s="2683">
        <v>301</v>
      </c>
      <c r="F37" s="2684">
        <v>168</v>
      </c>
      <c r="G37" s="3503">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2605</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4">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2606</v>
      </c>
      <c r="B39" s="2691">
        <f t="shared" si="44"/>
        <v>210.630522469011</v>
      </c>
      <c r="C39" s="2691">
        <f t="shared" si="44"/>
        <v>181.69567812247232</v>
      </c>
      <c r="D39" s="2691">
        <f t="shared" si="28"/>
        <v>181.69567812247232</v>
      </c>
      <c r="E39" s="2691">
        <f t="shared" si="45"/>
        <v>286.13517466736738</v>
      </c>
      <c r="F39" s="2691">
        <f t="shared" si="45"/>
        <v>165.47535084591149</v>
      </c>
      <c r="G39" s="3504">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2607</v>
      </c>
      <c r="B40" s="2691">
        <f t="shared" si="44"/>
        <v>208.83454537875372</v>
      </c>
      <c r="C40" s="2691">
        <f t="shared" si="44"/>
        <v>183.77230517090351</v>
      </c>
      <c r="D40" s="2691">
        <f t="shared" si="28"/>
        <v>183.77230517090351</v>
      </c>
      <c r="E40" s="2691">
        <f t="shared" si="45"/>
        <v>281.10342338870947</v>
      </c>
      <c r="F40" s="2691">
        <f t="shared" si="45"/>
        <v>168.97309388942256</v>
      </c>
      <c r="G40" s="3505">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2608</v>
      </c>
      <c r="B41" s="2721">
        <v>214</v>
      </c>
      <c r="C41" s="2721">
        <v>188</v>
      </c>
      <c r="D41" s="2721">
        <f t="shared" si="28"/>
        <v>188</v>
      </c>
      <c r="E41" s="2721">
        <v>289</v>
      </c>
      <c r="F41" s="2722">
        <v>166</v>
      </c>
      <c r="G41" s="3503">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2609</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4">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2610</v>
      </c>
      <c r="B43" s="2691">
        <f t="shared" si="46"/>
        <v>206.31694671589116</v>
      </c>
      <c r="C43" s="2691">
        <f t="shared" si="46"/>
        <v>183.61041121036101</v>
      </c>
      <c r="D43" s="2691">
        <f t="shared" si="28"/>
        <v>183.61041121036101</v>
      </c>
      <c r="E43" s="2691">
        <f t="shared" si="47"/>
        <v>276.66850301795557</v>
      </c>
      <c r="F43" s="2691">
        <f t="shared" si="47"/>
        <v>165.1360938278614</v>
      </c>
      <c r="G43" s="3504">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2611</v>
      </c>
      <c r="B44" s="2724">
        <f t="shared" si="46"/>
        <v>196.62341248059772</v>
      </c>
      <c r="C44" s="2724">
        <f t="shared" si="46"/>
        <v>170.99125648199012</v>
      </c>
      <c r="D44" s="2724">
        <f t="shared" si="28"/>
        <v>170.99125648199012</v>
      </c>
      <c r="E44" s="2724">
        <f t="shared" si="47"/>
        <v>266.07857570490052</v>
      </c>
      <c r="F44" s="2724">
        <f t="shared" si="47"/>
        <v>154.53499328828505</v>
      </c>
      <c r="G44" s="3505">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2612</v>
      </c>
      <c r="B45" s="2683">
        <v>188</v>
      </c>
      <c r="C45" s="2683">
        <v>165</v>
      </c>
      <c r="D45" s="2683">
        <f t="shared" si="28"/>
        <v>165</v>
      </c>
      <c r="E45" s="2683">
        <v>254</v>
      </c>
      <c r="F45" s="2684">
        <v>148</v>
      </c>
      <c r="G45" s="3503">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2613</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4">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2614</v>
      </c>
      <c r="B47" s="2691">
        <f t="shared" si="50"/>
        <v>168.82017748715555</v>
      </c>
      <c r="C47" s="2691">
        <f t="shared" si="50"/>
        <v>148.06267029972753</v>
      </c>
      <c r="D47" s="2691">
        <f t="shared" si="28"/>
        <v>148.06267029972753</v>
      </c>
      <c r="E47" s="2691">
        <f t="shared" si="51"/>
        <v>216.46288379323747</v>
      </c>
      <c r="F47" s="2691">
        <f t="shared" si="51"/>
        <v>134.23529411764704</v>
      </c>
      <c r="G47" s="3504">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2615</v>
      </c>
      <c r="B48" s="2691">
        <f t="shared" si="50"/>
        <v>163.84913591779542</v>
      </c>
      <c r="C48" s="2691">
        <f t="shared" si="50"/>
        <v>145.0283378746594</v>
      </c>
      <c r="D48" s="2691">
        <f t="shared" si="28"/>
        <v>145.0283378746594</v>
      </c>
      <c r="E48" s="2691">
        <f t="shared" si="51"/>
        <v>204.95180722891567</v>
      </c>
      <c r="F48" s="2691">
        <f t="shared" si="51"/>
        <v>125.95920303605313</v>
      </c>
      <c r="G48" s="3505">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2616</v>
      </c>
      <c r="B49" s="2705">
        <v>159</v>
      </c>
      <c r="C49" s="2705">
        <v>141</v>
      </c>
      <c r="D49" s="2705">
        <f t="shared" si="28"/>
        <v>141</v>
      </c>
      <c r="E49" s="2705">
        <v>195</v>
      </c>
      <c r="F49" s="2706">
        <v>122</v>
      </c>
      <c r="G49" s="3503">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2617</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4">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2618</v>
      </c>
      <c r="B51" s="2691">
        <f t="shared" si="54"/>
        <v>146.57412060301507</v>
      </c>
      <c r="C51" s="2691">
        <f t="shared" si="54"/>
        <v>136.46831955922866</v>
      </c>
      <c r="D51" s="2691">
        <f t="shared" si="28"/>
        <v>136.46831955922866</v>
      </c>
      <c r="E51" s="2691">
        <f t="shared" si="55"/>
        <v>166.73864894795128</v>
      </c>
      <c r="F51" s="2691">
        <f t="shared" si="55"/>
        <v>115.05882352941177</v>
      </c>
      <c r="G51" s="3504">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2619</v>
      </c>
      <c r="B52" s="2691">
        <f t="shared" si="54"/>
        <v>144.04145728643215</v>
      </c>
      <c r="C52" s="2691">
        <f t="shared" si="54"/>
        <v>136.12396694214877</v>
      </c>
      <c r="D52" s="2691">
        <f t="shared" si="28"/>
        <v>136.12396694214877</v>
      </c>
      <c r="E52" s="2691">
        <f t="shared" si="55"/>
        <v>158.32225913621264</v>
      </c>
      <c r="F52" s="2691">
        <f t="shared" si="55"/>
        <v>114.04278074866311</v>
      </c>
      <c r="G52" s="3505">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2620</v>
      </c>
      <c r="B53" s="2705">
        <v>138</v>
      </c>
      <c r="C53" s="2705">
        <v>131</v>
      </c>
      <c r="D53" s="2705">
        <f t="shared" si="28"/>
        <v>131</v>
      </c>
      <c r="E53" s="2705">
        <v>155</v>
      </c>
      <c r="F53" s="2706">
        <v>114</v>
      </c>
      <c r="G53" s="3503">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2621</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4">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2622</v>
      </c>
      <c r="B55" s="2691">
        <f t="shared" si="58"/>
        <v>124.29032258064517</v>
      </c>
      <c r="C55" s="2691">
        <f t="shared" si="58"/>
        <v>123.8968609865471</v>
      </c>
      <c r="D55" s="2691">
        <f t="shared" si="28"/>
        <v>123.8968609865471</v>
      </c>
      <c r="E55" s="2691">
        <f t="shared" si="59"/>
        <v>138.00507614213197</v>
      </c>
      <c r="F55" s="2691">
        <f t="shared" si="59"/>
        <v>107.96106557377048</v>
      </c>
      <c r="G55" s="3504">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2623</v>
      </c>
      <c r="B56" s="2691">
        <f t="shared" si="58"/>
        <v>122.57204301075269</v>
      </c>
      <c r="C56" s="2691">
        <f t="shared" si="58"/>
        <v>123.4932735426009</v>
      </c>
      <c r="D56" s="2691">
        <f t="shared" si="28"/>
        <v>123.4932735426009</v>
      </c>
      <c r="E56" s="2691">
        <f t="shared" si="59"/>
        <v>129.82233502538071</v>
      </c>
      <c r="F56" s="2691">
        <f t="shared" si="59"/>
        <v>107.39446721311475</v>
      </c>
      <c r="G56" s="3505">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2624</v>
      </c>
      <c r="B57" s="2721">
        <v>121</v>
      </c>
      <c r="C57" s="2721">
        <v>122</v>
      </c>
      <c r="D57" s="2721">
        <f t="shared" si="28"/>
        <v>122</v>
      </c>
      <c r="E57" s="2721">
        <v>124</v>
      </c>
      <c r="F57" s="2722">
        <v>107</v>
      </c>
      <c r="G57" s="3503">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2625</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4">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2626</v>
      </c>
      <c r="B59" s="2691">
        <f t="shared" si="62"/>
        <v>116.99099099099099</v>
      </c>
      <c r="C59" s="2691">
        <f t="shared" si="62"/>
        <v>118.84848484848486</v>
      </c>
      <c r="D59" s="2691">
        <f t="shared" si="28"/>
        <v>118.84848484848486</v>
      </c>
      <c r="E59" s="2691">
        <f t="shared" si="63"/>
        <v>117.60960960960961</v>
      </c>
      <c r="F59" s="2691">
        <f t="shared" si="63"/>
        <v>104</v>
      </c>
      <c r="G59" s="3504">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2627</v>
      </c>
      <c r="B60" s="2724">
        <f t="shared" si="62"/>
        <v>112.48648648648648</v>
      </c>
      <c r="C60" s="2724">
        <f t="shared" si="62"/>
        <v>115.21212121212122</v>
      </c>
      <c r="D60" s="2724">
        <f t="shared" si="28"/>
        <v>115.21212121212122</v>
      </c>
      <c r="E60" s="2724">
        <f t="shared" si="63"/>
        <v>110.4024024024024</v>
      </c>
      <c r="F60" s="2724">
        <f t="shared" si="63"/>
        <v>104</v>
      </c>
      <c r="G60" s="3505">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2628</v>
      </c>
      <c r="B61" s="2742">
        <v>111</v>
      </c>
      <c r="C61" s="2742">
        <v>114</v>
      </c>
      <c r="D61" s="2742">
        <f t="shared" si="28"/>
        <v>114</v>
      </c>
      <c r="E61" s="2742">
        <v>108</v>
      </c>
      <c r="F61" s="2743">
        <v>104</v>
      </c>
      <c r="G61" s="3503">
        <v>2003</v>
      </c>
      <c r="H61" s="2732">
        <v>4</v>
      </c>
      <c r="I61" s="2744"/>
      <c r="J61" s="2744"/>
      <c r="K61" s="2744"/>
      <c r="L61" s="2744"/>
      <c r="N61" s="2745"/>
      <c r="O61" s="2744"/>
      <c r="P61" s="2744"/>
      <c r="Q61" s="2744"/>
      <c r="S61" s="2745"/>
      <c r="T61" s="2744"/>
      <c r="U61" s="2744"/>
      <c r="V61" s="2744"/>
      <c r="X61" s="2736"/>
      <c r="Y61" s="2736"/>
      <c r="Z61" s="2736"/>
    </row>
    <row r="62" spans="1:26">
      <c r="A62" s="2677" t="s">
        <v>2629</v>
      </c>
      <c r="B62" s="2746">
        <f t="shared" ref="B62:C64" si="64">B63+(B$61-B$65)/4</f>
        <v>109.75</v>
      </c>
      <c r="C62" s="2746">
        <f t="shared" si="64"/>
        <v>112.25</v>
      </c>
      <c r="D62" s="2746">
        <f t="shared" si="28"/>
        <v>112.25</v>
      </c>
      <c r="E62" s="2746">
        <f t="shared" ref="E62:F64" si="65">E63+(E$61-E$65)/4</f>
        <v>107.25</v>
      </c>
      <c r="F62" s="2746">
        <f t="shared" si="65"/>
        <v>103.5</v>
      </c>
      <c r="G62" s="3504">
        <v>2003</v>
      </c>
      <c r="H62" s="2702">
        <v>3</v>
      </c>
      <c r="I62" s="2744"/>
      <c r="J62" s="2744"/>
      <c r="K62" s="2744"/>
      <c r="L62" s="2744"/>
      <c r="X62" s="2736"/>
      <c r="Y62" s="2736"/>
      <c r="Z62" s="2736"/>
    </row>
    <row r="63" spans="1:26">
      <c r="A63" s="2677" t="s">
        <v>2630</v>
      </c>
      <c r="B63" s="2746">
        <f t="shared" si="64"/>
        <v>108.5</v>
      </c>
      <c r="C63" s="2746">
        <f t="shared" si="64"/>
        <v>110.5</v>
      </c>
      <c r="D63" s="2746">
        <f t="shared" si="28"/>
        <v>110.5</v>
      </c>
      <c r="E63" s="2746">
        <f t="shared" si="65"/>
        <v>106.5</v>
      </c>
      <c r="F63" s="2746">
        <f t="shared" si="65"/>
        <v>103</v>
      </c>
      <c r="G63" s="3504">
        <v>2003</v>
      </c>
      <c r="H63" s="2682">
        <v>2</v>
      </c>
      <c r="I63" s="2744"/>
      <c r="J63" s="2744"/>
      <c r="K63" s="2744"/>
      <c r="L63" s="2744"/>
      <c r="X63" s="2736"/>
      <c r="Y63" s="2736"/>
      <c r="Z63" s="2736"/>
    </row>
    <row r="64" spans="1:26" ht="13.5" thickBot="1">
      <c r="A64" s="2677" t="s">
        <v>2631</v>
      </c>
      <c r="B64" s="2746">
        <f t="shared" si="64"/>
        <v>107.25</v>
      </c>
      <c r="C64" s="2746">
        <f t="shared" si="64"/>
        <v>108.75</v>
      </c>
      <c r="D64" s="2746">
        <f t="shared" si="28"/>
        <v>108.75</v>
      </c>
      <c r="E64" s="2746">
        <f t="shared" si="65"/>
        <v>105.75</v>
      </c>
      <c r="F64" s="2746">
        <f t="shared" si="65"/>
        <v>102.5</v>
      </c>
      <c r="G64" s="3505">
        <v>2003</v>
      </c>
      <c r="H64" s="2747">
        <v>1</v>
      </c>
      <c r="I64" s="2744"/>
      <c r="J64" s="2744"/>
      <c r="K64" s="2744"/>
      <c r="L64" s="2744"/>
      <c r="S64" s="2686"/>
      <c r="T64" s="2687"/>
      <c r="U64" s="2687"/>
      <c r="X64" s="2736"/>
      <c r="Y64" s="2736"/>
      <c r="Z64" s="2736"/>
    </row>
    <row r="65" spans="1:26" ht="13.5" thickBot="1">
      <c r="A65" s="2677" t="s">
        <v>2632</v>
      </c>
      <c r="B65" s="2748">
        <v>106</v>
      </c>
      <c r="C65" s="2748">
        <v>107</v>
      </c>
      <c r="D65" s="2748">
        <f t="shared" si="28"/>
        <v>107</v>
      </c>
      <c r="E65" s="2748">
        <v>105</v>
      </c>
      <c r="F65" s="2749">
        <v>102</v>
      </c>
      <c r="G65" s="3503">
        <v>2002</v>
      </c>
      <c r="H65" s="2697">
        <v>4</v>
      </c>
      <c r="I65" s="2744"/>
      <c r="J65" s="2744"/>
      <c r="K65" s="2744"/>
      <c r="L65" s="2744"/>
      <c r="N65" s="2745"/>
      <c r="O65" s="2744"/>
      <c r="P65" s="2744"/>
      <c r="Q65" s="2744"/>
      <c r="S65" s="2745"/>
      <c r="T65" s="2744"/>
      <c r="U65" s="2744"/>
      <c r="V65" s="2744"/>
      <c r="X65" s="2736"/>
      <c r="Y65" s="2736"/>
      <c r="Z65" s="2736"/>
    </row>
    <row r="66" spans="1:26">
      <c r="A66" s="2677" t="s">
        <v>2633</v>
      </c>
      <c r="B66" s="2746">
        <f t="shared" ref="B66:C68" si="66">B67+(B$65-B$69)/4</f>
        <v>105</v>
      </c>
      <c r="C66" s="2746">
        <f t="shared" si="66"/>
        <v>106</v>
      </c>
      <c r="D66" s="2746">
        <f t="shared" si="28"/>
        <v>106</v>
      </c>
      <c r="E66" s="2746">
        <f t="shared" ref="E66:F68" si="67">E67+(E$65-E$69)/4</f>
        <v>104.5</v>
      </c>
      <c r="F66" s="2746">
        <f t="shared" si="67"/>
        <v>101.5</v>
      </c>
      <c r="G66" s="3504">
        <v>2002</v>
      </c>
      <c r="H66" s="2702">
        <v>3</v>
      </c>
      <c r="I66" s="2744"/>
      <c r="J66" s="2744"/>
      <c r="K66" s="2744"/>
      <c r="L66" s="2744"/>
      <c r="X66" s="2736"/>
      <c r="Y66" s="2736"/>
      <c r="Z66" s="2736"/>
    </row>
    <row r="67" spans="1:26">
      <c r="A67" s="2677" t="s">
        <v>2634</v>
      </c>
      <c r="B67" s="2746">
        <f t="shared" si="66"/>
        <v>104</v>
      </c>
      <c r="C67" s="2746">
        <f t="shared" si="66"/>
        <v>105</v>
      </c>
      <c r="D67" s="2746">
        <f t="shared" si="28"/>
        <v>105</v>
      </c>
      <c r="E67" s="2746">
        <f t="shared" si="67"/>
        <v>104</v>
      </c>
      <c r="F67" s="2746">
        <f t="shared" si="67"/>
        <v>101</v>
      </c>
      <c r="G67" s="3504">
        <v>2002</v>
      </c>
      <c r="H67" s="2682">
        <v>2</v>
      </c>
      <c r="I67" s="2744"/>
      <c r="J67" s="2744"/>
      <c r="K67" s="2744"/>
      <c r="L67" s="2744"/>
      <c r="X67" s="2736"/>
      <c r="Y67" s="2736"/>
      <c r="Z67" s="2736"/>
    </row>
    <row r="68" spans="1:26" s="2713" customFormat="1" ht="13.5" thickBot="1">
      <c r="A68" s="2709" t="s">
        <v>2635</v>
      </c>
      <c r="B68" s="2750">
        <f t="shared" si="66"/>
        <v>103</v>
      </c>
      <c r="C68" s="2750">
        <f t="shared" si="66"/>
        <v>104</v>
      </c>
      <c r="D68" s="2750">
        <f t="shared" si="28"/>
        <v>104</v>
      </c>
      <c r="E68" s="2750">
        <f t="shared" si="67"/>
        <v>103.5</v>
      </c>
      <c r="F68" s="2750">
        <f t="shared" si="67"/>
        <v>100.5</v>
      </c>
      <c r="G68" s="3505">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2636</v>
      </c>
      <c r="G71" s="2760"/>
      <c r="N71" s="2760"/>
      <c r="S71" s="2760"/>
    </row>
    <row r="72" spans="1:26" s="2759" customFormat="1">
      <c r="A72" s="2759" t="s">
        <v>2637</v>
      </c>
      <c r="G72" s="2760"/>
      <c r="N72" s="2760"/>
      <c r="S72" s="2760"/>
    </row>
    <row r="73" spans="1:26" s="2759" customFormat="1">
      <c r="A73" s="2759" t="s">
        <v>2638</v>
      </c>
      <c r="G73" s="2760"/>
      <c r="I73" s="2761"/>
      <c r="J73" s="2761"/>
      <c r="K73" s="2761"/>
      <c r="L73" s="2761"/>
      <c r="N73" s="2762"/>
      <c r="O73" s="2761"/>
      <c r="P73" s="2761"/>
      <c r="Q73" s="2761"/>
      <c r="S73" s="2762"/>
      <c r="T73" s="2761"/>
      <c r="U73" s="2761"/>
      <c r="V73" s="2761"/>
    </row>
    <row r="74" spans="1:26" s="2759" customFormat="1">
      <c r="A74" s="2759" t="s">
        <v>2639</v>
      </c>
      <c r="G74" s="2760"/>
      <c r="N74" s="2760"/>
      <c r="S74" s="2760"/>
    </row>
    <row r="81" spans="7:22" ht="13.5" thickBot="1"/>
    <row r="82" spans="7:22">
      <c r="G82" s="2685"/>
      <c r="S82" s="2763" t="s">
        <v>2640</v>
      </c>
      <c r="T82" s="2764" t="s">
        <v>2641</v>
      </c>
      <c r="U82" s="2764" t="s">
        <v>2642</v>
      </c>
      <c r="V82" s="2764" t="s">
        <v>2643</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0" sqref="C10"/>
    </sheetView>
  </sheetViews>
  <sheetFormatPr defaultRowHeight="14.25"/>
  <cols>
    <col min="1" max="1" width="10.5" style="1336" customWidth="1"/>
    <col min="2" max="2" width="15.75" style="1336" customWidth="1"/>
    <col min="3" max="3" width="23" style="1336" customWidth="1"/>
    <col min="4" max="4" width="12.25" style="1336" customWidth="1"/>
    <col min="5" max="5" width="14.375" style="1336" customWidth="1"/>
    <col min="6" max="6" width="12.25" style="1336" customWidth="1"/>
    <col min="7" max="7" width="22.375" style="1336" customWidth="1"/>
    <col min="8" max="8" width="12.25" style="1336" customWidth="1"/>
    <col min="9" max="9" width="24.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2644" t="s">
        <v>720</v>
      </c>
      <c r="C1" s="2645" t="s">
        <v>721</v>
      </c>
      <c r="D1" s="2646" t="s">
        <v>924</v>
      </c>
      <c r="E1" s="2647"/>
      <c r="F1" s="2830" t="s">
        <v>2993</v>
      </c>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6" t="s">
        <v>467</v>
      </c>
      <c r="B2" s="2643">
        <f>ROUND(B3*D3/10000,0)</f>
        <v>208141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12" t="s">
        <v>520</v>
      </c>
      <c r="B3" s="852">
        <f>C49</f>
        <v>6760</v>
      </c>
      <c r="C3" s="853" t="s">
        <v>723</v>
      </c>
      <c r="D3" s="852">
        <f>SUMIF('数据-汇总表'!$C19:$C33,D1,'数据-汇总表'!$E19:$E33)</f>
        <v>307901.16999999993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5" t="s">
        <v>522</v>
      </c>
      <c r="B4" s="516"/>
      <c r="C4" s="3439" t="s">
        <v>523</v>
      </c>
      <c r="D4" s="3440"/>
      <c r="E4" s="3463" t="s">
        <v>524</v>
      </c>
      <c r="F4" s="3464"/>
      <c r="G4" s="3439" t="s">
        <v>525</v>
      </c>
      <c r="H4" s="3440"/>
      <c r="I4" s="3439" t="s">
        <v>526</v>
      </c>
      <c r="J4" s="3440"/>
      <c r="K4" s="854" t="s">
        <v>527</v>
      </c>
      <c r="L4" s="2132"/>
      <c r="M4" s="2133"/>
      <c r="N4" s="2133"/>
      <c r="O4" s="2133"/>
      <c r="P4" s="3441" t="s">
        <v>528</v>
      </c>
      <c r="Q4" s="3442"/>
      <c r="R4" s="3427" t="s">
        <v>524</v>
      </c>
      <c r="S4" s="3428"/>
      <c r="T4" s="3427" t="s">
        <v>525</v>
      </c>
      <c r="U4" s="3428"/>
      <c r="V4" s="3447" t="s">
        <v>526</v>
      </c>
      <c r="W4" s="3447"/>
      <c r="X4" s="1566"/>
      <c r="Y4" s="3427" t="s">
        <v>528</v>
      </c>
      <c r="Z4" s="3428"/>
      <c r="AA4" s="3422" t="s">
        <v>524</v>
      </c>
      <c r="AB4" s="3422" t="s">
        <v>525</v>
      </c>
      <c r="AC4" s="3422" t="s">
        <v>526</v>
      </c>
    </row>
    <row r="5" spans="1:29" ht="15">
      <c r="A5" s="518"/>
      <c r="B5" s="519"/>
      <c r="C5" s="3467" t="str">
        <f>'比较法-住宅、综合'!C7:D7</f>
        <v>恒大花溪童世界</v>
      </c>
      <c r="D5" s="3451"/>
      <c r="E5" s="3510" t="s">
        <v>3053</v>
      </c>
      <c r="F5" s="3466"/>
      <c r="G5" s="3450" t="s">
        <v>3058</v>
      </c>
      <c r="H5" s="3451"/>
      <c r="I5" s="3450" t="s">
        <v>3256</v>
      </c>
      <c r="J5" s="3451"/>
      <c r="K5" s="855"/>
      <c r="L5" s="2132"/>
      <c r="M5" s="2133"/>
      <c r="N5" s="2133"/>
      <c r="O5" s="2133"/>
      <c r="P5" s="3443"/>
      <c r="Q5" s="3444"/>
      <c r="R5" s="3429"/>
      <c r="S5" s="3430"/>
      <c r="T5" s="3429"/>
      <c r="U5" s="3430"/>
      <c r="V5" s="3447"/>
      <c r="W5" s="3447"/>
      <c r="X5" s="1566"/>
      <c r="Y5" s="3429"/>
      <c r="Z5" s="3430"/>
      <c r="AA5" s="3423"/>
      <c r="AB5" s="3423"/>
      <c r="AC5" s="3423"/>
    </row>
    <row r="6" spans="1:29" ht="15.75" thickBot="1">
      <c r="A6" s="520"/>
      <c r="B6" s="521"/>
      <c r="C6" s="3448" t="s">
        <v>2923</v>
      </c>
      <c r="D6" s="3449"/>
      <c r="E6" s="3468" t="s">
        <v>2923</v>
      </c>
      <c r="F6" s="3469"/>
      <c r="G6" s="3448" t="s">
        <v>2923</v>
      </c>
      <c r="H6" s="3449"/>
      <c r="I6" s="3448" t="s">
        <v>2923</v>
      </c>
      <c r="J6" s="3449"/>
      <c r="K6" s="855" t="s">
        <v>529</v>
      </c>
      <c r="L6" s="2132"/>
      <c r="M6" s="2133"/>
      <c r="N6" s="2133"/>
      <c r="O6" s="2133"/>
      <c r="P6" s="3445"/>
      <c r="Q6" s="3446"/>
      <c r="R6" s="3429"/>
      <c r="S6" s="3430"/>
      <c r="T6" s="3431"/>
      <c r="U6" s="3432"/>
      <c r="V6" s="3447"/>
      <c r="W6" s="3447"/>
      <c r="X6" s="1566"/>
      <c r="Y6" s="3431"/>
      <c r="Z6" s="3432"/>
      <c r="AA6" s="3424"/>
      <c r="AB6" s="3424"/>
      <c r="AC6" s="3424"/>
    </row>
    <row r="7" spans="1:29" s="1219" customFormat="1" ht="15.75" thickBot="1">
      <c r="A7" s="2934"/>
      <c r="B7" s="2941" t="s">
        <v>530</v>
      </c>
      <c r="C7" s="522">
        <f>'数据-取费表'!B2</f>
        <v>43031</v>
      </c>
      <c r="D7" s="523">
        <v>100</v>
      </c>
      <c r="E7" s="524">
        <v>43009</v>
      </c>
      <c r="F7" s="525">
        <f>SUMIF(58:58,YEAR(E7)&amp;"-"&amp;MONTH(E7),59:59)</f>
        <v>100</v>
      </c>
      <c r="G7" s="524">
        <v>43009</v>
      </c>
      <c r="H7" s="523">
        <f>SUMIF(58:58,YEAR(G7)&amp;"-"&amp;MONTH(G7),59:59)</f>
        <v>100</v>
      </c>
      <c r="I7" s="524">
        <v>43009</v>
      </c>
      <c r="J7" s="523">
        <f>SUMIF(58:58,YEAR(I7)&amp;"-"&amp;MONTH(I7),59:59)</f>
        <v>100</v>
      </c>
      <c r="K7" s="856"/>
      <c r="L7" s="2134"/>
      <c r="M7" s="2135"/>
      <c r="N7" s="2135"/>
      <c r="O7" s="2135"/>
      <c r="P7" s="3425" t="s">
        <v>531</v>
      </c>
      <c r="Q7" s="3434"/>
      <c r="R7" s="1567" t="s">
        <v>13</v>
      </c>
      <c r="S7" s="1568">
        <f t="shared" ref="S7:S15" si="0">F7</f>
        <v>100</v>
      </c>
      <c r="T7" s="1567" t="s">
        <v>13</v>
      </c>
      <c r="U7" s="1568">
        <f t="shared" ref="U7:U15" si="1">H7</f>
        <v>100</v>
      </c>
      <c r="V7" s="1567" t="s">
        <v>13</v>
      </c>
      <c r="W7" s="1568">
        <f t="shared" ref="W7:W15" si="2">J7</f>
        <v>100</v>
      </c>
      <c r="X7" s="1569"/>
      <c r="Y7" s="3425" t="s">
        <v>531</v>
      </c>
      <c r="Z7" s="3426"/>
      <c r="AA7" s="1570">
        <f>D7/F7</f>
        <v>1</v>
      </c>
      <c r="AB7" s="1570">
        <f>D7/H7</f>
        <v>1</v>
      </c>
      <c r="AC7" s="1570">
        <f>D7/J7</f>
        <v>1</v>
      </c>
    </row>
    <row r="8" spans="1:29" s="1219" customFormat="1" ht="15.75" thickBot="1">
      <c r="A8" s="2935"/>
      <c r="B8" s="294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6"/>
      <c r="L8" s="2134"/>
      <c r="M8" s="2135"/>
      <c r="N8" s="2135"/>
      <c r="O8" s="2135"/>
      <c r="P8" s="3425" t="s">
        <v>534</v>
      </c>
      <c r="Q8" s="3426"/>
      <c r="R8" s="1567" t="s">
        <v>13</v>
      </c>
      <c r="S8" s="1568">
        <f t="shared" si="0"/>
        <v>100</v>
      </c>
      <c r="T8" s="1567" t="s">
        <v>13</v>
      </c>
      <c r="U8" s="1568">
        <f t="shared" si="1"/>
        <v>100</v>
      </c>
      <c r="V8" s="1567" t="s">
        <v>13</v>
      </c>
      <c r="W8" s="1568">
        <f t="shared" si="2"/>
        <v>100</v>
      </c>
      <c r="X8" s="1569"/>
      <c r="Y8" s="3425" t="s">
        <v>534</v>
      </c>
      <c r="Z8" s="3426"/>
      <c r="AA8" s="1570">
        <f t="shared" ref="AA8:AA46" si="3">D8/F8</f>
        <v>1</v>
      </c>
      <c r="AB8" s="1570">
        <f t="shared" ref="AB8:AB46" si="4">D8/H8</f>
        <v>1</v>
      </c>
      <c r="AC8" s="1570">
        <f t="shared" ref="AC8:AC46" si="5">D8/J8</f>
        <v>1</v>
      </c>
    </row>
    <row r="9" spans="1:29" s="1219" customFormat="1" ht="15">
      <c r="A9" s="2936"/>
      <c r="B9" s="2943" t="s">
        <v>2762</v>
      </c>
      <c r="C9" s="3165" t="s">
        <v>3034</v>
      </c>
      <c r="D9" s="254">
        <v>100</v>
      </c>
      <c r="E9" s="859" t="s">
        <v>924</v>
      </c>
      <c r="F9" s="860">
        <f>SUMIF(63:63,E9,64:64)-SUMIF(63:63,C9,64:64)+100</f>
        <v>100</v>
      </c>
      <c r="G9" s="859" t="s">
        <v>924</v>
      </c>
      <c r="H9" s="254">
        <f>SUMIF(63:63,G9,64:64)-SUMIF(63:63,C9,64:64)+100</f>
        <v>100</v>
      </c>
      <c r="I9" s="859" t="s">
        <v>924</v>
      </c>
      <c r="J9" s="254">
        <f>SUMIF(63:63,I9,64:64)-SUMIF(63:63,C9,64:64)+100</f>
        <v>100</v>
      </c>
      <c r="K9" s="856"/>
      <c r="L9" s="2134"/>
      <c r="M9" s="2135"/>
      <c r="N9" s="2135"/>
      <c r="O9" s="2136"/>
      <c r="P9" s="3433"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7"/>
      <c r="B10" s="2942" t="s">
        <v>2763</v>
      </c>
      <c r="C10" s="862" t="s">
        <v>3051</v>
      </c>
      <c r="D10" s="255">
        <v>100</v>
      </c>
      <c r="E10" s="862" t="s">
        <v>3051</v>
      </c>
      <c r="F10" s="864">
        <f>SUMIF(65:65,E10,66:66)-SUMIF(65:65,C10,66:66)+100</f>
        <v>100</v>
      </c>
      <c r="G10" s="862" t="s">
        <v>3051</v>
      </c>
      <c r="H10" s="255">
        <f>SUMIF(65:65,G10,66:66)-SUMIF(65:65,C10,66:66)+100</f>
        <v>100</v>
      </c>
      <c r="I10" s="862" t="s">
        <v>3051</v>
      </c>
      <c r="J10" s="255">
        <f>SUMIF(65:65,I10,66:66)-SUMIF(65:65,C10,66:66)+100</f>
        <v>100</v>
      </c>
      <c r="K10" s="865">
        <v>1</v>
      </c>
      <c r="L10" s="2137"/>
      <c r="M10" s="2177"/>
      <c r="N10" s="2177"/>
      <c r="O10" s="2138"/>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75" thickBot="1">
      <c r="A11" s="2938"/>
      <c r="B11" s="2942" t="s">
        <v>2764</v>
      </c>
      <c r="C11" s="534">
        <f>'数据-汇总表'!I3</f>
        <v>2.88</v>
      </c>
      <c r="D11" s="255">
        <v>100</v>
      </c>
      <c r="E11" s="535">
        <v>1.96</v>
      </c>
      <c r="F11" s="864">
        <f>LOOKUP(E11,68:68,69:69)-LOOKUP(C11,68:68,69:69)+100</f>
        <v>100</v>
      </c>
      <c r="G11" s="534">
        <v>2.13</v>
      </c>
      <c r="H11" s="255">
        <f>LOOKUP(G11,68:68,69:69)-LOOKUP(C11,68:68,69:69)+100</f>
        <v>100</v>
      </c>
      <c r="I11" s="534">
        <v>2.5</v>
      </c>
      <c r="J11" s="255">
        <f>LOOKUP(I11,68:68,69:69)-LOOKUP(C11,68:68,69:69)+100</f>
        <v>100</v>
      </c>
      <c r="K11" s="865">
        <v>1</v>
      </c>
      <c r="L11" s="2139"/>
      <c r="M11" s="2133"/>
      <c r="N11" s="2133"/>
      <c r="O11" s="2140"/>
      <c r="P11" s="3433"/>
      <c r="Q11" s="1150" t="str">
        <f t="shared" si="6"/>
        <v>容积率</v>
      </c>
      <c r="R11" s="1567" t="s">
        <v>11</v>
      </c>
      <c r="S11" s="1568">
        <f t="shared" si="0"/>
        <v>100</v>
      </c>
      <c r="T11" s="1567" t="s">
        <v>11</v>
      </c>
      <c r="U11" s="1568">
        <f t="shared" si="1"/>
        <v>100</v>
      </c>
      <c r="V11" s="1567" t="s">
        <v>11</v>
      </c>
      <c r="W11" s="1568">
        <f t="shared" si="2"/>
        <v>100</v>
      </c>
      <c r="X11" s="1569"/>
      <c r="Y11" s="3388"/>
      <c r="Z11" s="1149" t="str">
        <f t="shared" si="7"/>
        <v>容积率</v>
      </c>
      <c r="AA11" s="1570">
        <f t="shared" si="3"/>
        <v>1</v>
      </c>
      <c r="AB11" s="1570">
        <f t="shared" si="4"/>
        <v>1</v>
      </c>
      <c r="AC11" s="1570">
        <f t="shared" si="5"/>
        <v>1</v>
      </c>
    </row>
    <row r="12" spans="1:29" s="1219" customFormat="1" ht="15" hidden="1">
      <c r="A12" s="2939"/>
      <c r="B12" s="2945">
        <v>111</v>
      </c>
      <c r="C12" s="531"/>
      <c r="D12" s="539">
        <v>100</v>
      </c>
      <c r="E12" s="531"/>
      <c r="F12" s="864">
        <f>SUMIF(70:70,E12,71:71)-SUMIF(70:70,C12,71:71)+100</f>
        <v>100</v>
      </c>
      <c r="G12" s="531"/>
      <c r="H12" s="255">
        <f>SUMIF(70:70,G12,71:71)-SUMIF(70:70,C12,71:71)+100</f>
        <v>100</v>
      </c>
      <c r="I12" s="531"/>
      <c r="J12" s="255">
        <f>SUMIF(70:70,I12,71:71)-SUMIF(70:70,C12,71:71)+100</f>
        <v>100</v>
      </c>
      <c r="K12" s="866"/>
      <c r="L12" s="2134"/>
      <c r="M12" s="2135"/>
      <c r="N12" s="2135"/>
      <c r="O12" s="2136"/>
      <c r="P12" s="3433"/>
      <c r="Q12" s="1150">
        <f t="shared" si="6"/>
        <v>111</v>
      </c>
      <c r="R12" s="1567" t="s">
        <v>11</v>
      </c>
      <c r="S12" s="1568">
        <f t="shared" si="0"/>
        <v>100</v>
      </c>
      <c r="T12" s="1567" t="s">
        <v>11</v>
      </c>
      <c r="U12" s="1568">
        <f t="shared" si="1"/>
        <v>100</v>
      </c>
      <c r="V12" s="1567" t="s">
        <v>11</v>
      </c>
      <c r="W12" s="1568">
        <f t="shared" si="2"/>
        <v>100</v>
      </c>
      <c r="X12" s="1569"/>
      <c r="Y12" s="3388"/>
      <c r="Z12" s="1149">
        <f t="shared" si="7"/>
        <v>111</v>
      </c>
      <c r="AA12" s="1570">
        <f>D12/F12</f>
        <v>1</v>
      </c>
      <c r="AB12" s="1570">
        <f>D12/H12</f>
        <v>1</v>
      </c>
      <c r="AC12" s="1570">
        <f>D12/J12</f>
        <v>1</v>
      </c>
    </row>
    <row r="13" spans="1:29" ht="15" hidden="1">
      <c r="A13" s="2939"/>
      <c r="B13" s="2945">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433"/>
      <c r="Q13" s="1150">
        <f t="shared" si="6"/>
        <v>111</v>
      </c>
      <c r="R13" s="1567" t="s">
        <v>11</v>
      </c>
      <c r="S13" s="1568">
        <f t="shared" si="0"/>
        <v>100</v>
      </c>
      <c r="T13" s="1567" t="s">
        <v>11</v>
      </c>
      <c r="U13" s="1568">
        <f t="shared" si="1"/>
        <v>100</v>
      </c>
      <c r="V13" s="1567" t="s">
        <v>11</v>
      </c>
      <c r="W13" s="1568">
        <f t="shared" si="2"/>
        <v>100</v>
      </c>
      <c r="X13" s="1569"/>
      <c r="Y13" s="3388"/>
      <c r="Z13" s="1149">
        <f t="shared" si="7"/>
        <v>111</v>
      </c>
      <c r="AA13" s="1570">
        <f t="shared" si="3"/>
        <v>1</v>
      </c>
      <c r="AB13" s="1570">
        <f t="shared" si="4"/>
        <v>1</v>
      </c>
      <c r="AC13" s="1570">
        <f t="shared" si="5"/>
        <v>1</v>
      </c>
    </row>
    <row r="14" spans="1:29" ht="15.75" hidden="1" thickBot="1">
      <c r="A14" s="2940"/>
      <c r="B14" s="2946">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433"/>
      <c r="Q14" s="1150">
        <f t="shared" si="6"/>
        <v>111</v>
      </c>
      <c r="R14" s="1567" t="s">
        <v>11</v>
      </c>
      <c r="S14" s="1568">
        <f t="shared" si="0"/>
        <v>100</v>
      </c>
      <c r="T14" s="1567" t="s">
        <v>11</v>
      </c>
      <c r="U14" s="1568">
        <f t="shared" si="1"/>
        <v>100</v>
      </c>
      <c r="V14" s="1567" t="s">
        <v>11</v>
      </c>
      <c r="W14" s="1568">
        <f t="shared" si="2"/>
        <v>100</v>
      </c>
      <c r="X14" s="1569"/>
      <c r="Y14" s="3388"/>
      <c r="Z14" s="1149">
        <f t="shared" si="7"/>
        <v>111</v>
      </c>
      <c r="AA14" s="1570">
        <f t="shared" si="3"/>
        <v>1</v>
      </c>
      <c r="AB14" s="1570">
        <f t="shared" si="4"/>
        <v>1</v>
      </c>
      <c r="AC14" s="1570">
        <f t="shared" si="5"/>
        <v>1</v>
      </c>
    </row>
    <row r="15" spans="1:29" ht="72" customHeight="1">
      <c r="A15" s="2932" t="s">
        <v>2760</v>
      </c>
      <c r="B15" s="166" t="s">
        <v>295</v>
      </c>
      <c r="C15" s="868" t="str">
        <f>估价对象房地状况!C3</f>
        <v>咨询对象本身所属项目较大，本地块周边为本项目其他地块，尚未开发建设，综合评价居住社区成熟度较差。</v>
      </c>
      <c r="D15" s="550">
        <v>100</v>
      </c>
      <c r="E15" s="3183" t="s">
        <v>3221</v>
      </c>
      <c r="F15" s="552">
        <f>SUMIF(76:76,E16,77:77)-SUMIF(76:76,C16,77:77)+100</f>
        <v>102</v>
      </c>
      <c r="G15" s="3183" t="s">
        <v>3227</v>
      </c>
      <c r="H15" s="550">
        <f>SUMIF(76:76,G16,77:77)-SUMIF(76:76,C16,77:77)+100</f>
        <v>104</v>
      </c>
      <c r="I15" s="551" t="s">
        <v>3231</v>
      </c>
      <c r="J15" s="550">
        <f>SUMIF(76:76,I16,77:77)-SUMIF(76:76,C16,77:77)+100</f>
        <v>104</v>
      </c>
      <c r="K15" s="869">
        <f>'比较法-住宅、综合'!K17</f>
        <v>2</v>
      </c>
      <c r="L15" s="2141"/>
      <c r="M15" s="2133"/>
      <c r="N15" s="2133"/>
      <c r="O15" s="2140"/>
      <c r="P15" s="3435" t="s">
        <v>541</v>
      </c>
      <c r="Q15" s="1571" t="str">
        <f t="shared" si="6"/>
        <v>居住社区成熟度</v>
      </c>
      <c r="R15" s="1572" t="s">
        <v>11</v>
      </c>
      <c r="S15" s="1573">
        <f t="shared" si="0"/>
        <v>102</v>
      </c>
      <c r="T15" s="1572" t="s">
        <v>11</v>
      </c>
      <c r="U15" s="1573">
        <f t="shared" si="1"/>
        <v>104</v>
      </c>
      <c r="V15" s="1572" t="s">
        <v>11</v>
      </c>
      <c r="W15" s="1573">
        <f t="shared" si="2"/>
        <v>104</v>
      </c>
      <c r="X15" s="1566"/>
      <c r="Y15" s="3435" t="s">
        <v>541</v>
      </c>
      <c r="Z15" s="1574" t="str">
        <f t="shared" si="7"/>
        <v>居住社区成熟度</v>
      </c>
      <c r="AA15" s="1575">
        <f t="shared" si="3"/>
        <v>0.98039215686274506</v>
      </c>
      <c r="AB15" s="1575">
        <f t="shared" si="4"/>
        <v>0.96153846153846156</v>
      </c>
      <c r="AC15" s="1575">
        <f t="shared" si="5"/>
        <v>0.96153846153846156</v>
      </c>
    </row>
    <row r="16" spans="1:29" ht="15">
      <c r="A16" s="533"/>
      <c r="B16" s="870"/>
      <c r="C16" s="577" t="s">
        <v>2990</v>
      </c>
      <c r="D16" s="556"/>
      <c r="E16" s="557" t="s">
        <v>3006</v>
      </c>
      <c r="F16" s="558"/>
      <c r="G16" s="557" t="s">
        <v>3023</v>
      </c>
      <c r="H16" s="560"/>
      <c r="I16" s="557" t="s">
        <v>3023</v>
      </c>
      <c r="J16" s="556"/>
      <c r="K16" s="871"/>
      <c r="L16" s="2141"/>
      <c r="M16" s="2133"/>
      <c r="N16" s="2133"/>
      <c r="O16" s="2140"/>
      <c r="P16" s="3436"/>
      <c r="Q16" s="1571"/>
      <c r="R16" s="1572"/>
      <c r="S16" s="1573"/>
      <c r="T16" s="1572"/>
      <c r="U16" s="1573"/>
      <c r="V16" s="1572"/>
      <c r="W16" s="1573"/>
      <c r="X16" s="1566"/>
      <c r="Y16" s="3436"/>
      <c r="Z16" s="1574"/>
      <c r="AA16" s="1575">
        <v>1</v>
      </c>
      <c r="AB16" s="1575">
        <v>1</v>
      </c>
      <c r="AC16" s="1575">
        <v>1</v>
      </c>
    </row>
    <row r="17" spans="1:29" ht="89.25" customHeight="1">
      <c r="A17" s="533"/>
      <c r="B17" s="872" t="s">
        <v>296</v>
      </c>
      <c r="C17" s="873" t="str">
        <f>估价对象房地状况!C6</f>
        <v>咨询对象本身所属项目较大，本地块周边道路尚未建设完善，综合评价交通便捷度较差。</v>
      </c>
      <c r="D17" s="560">
        <v>100</v>
      </c>
      <c r="E17" s="563" t="s">
        <v>3223</v>
      </c>
      <c r="F17" s="564">
        <f>SUMIF(78:78,E18,79:79)-SUMIF(78:78,C18,79:79)+100</f>
        <v>104</v>
      </c>
      <c r="G17" s="563" t="s">
        <v>3228</v>
      </c>
      <c r="H17" s="566">
        <f>SUMIF(78:78,G18,79:79)-SUMIF(78:78,C18,79:79)+100</f>
        <v>104</v>
      </c>
      <c r="I17" s="563" t="s">
        <v>3222</v>
      </c>
      <c r="J17" s="566">
        <f>SUMIF(78:78,I18,79:79)-SUMIF(78:78,C18,79:79)+100</f>
        <v>104</v>
      </c>
      <c r="K17" s="869">
        <f>'比较法-住宅、综合'!K23</f>
        <v>2</v>
      </c>
      <c r="L17" s="2141"/>
      <c r="M17" s="2133"/>
      <c r="N17" s="2133"/>
      <c r="O17" s="2140"/>
      <c r="P17" s="3436"/>
      <c r="Q17" s="1571" t="str">
        <f>B17</f>
        <v>交通便捷度</v>
      </c>
      <c r="R17" s="1572" t="s">
        <v>11</v>
      </c>
      <c r="S17" s="1573">
        <f>F17</f>
        <v>104</v>
      </c>
      <c r="T17" s="1572" t="s">
        <v>11</v>
      </c>
      <c r="U17" s="1573">
        <f>H17</f>
        <v>104</v>
      </c>
      <c r="V17" s="1572" t="s">
        <v>11</v>
      </c>
      <c r="W17" s="1573">
        <f>J17</f>
        <v>104</v>
      </c>
      <c r="X17" s="1566"/>
      <c r="Y17" s="3436"/>
      <c r="Z17" s="1574" t="str">
        <f>Q17</f>
        <v>交通便捷度</v>
      </c>
      <c r="AA17" s="1575">
        <f t="shared" si="3"/>
        <v>0.96153846153846156</v>
      </c>
      <c r="AB17" s="1575">
        <f t="shared" si="4"/>
        <v>0.96153846153846156</v>
      </c>
      <c r="AC17" s="1575">
        <f t="shared" si="5"/>
        <v>0.96153846153846156</v>
      </c>
    </row>
    <row r="18" spans="1:29" ht="15">
      <c r="A18" s="533"/>
      <c r="B18" s="596"/>
      <c r="C18" s="874" t="s">
        <v>2990</v>
      </c>
      <c r="D18" s="560"/>
      <c r="E18" s="569" t="s">
        <v>3023</v>
      </c>
      <c r="F18" s="564"/>
      <c r="G18" s="569" t="s">
        <v>3023</v>
      </c>
      <c r="H18" s="556"/>
      <c r="I18" s="569" t="s">
        <v>3023</v>
      </c>
      <c r="J18" s="556"/>
      <c r="K18" s="871"/>
      <c r="L18" s="2141"/>
      <c r="M18" s="2133"/>
      <c r="N18" s="2133"/>
      <c r="O18" s="2140"/>
      <c r="P18" s="3436"/>
      <c r="Q18" s="1571"/>
      <c r="R18" s="1572"/>
      <c r="S18" s="1573"/>
      <c r="T18" s="1572"/>
      <c r="U18" s="1573"/>
      <c r="V18" s="1572"/>
      <c r="W18" s="1573"/>
      <c r="X18" s="1566"/>
      <c r="Y18" s="3436"/>
      <c r="Z18" s="1574"/>
      <c r="AA18" s="1575">
        <v>1</v>
      </c>
      <c r="AB18" s="1575">
        <v>1</v>
      </c>
      <c r="AC18" s="1575">
        <v>1</v>
      </c>
    </row>
    <row r="19" spans="1:29" ht="71.25" customHeight="1">
      <c r="A19" s="533"/>
      <c r="B19" s="2621" t="s">
        <v>2550</v>
      </c>
      <c r="C19" s="873" t="str">
        <f>估价对象房地状况!C7</f>
        <v>咨询对象本身所属项目较大，公共配套设施尚未建设，综合评价公共配套设施较差。</v>
      </c>
      <c r="D19" s="566">
        <v>100</v>
      </c>
      <c r="E19" s="3184" t="s">
        <v>3224</v>
      </c>
      <c r="F19" s="572">
        <f>SUMIF(80:80,E20,81:81)-SUMIF(80:80,C20,81:81)+100</f>
        <v>101</v>
      </c>
      <c r="G19" s="3186" t="s">
        <v>3229</v>
      </c>
      <c r="H19" s="560">
        <f>SUMIF(80:80,G20,81:81)-SUMIF(80:80,C20,81:81)+100</f>
        <v>102</v>
      </c>
      <c r="I19" s="571" t="s">
        <v>3121</v>
      </c>
      <c r="J19" s="560">
        <f>SUMIF(80:80,I20,81:81)-SUMIF(80:80,C20,81:81)+100</f>
        <v>102</v>
      </c>
      <c r="K19" s="869">
        <f>'比较法-住宅、综合'!K29</f>
        <v>1</v>
      </c>
      <c r="L19" s="2141"/>
      <c r="M19" s="2133"/>
      <c r="N19" s="2133"/>
      <c r="O19" s="2140"/>
      <c r="P19" s="3436"/>
      <c r="Q19" s="1571" t="str">
        <f>B19</f>
        <v>公共配套设施</v>
      </c>
      <c r="R19" s="1572" t="s">
        <v>11</v>
      </c>
      <c r="S19" s="1573">
        <f>F19</f>
        <v>101</v>
      </c>
      <c r="T19" s="1572" t="s">
        <v>11</v>
      </c>
      <c r="U19" s="1573">
        <f>H19</f>
        <v>102</v>
      </c>
      <c r="V19" s="1572" t="s">
        <v>11</v>
      </c>
      <c r="W19" s="1573">
        <f>J19</f>
        <v>102</v>
      </c>
      <c r="X19" s="1566"/>
      <c r="Y19" s="3436"/>
      <c r="Z19" s="1574" t="str">
        <f>Q19</f>
        <v>公共配套设施</v>
      </c>
      <c r="AA19" s="1575">
        <f t="shared" si="3"/>
        <v>0.99009900990099009</v>
      </c>
      <c r="AB19" s="1575">
        <f t="shared" si="4"/>
        <v>0.98039215686274506</v>
      </c>
      <c r="AC19" s="1575">
        <f t="shared" si="5"/>
        <v>0.98039215686274506</v>
      </c>
    </row>
    <row r="20" spans="1:29" ht="15">
      <c r="A20" s="533"/>
      <c r="B20" s="596"/>
      <c r="C20" s="577" t="s">
        <v>2990</v>
      </c>
      <c r="D20" s="556"/>
      <c r="E20" s="557" t="s">
        <v>3006</v>
      </c>
      <c r="F20" s="558"/>
      <c r="G20" s="557" t="s">
        <v>3023</v>
      </c>
      <c r="H20" s="556"/>
      <c r="I20" s="557" t="s">
        <v>3023</v>
      </c>
      <c r="J20" s="556"/>
      <c r="K20" s="871"/>
      <c r="L20" s="2141"/>
      <c r="M20" s="2133"/>
      <c r="N20" s="2133"/>
      <c r="O20" s="2140"/>
      <c r="P20" s="3436"/>
      <c r="Q20" s="1571"/>
      <c r="R20" s="1572"/>
      <c r="S20" s="1573"/>
      <c r="T20" s="1572"/>
      <c r="U20" s="1573"/>
      <c r="V20" s="1572"/>
      <c r="W20" s="1573"/>
      <c r="X20" s="1566"/>
      <c r="Y20" s="3436"/>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1"/>
      <c r="M21" s="2133"/>
      <c r="N21" s="2133"/>
      <c r="O21" s="2140"/>
      <c r="P21" s="3436"/>
      <c r="Q21" s="2600" t="str">
        <f>B21</f>
        <v>基础设施水平</v>
      </c>
      <c r="R21" s="1572" t="s">
        <v>11</v>
      </c>
      <c r="S21" s="1573">
        <f>F21</f>
        <v>100</v>
      </c>
      <c r="T21" s="1572" t="s">
        <v>11</v>
      </c>
      <c r="U21" s="1573">
        <f>H21</f>
        <v>100</v>
      </c>
      <c r="V21" s="1572" t="s">
        <v>11</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3"/>
      <c r="B22" s="923"/>
      <c r="C22" s="874" t="s">
        <v>3017</v>
      </c>
      <c r="D22" s="556"/>
      <c r="E22" s="874" t="s">
        <v>3017</v>
      </c>
      <c r="F22" s="558"/>
      <c r="G22" s="874" t="s">
        <v>3017</v>
      </c>
      <c r="H22" s="556"/>
      <c r="I22" s="874" t="s">
        <v>3017</v>
      </c>
      <c r="J22" s="556"/>
      <c r="K22" s="2620"/>
      <c r="L22" s="2141"/>
      <c r="M22" s="2133"/>
      <c r="N22" s="2133"/>
      <c r="O22" s="2140"/>
      <c r="P22" s="3436"/>
      <c r="Q22" s="2600"/>
      <c r="R22" s="1572"/>
      <c r="S22" s="1573"/>
      <c r="T22" s="1572"/>
      <c r="U22" s="1573"/>
      <c r="V22" s="1572"/>
      <c r="W22" s="1573"/>
      <c r="X22" s="2602"/>
      <c r="Y22" s="3436"/>
      <c r="Z22" s="2601"/>
      <c r="AA22" s="1575">
        <v>1</v>
      </c>
      <c r="AB22" s="1575">
        <v>1</v>
      </c>
      <c r="AC22" s="1575">
        <v>1</v>
      </c>
    </row>
    <row r="23" spans="1:29" ht="62.25" customHeight="1">
      <c r="A23" s="533"/>
      <c r="B23" s="872" t="s">
        <v>297</v>
      </c>
      <c r="C23" s="873" t="str">
        <f>估价对象房地状况!C9</f>
        <v>咨询对象本身所属项目较大，周边尚无自然及人文环境，综合评价自然及人文环境较差。</v>
      </c>
      <c r="D23" s="560">
        <v>100</v>
      </c>
      <c r="E23" s="3185" t="s">
        <v>3226</v>
      </c>
      <c r="F23" s="564">
        <f>SUMIF(84:84,E24,85:85)-SUMIF(84:84,C24,85:85)+100</f>
        <v>101</v>
      </c>
      <c r="G23" s="3177" t="s">
        <v>3230</v>
      </c>
      <c r="H23" s="560">
        <f>SUMIF(84:84,G24,85:85)-SUMIF(84:84,C24,85:85)+100</f>
        <v>102</v>
      </c>
      <c r="I23" s="563" t="s">
        <v>3120</v>
      </c>
      <c r="J23" s="560">
        <f>SUMIF(84:84,I24,85:85)-SUMIF(84:84,C24,85:85)+100</f>
        <v>102</v>
      </c>
      <c r="K23" s="869">
        <f>'比较法-住宅、综合'!K27</f>
        <v>1</v>
      </c>
      <c r="L23" s="2141"/>
      <c r="M23" s="2133"/>
      <c r="N23" s="2133"/>
      <c r="O23" s="2140"/>
      <c r="P23" s="3436"/>
      <c r="Q23" s="1571" t="str">
        <f>B23</f>
        <v>自然及人文环境</v>
      </c>
      <c r="R23" s="1572" t="s">
        <v>11</v>
      </c>
      <c r="S23" s="1573">
        <f>F23</f>
        <v>101</v>
      </c>
      <c r="T23" s="1572" t="s">
        <v>11</v>
      </c>
      <c r="U23" s="1573">
        <f>H23</f>
        <v>102</v>
      </c>
      <c r="V23" s="1572" t="s">
        <v>11</v>
      </c>
      <c r="W23" s="1573">
        <f>J23</f>
        <v>102</v>
      </c>
      <c r="X23" s="1566"/>
      <c r="Y23" s="3436"/>
      <c r="Z23" s="1574" t="str">
        <f>Q23</f>
        <v>自然及人文环境</v>
      </c>
      <c r="AA23" s="1575">
        <f t="shared" si="3"/>
        <v>0.99009900990099009</v>
      </c>
      <c r="AB23" s="1575">
        <f t="shared" si="4"/>
        <v>0.98039215686274506</v>
      </c>
      <c r="AC23" s="1575">
        <f t="shared" si="5"/>
        <v>0.98039215686274506</v>
      </c>
    </row>
    <row r="24" spans="1:29" ht="15">
      <c r="A24" s="533"/>
      <c r="B24" s="596"/>
      <c r="C24" s="577" t="s">
        <v>2990</v>
      </c>
      <c r="D24" s="556"/>
      <c r="E24" s="557" t="s">
        <v>3006</v>
      </c>
      <c r="F24" s="558"/>
      <c r="G24" s="557" t="s">
        <v>3023</v>
      </c>
      <c r="H24" s="556"/>
      <c r="I24" s="557" t="s">
        <v>3023</v>
      </c>
      <c r="J24" s="556"/>
      <c r="K24" s="871"/>
      <c r="L24" s="2141"/>
      <c r="M24" s="2133"/>
      <c r="N24" s="2133"/>
      <c r="O24" s="2140"/>
      <c r="P24" s="3436"/>
      <c r="Q24" s="1571"/>
      <c r="R24" s="1572"/>
      <c r="S24" s="1573"/>
      <c r="T24" s="1572"/>
      <c r="U24" s="1573"/>
      <c r="V24" s="1572"/>
      <c r="W24" s="1573"/>
      <c r="X24" s="1566"/>
      <c r="Y24" s="3436"/>
      <c r="Z24" s="1574"/>
      <c r="AA24" s="1575">
        <v>1</v>
      </c>
      <c r="AB24" s="1575">
        <v>1</v>
      </c>
      <c r="AC24" s="1575">
        <v>1</v>
      </c>
    </row>
    <row r="25" spans="1:29" ht="15" hidden="1">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36"/>
      <c r="Q25" s="1571" t="str">
        <f t="shared" ref="Q25:Q46" si="11">B25</f>
        <v>楼层-1</v>
      </c>
      <c r="R25" s="1572" t="s">
        <v>11</v>
      </c>
      <c r="S25" s="1573">
        <f>F25</f>
        <v>100</v>
      </c>
      <c r="T25" s="1572" t="s">
        <v>11</v>
      </c>
      <c r="U25" s="1573">
        <f>H25</f>
        <v>100</v>
      </c>
      <c r="V25" s="1572" t="s">
        <v>11</v>
      </c>
      <c r="W25" s="1573">
        <f>J25</f>
        <v>100</v>
      </c>
      <c r="X25" s="1566"/>
      <c r="Y25" s="3436"/>
      <c r="Z25" s="1574" t="str">
        <f>Q25</f>
        <v>楼层-1</v>
      </c>
      <c r="AA25" s="1575">
        <f t="shared" si="3"/>
        <v>1</v>
      </c>
      <c r="AB25" s="1575">
        <f t="shared" si="4"/>
        <v>1</v>
      </c>
      <c r="AC25" s="1575">
        <f t="shared" si="5"/>
        <v>1</v>
      </c>
    </row>
    <row r="26" spans="1:29" ht="15" hidden="1">
      <c r="A26" s="533"/>
      <c r="B26" s="530"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36"/>
      <c r="Q26" s="1571" t="str">
        <f t="shared" si="11"/>
        <v>朝向</v>
      </c>
      <c r="R26" s="1572" t="s">
        <v>11</v>
      </c>
      <c r="S26" s="1573">
        <f>F26</f>
        <v>100</v>
      </c>
      <c r="T26" s="1572" t="s">
        <v>11</v>
      </c>
      <c r="U26" s="1573">
        <f>H26</f>
        <v>100</v>
      </c>
      <c r="V26" s="1572" t="s">
        <v>11</v>
      </c>
      <c r="W26" s="1573">
        <f>J26</f>
        <v>100</v>
      </c>
      <c r="X26" s="1566"/>
      <c r="Y26" s="3436"/>
      <c r="Z26" s="1574" t="str">
        <f>Q26</f>
        <v>朝向</v>
      </c>
      <c r="AA26" s="1575">
        <f t="shared" si="3"/>
        <v>1</v>
      </c>
      <c r="AB26" s="1575">
        <f t="shared" si="4"/>
        <v>1</v>
      </c>
      <c r="AC26" s="1575">
        <f t="shared" si="5"/>
        <v>1</v>
      </c>
    </row>
    <row r="27" spans="1:29" s="1219" customFormat="1" ht="15.75" thickBot="1">
      <c r="A27" s="537"/>
      <c r="B27" s="538" t="s">
        <v>725</v>
      </c>
      <c r="C27" s="3166" t="s">
        <v>3257</v>
      </c>
      <c r="D27" s="876">
        <v>100</v>
      </c>
      <c r="E27" s="3167" t="s">
        <v>3052</v>
      </c>
      <c r="F27" s="877">
        <f>SUMIF(90:90,E27,91:91)-SUMIF(90:90,C27,91:91)+100</f>
        <v>102</v>
      </c>
      <c r="G27" s="3167" t="s">
        <v>3052</v>
      </c>
      <c r="H27" s="876">
        <f>SUMIF(90:90,G27,91:91)-SUMIF(90:90,C27,91:91)+100</f>
        <v>102</v>
      </c>
      <c r="I27" s="3167" t="s">
        <v>3052</v>
      </c>
      <c r="J27" s="876">
        <f>SUMIF(90:90,I27,91:91)-SUMIF(90:90,C27,91:91)+100</f>
        <v>102</v>
      </c>
      <c r="K27" s="866"/>
      <c r="L27" s="2134"/>
      <c r="M27" s="2135"/>
      <c r="N27" s="2135"/>
      <c r="O27" s="2136"/>
      <c r="P27" s="3436"/>
      <c r="Q27" s="1150" t="str">
        <f t="shared" si="11"/>
        <v>道路级别</v>
      </c>
      <c r="R27" s="1567" t="s">
        <v>11</v>
      </c>
      <c r="S27" s="1568">
        <f>F27</f>
        <v>102</v>
      </c>
      <c r="T27" s="1567" t="s">
        <v>11</v>
      </c>
      <c r="U27" s="1568">
        <f>H27</f>
        <v>102</v>
      </c>
      <c r="V27" s="1567" t="s">
        <v>11</v>
      </c>
      <c r="W27" s="1568">
        <f>J27</f>
        <v>102</v>
      </c>
      <c r="X27" s="1569"/>
      <c r="Y27" s="3436"/>
      <c r="Z27" s="1149" t="str">
        <f>Q27</f>
        <v>道路级别</v>
      </c>
      <c r="AA27" s="1575">
        <f>D27/F27</f>
        <v>0.98039215686274506</v>
      </c>
      <c r="AB27" s="1575">
        <f>D27/H27</f>
        <v>0.98039215686274506</v>
      </c>
      <c r="AC27" s="1575">
        <f>D27/J27</f>
        <v>0.98039215686274506</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3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6"/>
      <c r="Z28" s="1574">
        <f t="shared" ref="Z28:Z46" si="15">Q28</f>
        <v>111</v>
      </c>
      <c r="AA28" s="1575">
        <f t="shared" si="3"/>
        <v>1</v>
      </c>
      <c r="AB28" s="1575">
        <f t="shared" si="4"/>
        <v>1</v>
      </c>
      <c r="AC28" s="1575">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36"/>
      <c r="Q29" s="1571">
        <f t="shared" si="11"/>
        <v>111</v>
      </c>
      <c r="R29" s="1572" t="s">
        <v>11</v>
      </c>
      <c r="S29" s="1573">
        <f t="shared" si="12"/>
        <v>100</v>
      </c>
      <c r="T29" s="1572" t="s">
        <v>11</v>
      </c>
      <c r="U29" s="1573">
        <f t="shared" si="13"/>
        <v>100</v>
      </c>
      <c r="V29" s="1572" t="s">
        <v>11</v>
      </c>
      <c r="W29" s="1573">
        <f t="shared" si="14"/>
        <v>100</v>
      </c>
      <c r="X29" s="1566"/>
      <c r="Y29" s="3436"/>
      <c r="Z29" s="1574">
        <f t="shared" si="15"/>
        <v>111</v>
      </c>
      <c r="AA29" s="1575">
        <f t="shared" si="3"/>
        <v>1</v>
      </c>
      <c r="AB29" s="1575">
        <f t="shared" si="4"/>
        <v>1</v>
      </c>
      <c r="AC29" s="1575">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36"/>
      <c r="Q30" s="1571">
        <f t="shared" si="11"/>
        <v>111</v>
      </c>
      <c r="R30" s="1572" t="s">
        <v>11</v>
      </c>
      <c r="S30" s="1573">
        <f t="shared" si="12"/>
        <v>100</v>
      </c>
      <c r="T30" s="1572" t="s">
        <v>11</v>
      </c>
      <c r="U30" s="1573">
        <f t="shared" si="13"/>
        <v>100</v>
      </c>
      <c r="V30" s="1572" t="s">
        <v>11</v>
      </c>
      <c r="W30" s="1573">
        <f t="shared" si="14"/>
        <v>100</v>
      </c>
      <c r="X30" s="1566"/>
      <c r="Y30" s="3436"/>
      <c r="Z30" s="1574">
        <f t="shared" si="15"/>
        <v>111</v>
      </c>
      <c r="AA30" s="1575">
        <f t="shared" si="3"/>
        <v>1</v>
      </c>
      <c r="AB30" s="1575">
        <f t="shared" si="4"/>
        <v>1</v>
      </c>
      <c r="AC30" s="1575">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36"/>
      <c r="Q31" s="1571">
        <f t="shared" si="11"/>
        <v>111</v>
      </c>
      <c r="R31" s="1572" t="s">
        <v>11</v>
      </c>
      <c r="S31" s="1573">
        <f t="shared" si="12"/>
        <v>100</v>
      </c>
      <c r="T31" s="1572" t="s">
        <v>11</v>
      </c>
      <c r="U31" s="1573">
        <f t="shared" si="13"/>
        <v>100</v>
      </c>
      <c r="V31" s="1572" t="s">
        <v>11</v>
      </c>
      <c r="W31" s="1573">
        <f t="shared" si="14"/>
        <v>100</v>
      </c>
      <c r="X31" s="1566"/>
      <c r="Y31" s="3436"/>
      <c r="Z31" s="1574">
        <f t="shared" si="15"/>
        <v>111</v>
      </c>
      <c r="AA31" s="1575">
        <f t="shared" si="3"/>
        <v>1</v>
      </c>
      <c r="AB31" s="1575">
        <f t="shared" si="4"/>
        <v>1</v>
      </c>
      <c r="AC31" s="1575">
        <f t="shared" si="5"/>
        <v>1</v>
      </c>
    </row>
    <row r="32" spans="1:29" ht="15">
      <c r="A32" s="2930" t="s">
        <v>2761</v>
      </c>
      <c r="B32" s="172" t="s">
        <v>726</v>
      </c>
      <c r="C32" s="879" t="s">
        <v>3248</v>
      </c>
      <c r="D32" s="598">
        <v>100</v>
      </c>
      <c r="E32" s="880" t="s">
        <v>3250</v>
      </c>
      <c r="F32" s="576">
        <f>SUMIF(100:100,E32,101:101)-SUMIF(100:100,C32,101:101)+100</f>
        <v>97</v>
      </c>
      <c r="G32" s="880" t="s">
        <v>3250</v>
      </c>
      <c r="H32" s="598">
        <f>SUMIF(100:100,G32,101:101)-SUMIF(100:100,C32,101:101)+100</f>
        <v>97</v>
      </c>
      <c r="I32" s="880" t="s">
        <v>3250</v>
      </c>
      <c r="J32" s="541">
        <f>SUMIF(100:100,I32,101:101)-SUMIF(100:100,C32,101:101)+100</f>
        <v>97</v>
      </c>
      <c r="K32" s="3187">
        <v>3</v>
      </c>
      <c r="L32" s="2141"/>
      <c r="M32" s="2133"/>
      <c r="N32" s="2133"/>
      <c r="O32" s="2140"/>
      <c r="P32" s="3437" t="s">
        <v>551</v>
      </c>
      <c r="Q32" s="1571" t="str">
        <f t="shared" si="11"/>
        <v>建筑类型</v>
      </c>
      <c r="R32" s="1572" t="s">
        <v>11</v>
      </c>
      <c r="S32" s="1573">
        <f t="shared" si="12"/>
        <v>97</v>
      </c>
      <c r="T32" s="1572" t="s">
        <v>11</v>
      </c>
      <c r="U32" s="1573">
        <f t="shared" si="13"/>
        <v>97</v>
      </c>
      <c r="V32" s="1572" t="s">
        <v>11</v>
      </c>
      <c r="W32" s="1573">
        <f t="shared" si="14"/>
        <v>97</v>
      </c>
      <c r="X32" s="1566"/>
      <c r="Y32" s="3438" t="s">
        <v>551</v>
      </c>
      <c r="Z32" s="1574" t="str">
        <f t="shared" si="15"/>
        <v>建筑类型</v>
      </c>
      <c r="AA32" s="1575">
        <f t="shared" si="3"/>
        <v>1.0309278350515463</v>
      </c>
      <c r="AB32" s="1575">
        <f t="shared" si="4"/>
        <v>1.0309278350515463</v>
      </c>
      <c r="AC32" s="1575">
        <f t="shared" si="5"/>
        <v>1.0309278350515463</v>
      </c>
    </row>
    <row r="33" spans="1:29" s="1338" customFormat="1" ht="15" hidden="1">
      <c r="A33" s="604"/>
      <c r="B33" s="530" t="s">
        <v>727</v>
      </c>
      <c r="C33" s="881"/>
      <c r="D33" s="255">
        <v>100</v>
      </c>
      <c r="E33" s="535"/>
      <c r="F33" s="864">
        <f>LOOKUP(E33,103:103,104:104)-LOOKUP(C33,103:103,104:104)+100</f>
        <v>100</v>
      </c>
      <c r="G33" s="534"/>
      <c r="H33" s="255">
        <f>LOOKUP(G33,103:103,104:104)-LOOKUP(C33,103:103,104:104)+100</f>
        <v>100</v>
      </c>
      <c r="I33" s="535"/>
      <c r="J33" s="255">
        <f>LOOKUP(I33,103:103,104:104)-LOOKUP(C33,103:103,104:104)+100</f>
        <v>100</v>
      </c>
      <c r="K33" s="866"/>
      <c r="L33" s="2139"/>
      <c r="M33" s="2170"/>
      <c r="N33" s="2170"/>
      <c r="O33" s="2142"/>
      <c r="P33" s="3438"/>
      <c r="Q33" s="1604" t="str">
        <f t="shared" si="11"/>
        <v>项目建筑规模</v>
      </c>
      <c r="R33" s="1576" t="s">
        <v>11</v>
      </c>
      <c r="S33" s="1577">
        <f t="shared" si="12"/>
        <v>100</v>
      </c>
      <c r="T33" s="1576" t="s">
        <v>11</v>
      </c>
      <c r="U33" s="1577">
        <f t="shared" si="13"/>
        <v>100</v>
      </c>
      <c r="V33" s="1576" t="s">
        <v>11</v>
      </c>
      <c r="W33" s="1577">
        <f t="shared" si="14"/>
        <v>100</v>
      </c>
      <c r="X33" s="1578"/>
      <c r="Y33" s="3438"/>
      <c r="Z33" s="1579" t="str">
        <f t="shared" si="15"/>
        <v>项目建筑规模</v>
      </c>
      <c r="AA33" s="1575">
        <f t="shared" si="3"/>
        <v>1</v>
      </c>
      <c r="AB33" s="1575">
        <f t="shared" si="4"/>
        <v>1</v>
      </c>
      <c r="AC33" s="1575">
        <f t="shared" si="5"/>
        <v>1</v>
      </c>
    </row>
    <row r="34" spans="1:29" ht="15">
      <c r="A34" s="595"/>
      <c r="B34" s="530" t="s">
        <v>728</v>
      </c>
      <c r="C34" s="882" t="s">
        <v>2989</v>
      </c>
      <c r="D34" s="541">
        <v>100</v>
      </c>
      <c r="E34" s="882" t="s">
        <v>2989</v>
      </c>
      <c r="F34" s="576">
        <f>SUMIF(105:105,E34,106:106)-SUMIF(105:105,C34,106:106)+100</f>
        <v>100</v>
      </c>
      <c r="G34" s="882" t="s">
        <v>2989</v>
      </c>
      <c r="H34" s="541">
        <f>SUMIF(105:105,G34,106:106)-SUMIF(105:105,C34,106:106)+100</f>
        <v>100</v>
      </c>
      <c r="I34" s="882" t="s">
        <v>2989</v>
      </c>
      <c r="J34" s="541">
        <f>SUMIF(105:105,I34,106:106)-SUMIF(105:105,C34,106:106)+100</f>
        <v>100</v>
      </c>
      <c r="K34" s="865">
        <v>1</v>
      </c>
      <c r="L34" s="2141"/>
      <c r="M34" s="2133"/>
      <c r="N34" s="2133"/>
      <c r="O34" s="2140"/>
      <c r="P34" s="3438"/>
      <c r="Q34" s="1571" t="str">
        <f t="shared" si="11"/>
        <v>建筑结构</v>
      </c>
      <c r="R34" s="1572" t="s">
        <v>11</v>
      </c>
      <c r="S34" s="1573">
        <f t="shared" si="12"/>
        <v>100</v>
      </c>
      <c r="T34" s="1572" t="s">
        <v>11</v>
      </c>
      <c r="U34" s="1573">
        <f t="shared" si="13"/>
        <v>100</v>
      </c>
      <c r="V34" s="1572" t="s">
        <v>11</v>
      </c>
      <c r="W34" s="1573">
        <f t="shared" si="14"/>
        <v>100</v>
      </c>
      <c r="X34" s="1566"/>
      <c r="Y34" s="3438"/>
      <c r="Z34" s="1574" t="str">
        <f t="shared" si="15"/>
        <v>建筑结构</v>
      </c>
      <c r="AA34" s="1575">
        <f t="shared" si="3"/>
        <v>1</v>
      </c>
      <c r="AB34" s="1575">
        <f t="shared" si="4"/>
        <v>1</v>
      </c>
      <c r="AC34" s="1575">
        <f t="shared" si="5"/>
        <v>1</v>
      </c>
    </row>
    <row r="35" spans="1:29" ht="15" hidden="1">
      <c r="A35" s="595"/>
      <c r="B35" s="530" t="s">
        <v>729</v>
      </c>
      <c r="C35" s="600" t="s">
        <v>3036</v>
      </c>
      <c r="D35" s="541">
        <v>100</v>
      </c>
      <c r="E35" s="600" t="s">
        <v>3036</v>
      </c>
      <c r="F35" s="576">
        <f>SUMIF(107:107,E35,108:108)-SUMIF(107:107,C35,108:108)+100</f>
        <v>100</v>
      </c>
      <c r="G35" s="600" t="s">
        <v>3036</v>
      </c>
      <c r="H35" s="541">
        <f>SUMIF(107:107,G35,108:108)-SUMIF(107:107,C35,108:108)+100</f>
        <v>100</v>
      </c>
      <c r="I35" s="600" t="s">
        <v>3036</v>
      </c>
      <c r="J35" s="541">
        <f>SUMIF(107:107,I35,108:108)-SUMIF(107:107,C35,108:108)+100</f>
        <v>100</v>
      </c>
      <c r="K35" s="865">
        <v>1</v>
      </c>
      <c r="L35" s="2141"/>
      <c r="M35" s="2133"/>
      <c r="N35" s="2133"/>
      <c r="O35" s="2140"/>
      <c r="P35" s="3438"/>
      <c r="Q35" s="1571" t="str">
        <f t="shared" si="11"/>
        <v>建筑品质</v>
      </c>
      <c r="R35" s="1572" t="s">
        <v>11</v>
      </c>
      <c r="S35" s="1573">
        <f t="shared" si="12"/>
        <v>100</v>
      </c>
      <c r="T35" s="1572" t="s">
        <v>11</v>
      </c>
      <c r="U35" s="1573">
        <f t="shared" si="13"/>
        <v>100</v>
      </c>
      <c r="V35" s="1572" t="s">
        <v>11</v>
      </c>
      <c r="W35" s="1573">
        <f t="shared" si="14"/>
        <v>100</v>
      </c>
      <c r="X35" s="1566"/>
      <c r="Y35" s="3438"/>
      <c r="Z35" s="1574" t="str">
        <f t="shared" si="15"/>
        <v>建筑品质</v>
      </c>
      <c r="AA35" s="1575">
        <f t="shared" si="3"/>
        <v>1</v>
      </c>
      <c r="AB35" s="1575">
        <f t="shared" si="4"/>
        <v>1</v>
      </c>
      <c r="AC35" s="1575">
        <f t="shared" si="5"/>
        <v>1</v>
      </c>
    </row>
    <row r="36" spans="1:29" ht="15">
      <c r="A36" s="595"/>
      <c r="B36" s="530" t="s">
        <v>730</v>
      </c>
      <c r="C36" s="600" t="s">
        <v>3041</v>
      </c>
      <c r="D36" s="541">
        <v>100</v>
      </c>
      <c r="E36" s="600" t="s">
        <v>3041</v>
      </c>
      <c r="F36" s="576">
        <f>SUMIF(109:109,E36,110:110)-SUMIF(109:109,C36,110:110)+100</f>
        <v>100</v>
      </c>
      <c r="G36" s="600" t="s">
        <v>3041</v>
      </c>
      <c r="H36" s="541">
        <f>SUMIF(109:109,G36,110:110)-SUMIF(109:109,C36,110:110)+100</f>
        <v>100</v>
      </c>
      <c r="I36" s="600" t="s">
        <v>3041</v>
      </c>
      <c r="J36" s="541">
        <f>SUMIF(109:109,I36,110:110)-SUMIF(109:109,C36,110:110)+100</f>
        <v>100</v>
      </c>
      <c r="K36" s="865">
        <v>1</v>
      </c>
      <c r="L36" s="2141"/>
      <c r="M36" s="2133"/>
      <c r="N36" s="2133"/>
      <c r="O36" s="2140"/>
      <c r="P36" s="3438"/>
      <c r="Q36" s="1571" t="str">
        <f t="shared" si="11"/>
        <v>公共部分装修</v>
      </c>
      <c r="R36" s="1572" t="s">
        <v>11</v>
      </c>
      <c r="S36" s="1573">
        <f t="shared" si="12"/>
        <v>100</v>
      </c>
      <c r="T36" s="1572" t="s">
        <v>11</v>
      </c>
      <c r="U36" s="1573">
        <f t="shared" si="13"/>
        <v>100</v>
      </c>
      <c r="V36" s="1572" t="s">
        <v>11</v>
      </c>
      <c r="W36" s="1573">
        <f t="shared" si="14"/>
        <v>100</v>
      </c>
      <c r="X36" s="1566"/>
      <c r="Y36" s="3438"/>
      <c r="Z36" s="1574" t="str">
        <f t="shared" si="15"/>
        <v>公共部分装修</v>
      </c>
      <c r="AA36" s="1575">
        <f t="shared" si="3"/>
        <v>1</v>
      </c>
      <c r="AB36" s="1575">
        <f t="shared" si="4"/>
        <v>1</v>
      </c>
      <c r="AC36" s="1575">
        <f t="shared" si="5"/>
        <v>1</v>
      </c>
    </row>
    <row r="37" spans="1:29" s="1219" customFormat="1" ht="15" hidden="1">
      <c r="A37" s="601"/>
      <c r="B37" s="530" t="s">
        <v>731</v>
      </c>
      <c r="C37" s="884">
        <v>1</v>
      </c>
      <c r="D37" s="255">
        <v>100</v>
      </c>
      <c r="E37" s="885">
        <v>1</v>
      </c>
      <c r="F37" s="864">
        <f>LOOKUP(E37,112:112,113:113)-LOOKUP(C37,112:112,113:113)+100</f>
        <v>100</v>
      </c>
      <c r="G37" s="886">
        <v>1</v>
      </c>
      <c r="H37" s="255">
        <f>LOOKUP(G37,112:112,113:113)-LOOKUP(C37,112:112,113:113)+100</f>
        <v>100</v>
      </c>
      <c r="I37" s="885">
        <v>1</v>
      </c>
      <c r="J37" s="255">
        <f>LOOKUP(I37,112:112,113:113)-LOOKUP(C37,112:112,113:113)+100</f>
        <v>100</v>
      </c>
      <c r="K37" s="865">
        <v>1</v>
      </c>
      <c r="L37" s="2134"/>
      <c r="M37" s="2135"/>
      <c r="N37" s="2135"/>
      <c r="O37" s="2136"/>
      <c r="P37" s="3438"/>
      <c r="Q37" s="1150" t="str">
        <f t="shared" si="11"/>
        <v>成新度</v>
      </c>
      <c r="R37" s="1567" t="s">
        <v>11</v>
      </c>
      <c r="S37" s="1568">
        <f t="shared" si="12"/>
        <v>100</v>
      </c>
      <c r="T37" s="1567" t="s">
        <v>11</v>
      </c>
      <c r="U37" s="1568">
        <f t="shared" si="13"/>
        <v>100</v>
      </c>
      <c r="V37" s="1567" t="s">
        <v>11</v>
      </c>
      <c r="W37" s="1568">
        <f t="shared" si="14"/>
        <v>100</v>
      </c>
      <c r="X37" s="1569"/>
      <c r="Y37" s="3438"/>
      <c r="Z37" s="1149" t="str">
        <f t="shared" si="15"/>
        <v>成新度</v>
      </c>
      <c r="AA37" s="1570">
        <f t="shared" si="3"/>
        <v>1</v>
      </c>
      <c r="AB37" s="1570">
        <f t="shared" si="4"/>
        <v>1</v>
      </c>
      <c r="AC37" s="1570">
        <f t="shared" si="5"/>
        <v>1</v>
      </c>
    </row>
    <row r="38" spans="1:29" ht="15" hidden="1">
      <c r="A38" s="595"/>
      <c r="B38" s="530" t="s">
        <v>732</v>
      </c>
      <c r="C38" s="600" t="s">
        <v>3045</v>
      </c>
      <c r="D38" s="541">
        <v>100</v>
      </c>
      <c r="E38" s="600" t="s">
        <v>3045</v>
      </c>
      <c r="F38" s="576">
        <f>SUMIF(114:114,E38,115:115)-SUMIF(114:114,C38,115:115)+100</f>
        <v>100</v>
      </c>
      <c r="G38" s="600" t="s">
        <v>3045</v>
      </c>
      <c r="H38" s="541">
        <f>SUMIF(114:114,G38,115:115)-SUMIF(114:114,C38,115:115)+100</f>
        <v>100</v>
      </c>
      <c r="I38" s="600" t="s">
        <v>3045</v>
      </c>
      <c r="J38" s="541">
        <f>SUMIF(114:114,I38,115:115)-SUMIF(114:114,C38,115:115)+100</f>
        <v>100</v>
      </c>
      <c r="K38" s="865">
        <v>1</v>
      </c>
      <c r="L38" s="2141"/>
      <c r="M38" s="2133"/>
      <c r="N38" s="2133"/>
      <c r="O38" s="2140"/>
      <c r="P38" s="3438" t="s">
        <v>551</v>
      </c>
      <c r="Q38" s="1571" t="str">
        <f t="shared" si="11"/>
        <v>物业管理</v>
      </c>
      <c r="R38" s="1572" t="s">
        <v>11</v>
      </c>
      <c r="S38" s="1573">
        <f t="shared" si="12"/>
        <v>100</v>
      </c>
      <c r="T38" s="1572" t="s">
        <v>11</v>
      </c>
      <c r="U38" s="1573">
        <f t="shared" si="13"/>
        <v>100</v>
      </c>
      <c r="V38" s="1572" t="s">
        <v>11</v>
      </c>
      <c r="W38" s="1573">
        <f t="shared" si="14"/>
        <v>100</v>
      </c>
      <c r="X38" s="1566"/>
      <c r="Y38" s="3438" t="s">
        <v>551</v>
      </c>
      <c r="Z38" s="1574" t="str">
        <f t="shared" si="15"/>
        <v>物业管理</v>
      </c>
      <c r="AA38" s="1575">
        <f t="shared" si="3"/>
        <v>1</v>
      </c>
      <c r="AB38" s="1575">
        <f t="shared" si="4"/>
        <v>1</v>
      </c>
      <c r="AC38" s="1575">
        <f t="shared" si="5"/>
        <v>1</v>
      </c>
    </row>
    <row r="39" spans="1:29" ht="15">
      <c r="A39" s="595"/>
      <c r="B39" s="1895" t="s">
        <v>2568</v>
      </c>
      <c r="C39" s="3202" t="s">
        <v>3017</v>
      </c>
      <c r="D39" s="541">
        <v>100</v>
      </c>
      <c r="E39" s="875" t="s">
        <v>3017</v>
      </c>
      <c r="F39" s="576">
        <f>SUMIF(116:116,E39,117:117)-SUMIF(116:116,C39,117:117)+100</f>
        <v>100</v>
      </c>
      <c r="G39" s="875" t="s">
        <v>3017</v>
      </c>
      <c r="H39" s="541">
        <f>SUMIF(116:116,G39,117:117)-SUMIF(116:116,C39,117:117)+100</f>
        <v>100</v>
      </c>
      <c r="I39" s="875" t="s">
        <v>3017</v>
      </c>
      <c r="J39" s="541">
        <f>SUMIF(116:116,I39,117:117)-SUMIF(116:116,C39,117:117)+100</f>
        <v>100</v>
      </c>
      <c r="K39" s="865">
        <v>1</v>
      </c>
      <c r="L39" s="2141"/>
      <c r="M39" s="2133"/>
      <c r="N39" s="2133"/>
      <c r="O39" s="2140"/>
      <c r="P39" s="3438"/>
      <c r="Q39" s="1571" t="str">
        <f t="shared" si="11"/>
        <v>市政基础设施</v>
      </c>
      <c r="R39" s="1572" t="s">
        <v>11</v>
      </c>
      <c r="S39" s="1573">
        <f t="shared" si="12"/>
        <v>100</v>
      </c>
      <c r="T39" s="1572" t="s">
        <v>11</v>
      </c>
      <c r="U39" s="1573">
        <f t="shared" si="13"/>
        <v>100</v>
      </c>
      <c r="V39" s="1572" t="s">
        <v>11</v>
      </c>
      <c r="W39" s="1573">
        <f t="shared" si="14"/>
        <v>100</v>
      </c>
      <c r="X39" s="1566"/>
      <c r="Y39" s="3438"/>
      <c r="Z39" s="1574" t="str">
        <f t="shared" si="15"/>
        <v>市政基础设施</v>
      </c>
      <c r="AA39" s="1575">
        <f t="shared" si="3"/>
        <v>1</v>
      </c>
      <c r="AB39" s="1575">
        <f t="shared" si="4"/>
        <v>1</v>
      </c>
      <c r="AC39" s="1575">
        <f t="shared" si="5"/>
        <v>1</v>
      </c>
    </row>
    <row r="40" spans="1:29" ht="15" hidden="1">
      <c r="A40" s="595"/>
      <c r="B40" s="530" t="s">
        <v>733</v>
      </c>
      <c r="C40" s="600" t="s">
        <v>3049</v>
      </c>
      <c r="D40" s="541">
        <v>100</v>
      </c>
      <c r="E40" s="875" t="s">
        <v>3049</v>
      </c>
      <c r="F40" s="576">
        <f>SUMIF(118:118,E40,119:119)-SUMIF(118:118,C40,119:119)+100</f>
        <v>100</v>
      </c>
      <c r="G40" s="600" t="s">
        <v>3049</v>
      </c>
      <c r="H40" s="541">
        <f>SUMIF(118:118,G40,119:119)-SUMIF(118:118,C40,119:119)+100</f>
        <v>100</v>
      </c>
      <c r="I40" s="600" t="s">
        <v>3049</v>
      </c>
      <c r="J40" s="541">
        <f>SUMIF(118:118,I40,119:119)-SUMIF(118:118,C40,119:119)+100</f>
        <v>100</v>
      </c>
      <c r="K40" s="865">
        <v>1</v>
      </c>
      <c r="L40" s="2141"/>
      <c r="M40" s="2133"/>
      <c r="N40" s="2133"/>
      <c r="O40" s="2140"/>
      <c r="P40" s="3438"/>
      <c r="Q40" s="1571" t="str">
        <f t="shared" si="11"/>
        <v>房型</v>
      </c>
      <c r="R40" s="1572" t="s">
        <v>11</v>
      </c>
      <c r="S40" s="1573">
        <f t="shared" si="12"/>
        <v>100</v>
      </c>
      <c r="T40" s="1572" t="s">
        <v>11</v>
      </c>
      <c r="U40" s="1573">
        <f t="shared" si="13"/>
        <v>100</v>
      </c>
      <c r="V40" s="1572" t="s">
        <v>11</v>
      </c>
      <c r="W40" s="1573">
        <f t="shared" si="14"/>
        <v>100</v>
      </c>
      <c r="X40" s="1566"/>
      <c r="Y40" s="3438"/>
      <c r="Z40" s="1574" t="str">
        <f t="shared" si="15"/>
        <v>房型</v>
      </c>
      <c r="AA40" s="1575">
        <f t="shared" si="3"/>
        <v>1</v>
      </c>
      <c r="AB40" s="1575">
        <f t="shared" si="4"/>
        <v>1</v>
      </c>
      <c r="AC40" s="1575">
        <f t="shared" si="5"/>
        <v>1</v>
      </c>
    </row>
    <row r="41" spans="1:29" s="1338" customFormat="1" ht="28.5" hidden="1">
      <c r="A41" s="604"/>
      <c r="B41" s="530" t="s">
        <v>734</v>
      </c>
      <c r="C41" s="881"/>
      <c r="D41" s="255">
        <v>100</v>
      </c>
      <c r="E41" s="3168" t="s">
        <v>3054</v>
      </c>
      <c r="F41" s="864">
        <f>SUMIF(120:120,E41,121:121)-SUMIF(120:120,C41,121:121)+100</f>
        <v>100</v>
      </c>
      <c r="G41" s="534" t="s">
        <v>3061</v>
      </c>
      <c r="H41" s="255">
        <f>SUMIF(120:120,G41,121:121)-SUMIF(120:120,C41,121:121)+100</f>
        <v>100</v>
      </c>
      <c r="I41" s="587" t="s">
        <v>3062</v>
      </c>
      <c r="J41" s="541">
        <f>SUMIF(120:120,I41,121:121)-SUMIF(120:120,C41,121:121)+100</f>
        <v>100</v>
      </c>
      <c r="K41" s="866"/>
      <c r="L41" s="2139"/>
      <c r="M41" s="2170"/>
      <c r="N41" s="2170"/>
      <c r="O41" s="2142"/>
      <c r="P41" s="3438"/>
      <c r="Q41" s="1604" t="str">
        <f t="shared" si="11"/>
        <v>单套/主力户型建筑面积</v>
      </c>
      <c r="R41" s="1576" t="s">
        <v>11</v>
      </c>
      <c r="S41" s="1577">
        <f t="shared" si="12"/>
        <v>100</v>
      </c>
      <c r="T41" s="1576" t="s">
        <v>11</v>
      </c>
      <c r="U41" s="1577">
        <f t="shared" si="13"/>
        <v>100</v>
      </c>
      <c r="V41" s="1576" t="s">
        <v>11</v>
      </c>
      <c r="W41" s="1577">
        <f t="shared" si="14"/>
        <v>100</v>
      </c>
      <c r="X41" s="1578"/>
      <c r="Y41" s="3438"/>
      <c r="Z41" s="1579" t="str">
        <f t="shared" si="15"/>
        <v>单套/主力户型建筑面积</v>
      </c>
      <c r="AA41" s="1575">
        <f t="shared" si="3"/>
        <v>1</v>
      </c>
      <c r="AB41" s="1575">
        <f t="shared" si="4"/>
        <v>1</v>
      </c>
      <c r="AC41" s="1575">
        <f t="shared" si="5"/>
        <v>1</v>
      </c>
    </row>
    <row r="42" spans="1:29" ht="15">
      <c r="A42" s="595"/>
      <c r="B42" s="530" t="s">
        <v>735</v>
      </c>
      <c r="C42" s="600" t="s">
        <v>3039</v>
      </c>
      <c r="D42" s="541">
        <v>100</v>
      </c>
      <c r="E42" s="600" t="s">
        <v>3039</v>
      </c>
      <c r="F42" s="576">
        <f>SUMIF(122:122,E42,123:123)-SUMIF(122:122,C42,123:123)+100</f>
        <v>100</v>
      </c>
      <c r="G42" s="600" t="s">
        <v>3039</v>
      </c>
      <c r="H42" s="541">
        <f>SUMIF(122:122,G42,123:123)-SUMIF(122:122,C42,123:123)+100</f>
        <v>100</v>
      </c>
      <c r="I42" s="600" t="s">
        <v>3039</v>
      </c>
      <c r="J42" s="541">
        <f>SUMIF(122:122,I42,123:123)-SUMIF(122:122,C42,123:123)+100</f>
        <v>100</v>
      </c>
      <c r="K42" s="865">
        <v>1</v>
      </c>
      <c r="L42" s="2141"/>
      <c r="M42" s="2133"/>
      <c r="N42" s="2133"/>
      <c r="O42" s="2140"/>
      <c r="P42" s="3438"/>
      <c r="Q42" s="1571" t="str">
        <f t="shared" si="11"/>
        <v>内部装修</v>
      </c>
      <c r="R42" s="1572" t="s">
        <v>11</v>
      </c>
      <c r="S42" s="1573">
        <f t="shared" si="12"/>
        <v>100</v>
      </c>
      <c r="T42" s="1572" t="s">
        <v>11</v>
      </c>
      <c r="U42" s="1573">
        <f t="shared" si="13"/>
        <v>100</v>
      </c>
      <c r="V42" s="1572" t="s">
        <v>11</v>
      </c>
      <c r="W42" s="1573">
        <f t="shared" si="14"/>
        <v>100</v>
      </c>
      <c r="X42" s="1566"/>
      <c r="Y42" s="3438"/>
      <c r="Z42" s="1574" t="str">
        <f t="shared" si="15"/>
        <v>内部装修</v>
      </c>
      <c r="AA42" s="1575">
        <f t="shared" si="3"/>
        <v>1</v>
      </c>
      <c r="AB42" s="1575">
        <f t="shared" si="4"/>
        <v>1</v>
      </c>
      <c r="AC42" s="1575">
        <f t="shared" si="5"/>
        <v>1</v>
      </c>
    </row>
    <row r="43" spans="1:29" ht="27.75" thickBot="1">
      <c r="A43" s="595"/>
      <c r="B43" s="530" t="s">
        <v>736</v>
      </c>
      <c r="C43" s="600" t="s">
        <v>3023</v>
      </c>
      <c r="D43" s="541">
        <v>100</v>
      </c>
      <c r="E43" s="600" t="s">
        <v>3023</v>
      </c>
      <c r="F43" s="576">
        <f>SUMIF(124:124,E43,125:125)-SUMIF(124:124,C43,125:125)+100</f>
        <v>100</v>
      </c>
      <c r="G43" s="600" t="s">
        <v>3023</v>
      </c>
      <c r="H43" s="541">
        <f>SUMIF(124:124,G43,125:125)-SUMIF(124:124,C43,125:125)+100</f>
        <v>100</v>
      </c>
      <c r="I43" s="600" t="s">
        <v>3023</v>
      </c>
      <c r="J43" s="541">
        <f>SUMIF(124:124,I43,125:125)-SUMIF(124:124,C43,125:125)+100</f>
        <v>100</v>
      </c>
      <c r="K43" s="865">
        <v>1</v>
      </c>
      <c r="L43" s="2141"/>
      <c r="M43" s="2133"/>
      <c r="N43" s="2133"/>
      <c r="O43" s="2140"/>
      <c r="P43" s="3438"/>
      <c r="Q43" s="1571" t="str">
        <f t="shared" si="11"/>
        <v>内部装修维护情况</v>
      </c>
      <c r="R43" s="1572" t="s">
        <v>11</v>
      </c>
      <c r="S43" s="1573">
        <f t="shared" si="12"/>
        <v>100</v>
      </c>
      <c r="T43" s="1572" t="s">
        <v>11</v>
      </c>
      <c r="U43" s="1573">
        <f t="shared" si="13"/>
        <v>100</v>
      </c>
      <c r="V43" s="1572" t="s">
        <v>11</v>
      </c>
      <c r="W43" s="1573">
        <f t="shared" si="14"/>
        <v>100</v>
      </c>
      <c r="X43" s="1566"/>
      <c r="Y43" s="3438"/>
      <c r="Z43" s="1574" t="str">
        <f t="shared" si="15"/>
        <v>内部装修维护情况</v>
      </c>
      <c r="AA43" s="1575">
        <f t="shared" si="3"/>
        <v>1</v>
      </c>
      <c r="AB43" s="1575">
        <f t="shared" si="4"/>
        <v>1</v>
      </c>
      <c r="AC43" s="1575">
        <f t="shared" si="5"/>
        <v>1</v>
      </c>
    </row>
    <row r="44" spans="1:29" s="1219" customFormat="1" ht="15" hidden="1">
      <c r="A44" s="601"/>
      <c r="B44" s="878">
        <v>111</v>
      </c>
      <c r="C44" s="881"/>
      <c r="D44" s="255">
        <v>100</v>
      </c>
      <c r="E44" s="881"/>
      <c r="F44" s="864">
        <f>SUMIF(126:126,E44,127:127)-SUMIF(126:126,C44,127:127)+100</f>
        <v>100</v>
      </c>
      <c r="G44" s="881"/>
      <c r="H44" s="255">
        <f>SUMIF(126:126,G44,127:127)-SUMIF(126:126,C44,127:127)+100</f>
        <v>100</v>
      </c>
      <c r="I44" s="881"/>
      <c r="J44" s="255">
        <f>SUMIF(126:126,I44,127:127)-SUMIF(126:126,C44,127:127)+100</f>
        <v>100</v>
      </c>
      <c r="K44" s="866"/>
      <c r="L44" s="2134"/>
      <c r="M44" s="2135"/>
      <c r="N44" s="2135"/>
      <c r="O44" s="2136"/>
      <c r="P44" s="3438"/>
      <c r="Q44" s="1150">
        <f t="shared" si="11"/>
        <v>111</v>
      </c>
      <c r="R44" s="1567" t="s">
        <v>11</v>
      </c>
      <c r="S44" s="1568">
        <f t="shared" si="12"/>
        <v>100</v>
      </c>
      <c r="T44" s="1567" t="s">
        <v>11</v>
      </c>
      <c r="U44" s="1568">
        <f t="shared" si="13"/>
        <v>100</v>
      </c>
      <c r="V44" s="1567" t="s">
        <v>11</v>
      </c>
      <c r="W44" s="1568">
        <f t="shared" si="14"/>
        <v>100</v>
      </c>
      <c r="X44" s="1569"/>
      <c r="Y44" s="3438"/>
      <c r="Z44" s="1149">
        <f t="shared" si="15"/>
        <v>111</v>
      </c>
      <c r="AA44" s="1570">
        <f t="shared" si="3"/>
        <v>1</v>
      </c>
      <c r="AB44" s="1570">
        <f t="shared" si="4"/>
        <v>1</v>
      </c>
      <c r="AC44" s="1570">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38"/>
      <c r="Q45" s="1571">
        <f t="shared" si="11"/>
        <v>111</v>
      </c>
      <c r="R45" s="1572" t="s">
        <v>11</v>
      </c>
      <c r="S45" s="1573">
        <f t="shared" si="12"/>
        <v>100</v>
      </c>
      <c r="T45" s="1572" t="s">
        <v>11</v>
      </c>
      <c r="U45" s="1573">
        <f t="shared" si="13"/>
        <v>100</v>
      </c>
      <c r="V45" s="1572" t="s">
        <v>11</v>
      </c>
      <c r="W45" s="1573">
        <f t="shared" si="14"/>
        <v>100</v>
      </c>
      <c r="X45" s="1566"/>
      <c r="Y45" s="3438"/>
      <c r="Z45" s="1574">
        <f t="shared" si="15"/>
        <v>111</v>
      </c>
      <c r="AA45" s="1575">
        <f t="shared" si="3"/>
        <v>1</v>
      </c>
      <c r="AB45" s="1575">
        <f t="shared" si="4"/>
        <v>1</v>
      </c>
      <c r="AC45" s="1575">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513"/>
      <c r="Q46" s="1571">
        <f t="shared" si="11"/>
        <v>111</v>
      </c>
      <c r="R46" s="1572" t="s">
        <v>10</v>
      </c>
      <c r="S46" s="1573">
        <f t="shared" si="12"/>
        <v>100</v>
      </c>
      <c r="T46" s="1572" t="s">
        <v>10</v>
      </c>
      <c r="U46" s="1573">
        <f t="shared" si="13"/>
        <v>100</v>
      </c>
      <c r="V46" s="1572" t="s">
        <v>10</v>
      </c>
      <c r="W46" s="1573">
        <f t="shared" si="14"/>
        <v>100</v>
      </c>
      <c r="X46" s="1566"/>
      <c r="Y46" s="3513"/>
      <c r="Z46" s="1574">
        <f t="shared" si="15"/>
        <v>111</v>
      </c>
      <c r="AA46" s="1575">
        <f t="shared" si="3"/>
        <v>1</v>
      </c>
      <c r="AB46" s="1575">
        <f t="shared" si="4"/>
        <v>1</v>
      </c>
      <c r="AC46" s="1575">
        <f t="shared" si="5"/>
        <v>1</v>
      </c>
    </row>
    <row r="47" spans="1:29" ht="15">
      <c r="A47" s="608" t="s">
        <v>737</v>
      </c>
      <c r="B47" s="888"/>
      <c r="C47" s="2648" t="s">
        <v>9</v>
      </c>
      <c r="D47" s="2649"/>
      <c r="E47" s="2650">
        <v>7000</v>
      </c>
      <c r="F47" s="2651"/>
      <c r="G47" s="2652">
        <v>7800</v>
      </c>
      <c r="H47" s="2653"/>
      <c r="I47" s="2650">
        <v>7500</v>
      </c>
      <c r="J47" s="2653"/>
      <c r="K47" s="1605"/>
      <c r="L47" s="2143"/>
      <c r="M47" s="2144"/>
      <c r="N47" s="2133"/>
      <c r="O47" s="2144"/>
      <c r="P47" s="3433" t="str">
        <f>A47</f>
        <v>成交单价（元/平方米）</v>
      </c>
      <c r="Q47" s="3433"/>
      <c r="R47" s="3512">
        <f>E47</f>
        <v>7000</v>
      </c>
      <c r="S47" s="3512"/>
      <c r="T47" s="3512">
        <f>G47</f>
        <v>7800</v>
      </c>
      <c r="U47" s="3512"/>
      <c r="V47" s="3512">
        <f>I47</f>
        <v>7500</v>
      </c>
      <c r="W47" s="3512"/>
      <c r="X47" s="1558"/>
      <c r="Y47" s="1580"/>
      <c r="Z47" s="1558"/>
      <c r="AA47" s="1558"/>
      <c r="AB47" s="1558"/>
      <c r="AC47" s="1558"/>
    </row>
    <row r="48" spans="1:29" ht="15.75" thickBot="1">
      <c r="A48" s="616" t="s">
        <v>2766</v>
      </c>
      <c r="B48" s="889"/>
      <c r="C48" s="2654">
        <f>R49</f>
        <v>6760</v>
      </c>
      <c r="D48" s="2655"/>
      <c r="E48" s="2656">
        <f>R48</f>
        <v>6538</v>
      </c>
      <c r="F48" s="2656"/>
      <c r="G48" s="2654">
        <f>T48</f>
        <v>7006</v>
      </c>
      <c r="H48" s="2655"/>
      <c r="I48" s="2656">
        <f>V48</f>
        <v>6736</v>
      </c>
      <c r="J48" s="2655"/>
      <c r="K48" s="1606"/>
      <c r="L48" s="2143"/>
      <c r="M48" s="2144"/>
      <c r="N48" s="2144"/>
      <c r="O48" s="2144"/>
      <c r="P48" s="3433" t="str">
        <f>A48</f>
        <v>比较价格（元/平方米）</v>
      </c>
      <c r="Q48" s="3433"/>
      <c r="R48" s="3512">
        <f>IF(F1="售价",ROUND(PRODUCT(R47,AA7:AA46),0),ROUND(PRODUCT(R47,AA7:AA46),1))</f>
        <v>6538</v>
      </c>
      <c r="S48" s="3512"/>
      <c r="T48" s="3512">
        <f>IF(F1="售价",ROUND(PRODUCT(T47,AB7:AB46),0),ROUND(PRODUCT(T47,AB7:AB46),1))</f>
        <v>7006</v>
      </c>
      <c r="U48" s="3512"/>
      <c r="V48" s="3512">
        <f>IF(F1="售价",ROUND(PRODUCT(V47,AC7:AC46),0),ROUND(PRODUCT(V47,AC7:AC46),1))</f>
        <v>6736</v>
      </c>
      <c r="W48" s="3512"/>
      <c r="X48" s="1558"/>
      <c r="Y48" s="1558"/>
      <c r="Z48" s="1558"/>
      <c r="AA48" s="1558"/>
      <c r="AB48" s="1558"/>
      <c r="AC48" s="1558"/>
    </row>
    <row r="49" spans="1:29" ht="15.75" thickBot="1">
      <c r="A49" s="622" t="s">
        <v>2925</v>
      </c>
      <c r="B49" s="623"/>
      <c r="C49" s="2657">
        <f>R49</f>
        <v>6760</v>
      </c>
      <c r="D49" s="2657"/>
      <c r="E49" s="2657"/>
      <c r="F49" s="2657"/>
      <c r="G49" s="2657"/>
      <c r="H49" s="2657"/>
      <c r="I49" s="2657"/>
      <c r="J49" s="2657"/>
      <c r="K49" s="1607"/>
      <c r="L49" s="2143"/>
      <c r="M49" s="2144"/>
      <c r="N49" s="2144"/>
      <c r="O49" s="2144"/>
      <c r="P49" s="3454" t="str">
        <f>A49</f>
        <v>估价对象XX用房的比较价格（楼面单价，元/平方米）</v>
      </c>
      <c r="Q49" s="3455"/>
      <c r="R49" s="3511">
        <f>IF(F1="售价",ROUND(AVERAGE(R48:V48),0),ROUND(AVERAGE(R48:V48),1))</f>
        <v>6760</v>
      </c>
      <c r="S49" s="3511"/>
      <c r="T49" s="3511"/>
      <c r="U49" s="3511"/>
      <c r="V49" s="3511"/>
      <c r="W49" s="351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7.0663811563169254E-2</v>
      </c>
      <c r="F52" s="628" t="str">
        <f>IF(OR(E52&gt;=0.3,E52&lt;=-0.3),"超过30%","")</f>
        <v/>
      </c>
      <c r="G52" s="627">
        <f>IF(G47&lt;G48,G48/G47-1,G47/G48-1)</f>
        <v>0.11333143020268333</v>
      </c>
      <c r="H52" s="628" t="str">
        <f>IF(OR(G52&gt;=0.3,G52&lt;=-0.3),"超过30%","")</f>
        <v/>
      </c>
      <c r="I52" s="627">
        <f>IF(I47&lt;I48,I48/I47-1,I47/I48-1)</f>
        <v>0.11342042755344428</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7.1581523401651914E-2</v>
      </c>
      <c r="F53" s="628" t="str">
        <f>IF(OR(E53&gt;=0.2,E53&lt;=-0.2),"超过20%","")</f>
        <v/>
      </c>
      <c r="G53" s="627">
        <f>IF(G48&lt;I48,I48/G48-1,G48/I48-1)</f>
        <v>4.0083135391923985E-2</v>
      </c>
      <c r="H53" s="628" t="str">
        <f>IF(OR(G53&gt;=0.2,G53&lt;=-0.2),"超过20%","")</f>
        <v/>
      </c>
      <c r="I53" s="627">
        <f>IF(I48&lt;E48,E48/I48-1,I48/E48-1)</f>
        <v>3.0284490669929554E-2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f>IF(E47&lt;G47,G47/E47-1,E47/G47-1)</f>
        <v>0.11428571428571432</v>
      </c>
      <c r="F54" s="628" t="str">
        <f>IF(OR(E54&gt;=0.3,E54&lt;=-0.3),"超过30%","")</f>
        <v/>
      </c>
      <c r="G54" s="627">
        <f>IF(G47&lt;I47,I47/G47-1,G47/I47-1)</f>
        <v>4.0000000000000036E-2</v>
      </c>
      <c r="H54" s="628" t="str">
        <f>IF(OR(G54&gt;=0.3,G54&lt;=-0.3),"超过30%","")</f>
        <v/>
      </c>
      <c r="I54" s="627">
        <f>IF(I47&lt;E47,E47/I47-1,I47/E47-1)</f>
        <v>7.1428571428571397E-2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7"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f>C59-0.5</f>
        <v>99.5</v>
      </c>
      <c r="E59" s="651">
        <f t="shared" ref="E59:H59" si="17">D59-0.5</f>
        <v>99</v>
      </c>
      <c r="F59" s="651">
        <f t="shared" si="17"/>
        <v>98.5</v>
      </c>
      <c r="G59" s="651">
        <f t="shared" si="17"/>
        <v>98</v>
      </c>
      <c r="H59" s="651">
        <f t="shared" si="17"/>
        <v>97.5</v>
      </c>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8">C66-$K10</f>
        <v>99</v>
      </c>
      <c r="E66" s="680">
        <f t="shared" si="18"/>
        <v>98</v>
      </c>
      <c r="F66" s="680">
        <f t="shared" si="18"/>
        <v>97</v>
      </c>
      <c r="G66" s="680">
        <f t="shared" si="18"/>
        <v>96</v>
      </c>
      <c r="H66" s="680">
        <f t="shared" si="18"/>
        <v>95</v>
      </c>
      <c r="I66" s="680">
        <f t="shared" si="18"/>
        <v>94</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6（含）-5</v>
      </c>
      <c r="D67" s="683" t="str">
        <f t="shared" ref="D67:L67" si="19">D68&amp;"（含）"&amp;"-"&amp;E68</f>
        <v>5（含）-4</v>
      </c>
      <c r="E67" s="683" t="str">
        <f t="shared" si="19"/>
        <v>4（含）-3</v>
      </c>
      <c r="F67" s="683" t="str">
        <f t="shared" si="19"/>
        <v>3（含）-2</v>
      </c>
      <c r="G67" s="683" t="str">
        <f t="shared" si="19"/>
        <v>2（含）-1</v>
      </c>
      <c r="H67" s="683" t="str">
        <f t="shared" si="19"/>
        <v>1（含）-0</v>
      </c>
      <c r="I67" s="683" t="str">
        <f t="shared" si="19"/>
        <v>0（含）-</v>
      </c>
      <c r="J67" s="683" t="str">
        <f t="shared" si="19"/>
        <v>（含）-</v>
      </c>
      <c r="K67" s="683" t="str">
        <f t="shared" si="19"/>
        <v>（含）-</v>
      </c>
      <c r="L67" s="683" t="str">
        <f t="shared" si="19"/>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6</v>
      </c>
      <c r="D68" s="542">
        <v>5</v>
      </c>
      <c r="E68" s="542">
        <v>4</v>
      </c>
      <c r="F68" s="542">
        <v>3</v>
      </c>
      <c r="G68" s="542">
        <v>2</v>
      </c>
      <c r="H68" s="542">
        <v>1</v>
      </c>
      <c r="I68" s="542">
        <v>0</v>
      </c>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20">C69-$K11</f>
        <v>99</v>
      </c>
      <c r="E69" s="680">
        <f t="shared" si="20"/>
        <v>98</v>
      </c>
      <c r="F69" s="680">
        <f t="shared" si="20"/>
        <v>97</v>
      </c>
      <c r="G69" s="680">
        <f t="shared" si="20"/>
        <v>96</v>
      </c>
      <c r="H69" s="680">
        <f t="shared" si="20"/>
        <v>95</v>
      </c>
      <c r="I69" s="680">
        <f t="shared" si="20"/>
        <v>94</v>
      </c>
      <c r="J69" s="680">
        <f t="shared" si="20"/>
        <v>93</v>
      </c>
      <c r="K69" s="680">
        <f t="shared" si="20"/>
        <v>92</v>
      </c>
      <c r="L69" s="680">
        <f t="shared" si="20"/>
        <v>91</v>
      </c>
      <c r="M69" s="681">
        <f t="shared" si="20"/>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98</v>
      </c>
      <c r="E77" s="680">
        <f>D77-$K15</f>
        <v>96</v>
      </c>
      <c r="F77" s="680">
        <f>E77-$K15</f>
        <v>94</v>
      </c>
      <c r="G77" s="680">
        <f>F77-$K15</f>
        <v>92</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98</v>
      </c>
      <c r="E79" s="680">
        <f>D79-$K17</f>
        <v>96</v>
      </c>
      <c r="F79" s="680">
        <f>E79-$K17</f>
        <v>94</v>
      </c>
      <c r="G79" s="680">
        <f>F79-$K17</f>
        <v>92</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99</v>
      </c>
      <c r="E81" s="680">
        <f>D81-$K19</f>
        <v>98</v>
      </c>
      <c r="F81" s="680">
        <f>E81-$K19</f>
        <v>97</v>
      </c>
      <c r="G81" s="680">
        <f>F81-$K19</f>
        <v>96</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99</v>
      </c>
      <c r="E83" s="680">
        <f>D83-$K21</f>
        <v>98</v>
      </c>
      <c r="F83" s="680">
        <f>E83-$K21</f>
        <v>97</v>
      </c>
      <c r="G83" s="680">
        <f>F83-$K21</f>
        <v>96</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99</v>
      </c>
      <c r="E85" s="680">
        <f>D85-$K23</f>
        <v>98</v>
      </c>
      <c r="F85" s="680">
        <f>E85-$K23</f>
        <v>97</v>
      </c>
      <c r="G85" s="680">
        <f>F85-$K23</f>
        <v>96</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1896" t="s">
        <v>2258</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$C$87-($C$86-D86)*$K$25</f>
        <v>100</v>
      </c>
      <c r="E87" s="680">
        <f t="shared" ref="E87:M87" si="21">$C$87-($C$86-E86)*$K$25</f>
        <v>100</v>
      </c>
      <c r="F87" s="680">
        <f t="shared" si="21"/>
        <v>100</v>
      </c>
      <c r="G87" s="680">
        <f t="shared" si="21"/>
        <v>100</v>
      </c>
      <c r="H87" s="680">
        <f t="shared" si="21"/>
        <v>100</v>
      </c>
      <c r="I87" s="680">
        <f t="shared" si="21"/>
        <v>100</v>
      </c>
      <c r="J87" s="680">
        <f t="shared" si="21"/>
        <v>100</v>
      </c>
      <c r="K87" s="680">
        <f t="shared" si="21"/>
        <v>100</v>
      </c>
      <c r="L87" s="680">
        <f t="shared" si="21"/>
        <v>100</v>
      </c>
      <c r="M87" s="680">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
        <v>747</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713">
        <v>100</v>
      </c>
      <c r="D89" s="680">
        <f t="shared" ref="D89:M89" si="22">C89-$K26</f>
        <v>100</v>
      </c>
      <c r="E89" s="680">
        <f t="shared" si="22"/>
        <v>100</v>
      </c>
      <c r="F89" s="680">
        <f t="shared" si="22"/>
        <v>100</v>
      </c>
      <c r="G89" s="680">
        <f t="shared" si="22"/>
        <v>100</v>
      </c>
      <c r="H89" s="680">
        <f t="shared" si="22"/>
        <v>100</v>
      </c>
      <c r="I89" s="680">
        <f t="shared" si="22"/>
        <v>100</v>
      </c>
      <c r="J89" s="680">
        <f t="shared" si="22"/>
        <v>100</v>
      </c>
      <c r="K89" s="680">
        <f t="shared" si="22"/>
        <v>100</v>
      </c>
      <c r="L89" s="680">
        <f t="shared" si="22"/>
        <v>100</v>
      </c>
      <c r="M89" s="680">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道路级别</v>
      </c>
      <c r="C90" s="689" t="str">
        <f>'比较法-住宅、综合'!C108</f>
        <v>城市快速路</v>
      </c>
      <c r="D90" s="689" t="str">
        <f>'比较法-住宅、综合'!D108</f>
        <v>城市主干道</v>
      </c>
      <c r="E90" s="689" t="str">
        <f>'比较法-住宅、综合'!E108</f>
        <v>城市次干道</v>
      </c>
      <c r="F90" s="689" t="str">
        <f>'比较法-住宅、综合'!F108</f>
        <v>城市支路</v>
      </c>
      <c r="G90" s="3163" t="s">
        <v>3247</v>
      </c>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693">
        <v>100</v>
      </c>
      <c r="D91" s="693">
        <f>C91-1</f>
        <v>99</v>
      </c>
      <c r="E91" s="693">
        <f t="shared" ref="E91:G91" si="23">D91-1</f>
        <v>98</v>
      </c>
      <c r="F91" s="693">
        <f t="shared" si="23"/>
        <v>97</v>
      </c>
      <c r="G91" s="693">
        <f t="shared" si="23"/>
        <v>96</v>
      </c>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2" t="s">
        <v>3249</v>
      </c>
      <c r="D100" s="3162" t="s">
        <v>3251</v>
      </c>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4">C101-$K32</f>
        <v>97</v>
      </c>
      <c r="E101" s="680">
        <f t="shared" si="24"/>
        <v>94</v>
      </c>
      <c r="F101" s="680">
        <f t="shared" si="24"/>
        <v>91</v>
      </c>
      <c r="G101" s="680">
        <f t="shared" si="24"/>
        <v>88</v>
      </c>
      <c r="H101" s="680">
        <f t="shared" si="24"/>
        <v>85</v>
      </c>
      <c r="I101" s="680">
        <f t="shared" si="24"/>
        <v>82</v>
      </c>
      <c r="J101" s="680">
        <f t="shared" si="24"/>
        <v>79</v>
      </c>
      <c r="K101" s="680">
        <f t="shared" si="24"/>
        <v>76</v>
      </c>
      <c r="L101" s="680">
        <f t="shared" si="24"/>
        <v>73</v>
      </c>
      <c r="M101" s="680">
        <f t="shared" si="24"/>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0(含)-10000</v>
      </c>
      <c r="D102" s="709" t="str">
        <f t="shared" ref="D102:L102" si="25">D103&amp;"(含)"&amp;"-"&amp;E103</f>
        <v>10000(含)-20000</v>
      </c>
      <c r="E102" s="709" t="str">
        <f t="shared" si="25"/>
        <v>20000(含)-40000</v>
      </c>
      <c r="F102" s="709" t="str">
        <f t="shared" si="25"/>
        <v>40000(含)-80000</v>
      </c>
      <c r="G102" s="709" t="str">
        <f t="shared" si="25"/>
        <v>80000(含)-160000</v>
      </c>
      <c r="H102" s="709" t="str">
        <f t="shared" si="25"/>
        <v>160000(含)-320000</v>
      </c>
      <c r="I102" s="709" t="str">
        <f t="shared" si="25"/>
        <v>320000(含)-640000</v>
      </c>
      <c r="J102" s="709" t="str">
        <f t="shared" si="25"/>
        <v>640000(含)-</v>
      </c>
      <c r="K102" s="709" t="str">
        <f t="shared" si="25"/>
        <v>(含)-</v>
      </c>
      <c r="L102" s="709" t="str">
        <f t="shared" si="25"/>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f>'比较法-住宅、综合'!C119</f>
        <v>0</v>
      </c>
      <c r="D103" s="731">
        <f>'比较法-住宅、综合'!D119</f>
        <v>10000</v>
      </c>
      <c r="E103" s="731">
        <f>'比较法-住宅、综合'!E119</f>
        <v>20000</v>
      </c>
      <c r="F103" s="731">
        <f>'比较法-住宅、综合'!F119</f>
        <v>40000</v>
      </c>
      <c r="G103" s="731">
        <f>'比较法-住宅、综合'!G119</f>
        <v>80000</v>
      </c>
      <c r="H103" s="731">
        <f>'比较法-住宅、综合'!H119</f>
        <v>160000</v>
      </c>
      <c r="I103" s="731">
        <f>'比较法-住宅、综合'!I119</f>
        <v>320000</v>
      </c>
      <c r="J103" s="731">
        <f>'比较法-住宅、综合'!J119</f>
        <v>640000</v>
      </c>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v>100</v>
      </c>
      <c r="D104" s="672">
        <f>C104+1</f>
        <v>101</v>
      </c>
      <c r="E104" s="672">
        <f t="shared" ref="E104:J104" si="26">D104+1</f>
        <v>102</v>
      </c>
      <c r="F104" s="672">
        <f t="shared" si="26"/>
        <v>103</v>
      </c>
      <c r="G104" s="672">
        <f t="shared" si="26"/>
        <v>104</v>
      </c>
      <c r="H104" s="672">
        <f t="shared" si="26"/>
        <v>105</v>
      </c>
      <c r="I104" s="672">
        <f t="shared" si="26"/>
        <v>106</v>
      </c>
      <c r="J104" s="672">
        <f t="shared" si="26"/>
        <v>107</v>
      </c>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63" t="s">
        <v>3035</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7">C106-$K34</f>
        <v>99</v>
      </c>
      <c r="E106" s="680">
        <f t="shared" si="27"/>
        <v>98</v>
      </c>
      <c r="F106" s="680">
        <f t="shared" si="27"/>
        <v>97</v>
      </c>
      <c r="G106" s="680">
        <f t="shared" si="27"/>
        <v>96</v>
      </c>
      <c r="H106" s="680">
        <f t="shared" si="27"/>
        <v>95</v>
      </c>
      <c r="I106" s="680">
        <f t="shared" si="27"/>
        <v>94</v>
      </c>
      <c r="J106" s="680">
        <f t="shared" si="27"/>
        <v>93</v>
      </c>
      <c r="K106" s="680">
        <f t="shared" si="27"/>
        <v>92</v>
      </c>
      <c r="L106" s="680">
        <f t="shared" si="27"/>
        <v>91</v>
      </c>
      <c r="M106" s="680">
        <f t="shared" si="27"/>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64" t="s">
        <v>3037</v>
      </c>
      <c r="D107" s="3164" t="s">
        <v>3038</v>
      </c>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8">C108-$K35</f>
        <v>99</v>
      </c>
      <c r="E108" s="680">
        <f t="shared" si="28"/>
        <v>98</v>
      </c>
      <c r="F108" s="680">
        <f t="shared" si="28"/>
        <v>97</v>
      </c>
      <c r="G108" s="680">
        <f t="shared" si="28"/>
        <v>96</v>
      </c>
      <c r="H108" s="680">
        <f t="shared" si="28"/>
        <v>95</v>
      </c>
      <c r="I108" s="680">
        <f t="shared" si="28"/>
        <v>94</v>
      </c>
      <c r="J108" s="680">
        <f t="shared" si="28"/>
        <v>93</v>
      </c>
      <c r="K108" s="680">
        <f t="shared" si="28"/>
        <v>92</v>
      </c>
      <c r="L108" s="680">
        <f t="shared" si="28"/>
        <v>91</v>
      </c>
      <c r="M108" s="680">
        <f t="shared" si="28"/>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63" t="s">
        <v>3040</v>
      </c>
      <c r="D109" s="3163" t="s">
        <v>3042</v>
      </c>
      <c r="E109" s="3163" t="s">
        <v>3043</v>
      </c>
      <c r="F109" s="3164" t="s">
        <v>3044</v>
      </c>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9">C110-$K36</f>
        <v>99</v>
      </c>
      <c r="E110" s="680">
        <f t="shared" si="29"/>
        <v>98</v>
      </c>
      <c r="F110" s="680">
        <f t="shared" si="29"/>
        <v>97</v>
      </c>
      <c r="G110" s="680">
        <f t="shared" si="29"/>
        <v>96</v>
      </c>
      <c r="H110" s="680">
        <f t="shared" si="29"/>
        <v>95</v>
      </c>
      <c r="I110" s="680">
        <f t="shared" si="29"/>
        <v>94</v>
      </c>
      <c r="J110" s="680">
        <f t="shared" si="29"/>
        <v>93</v>
      </c>
      <c r="K110" s="680">
        <f t="shared" si="29"/>
        <v>92</v>
      </c>
      <c r="L110" s="680">
        <f t="shared" si="29"/>
        <v>91</v>
      </c>
      <c r="M110" s="680">
        <f t="shared" si="29"/>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9"/>
      <c r="B112" s="682"/>
      <c r="C112" s="895">
        <v>0.5</v>
      </c>
      <c r="D112" s="895">
        <v>0.6</v>
      </c>
      <c r="E112" s="895">
        <v>0.7</v>
      </c>
      <c r="F112" s="895">
        <v>0.8</v>
      </c>
      <c r="G112" s="895">
        <v>0.9</v>
      </c>
      <c r="H112" s="895">
        <v>1.0001</v>
      </c>
      <c r="I112" s="895"/>
      <c r="J112" s="896"/>
      <c r="K112" s="896"/>
      <c r="L112" s="897"/>
      <c r="M112" s="898"/>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63" t="s">
        <v>3046</v>
      </c>
      <c r="D114" s="3163" t="s">
        <v>3047</v>
      </c>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30">C115-$K38</f>
        <v>99</v>
      </c>
      <c r="E115" s="680">
        <f t="shared" si="30"/>
        <v>98</v>
      </c>
      <c r="F115" s="680">
        <f t="shared" si="30"/>
        <v>97</v>
      </c>
      <c r="G115" s="680">
        <f t="shared" si="30"/>
        <v>96</v>
      </c>
      <c r="H115" s="680">
        <f t="shared" si="30"/>
        <v>95</v>
      </c>
      <c r="I115" s="680">
        <f t="shared" si="30"/>
        <v>94</v>
      </c>
      <c r="J115" s="680">
        <f t="shared" si="30"/>
        <v>93</v>
      </c>
      <c r="K115" s="680">
        <f t="shared" si="30"/>
        <v>92</v>
      </c>
      <c r="L115" s="680">
        <f t="shared" si="30"/>
        <v>91</v>
      </c>
      <c r="M115" s="680">
        <f t="shared" si="30"/>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6" t="s">
        <v>2560</v>
      </c>
      <c r="C116" s="689" t="str">
        <f>'比较法-住宅、综合'!C125</f>
        <v>七通</v>
      </c>
      <c r="D116" s="689" t="str">
        <f>'比较法-住宅、综合'!D125</f>
        <v>六通</v>
      </c>
      <c r="E116" s="689" t="str">
        <f>'比较法-住宅、综合'!E125</f>
        <v>五通</v>
      </c>
      <c r="F116" s="689" t="str">
        <f>'比较法-住宅、综合'!F125</f>
        <v>四通</v>
      </c>
      <c r="G116" s="689" t="str">
        <f>'比较法-住宅、综合'!G125</f>
        <v>三通</v>
      </c>
      <c r="H116" s="3163" t="s">
        <v>3055</v>
      </c>
      <c r="I116" s="3163" t="s">
        <v>3056</v>
      </c>
      <c r="J116" s="3164" t="s">
        <v>3057</v>
      </c>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99</v>
      </c>
      <c r="E117" s="680">
        <f>D117-$K39</f>
        <v>98</v>
      </c>
      <c r="F117" s="680">
        <f>E117-$K39</f>
        <v>97</v>
      </c>
      <c r="G117" s="680">
        <f>F117-$K39</f>
        <v>96</v>
      </c>
      <c r="H117" s="680">
        <f t="shared" ref="H117:J117" si="31">G117-$K39</f>
        <v>95</v>
      </c>
      <c r="I117" s="680">
        <f t="shared" si="31"/>
        <v>94</v>
      </c>
      <c r="J117" s="680">
        <f t="shared" si="31"/>
        <v>93</v>
      </c>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64" t="s">
        <v>3048</v>
      </c>
      <c r="D118" s="3164" t="s">
        <v>3050</v>
      </c>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32">C119-$K40</f>
        <v>99</v>
      </c>
      <c r="E119" s="680">
        <f t="shared" si="32"/>
        <v>98</v>
      </c>
      <c r="F119" s="680">
        <f t="shared" si="32"/>
        <v>97</v>
      </c>
      <c r="G119" s="680">
        <f t="shared" si="32"/>
        <v>96</v>
      </c>
      <c r="H119" s="680">
        <f t="shared" si="32"/>
        <v>95</v>
      </c>
      <c r="I119" s="680">
        <f t="shared" si="32"/>
        <v>94</v>
      </c>
      <c r="J119" s="680">
        <f t="shared" si="32"/>
        <v>93</v>
      </c>
      <c r="K119" s="680">
        <f t="shared" si="32"/>
        <v>92</v>
      </c>
      <c r="L119" s="680">
        <f t="shared" si="32"/>
        <v>91</v>
      </c>
      <c r="M119" s="680">
        <f t="shared" si="32"/>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9"/>
      <c r="B120" s="674" t="s">
        <v>734</v>
      </c>
      <c r="C120" s="689"/>
      <c r="D120" s="689"/>
      <c r="E120" s="689"/>
      <c r="F120" s="689"/>
      <c r="G120" s="689"/>
      <c r="H120" s="689"/>
      <c r="I120" s="689"/>
      <c r="J120" s="689"/>
      <c r="K120" s="689"/>
      <c r="L120" s="891"/>
      <c r="M120" s="8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t="str">
        <f>C109</f>
        <v>精装修</v>
      </c>
      <c r="D122" s="689" t="str">
        <f t="shared" ref="D122:G122" si="33">D109</f>
        <v>普通装修</v>
      </c>
      <c r="E122" s="689" t="str">
        <f t="shared" si="33"/>
        <v>简单装修</v>
      </c>
      <c r="F122" s="689" t="str">
        <f t="shared" si="33"/>
        <v>毛坯</v>
      </c>
      <c r="G122" s="689">
        <f t="shared" si="33"/>
        <v>0</v>
      </c>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34">C123-$K42</f>
        <v>99</v>
      </c>
      <c r="E123" s="680">
        <f t="shared" si="34"/>
        <v>98</v>
      </c>
      <c r="F123" s="680">
        <f t="shared" si="34"/>
        <v>97</v>
      </c>
      <c r="G123" s="680">
        <f t="shared" si="34"/>
        <v>96</v>
      </c>
      <c r="H123" s="680">
        <f t="shared" si="34"/>
        <v>95</v>
      </c>
      <c r="I123" s="680">
        <f t="shared" si="34"/>
        <v>94</v>
      </c>
      <c r="J123" s="680">
        <f t="shared" si="34"/>
        <v>93</v>
      </c>
      <c r="K123" s="680">
        <f t="shared" si="34"/>
        <v>92</v>
      </c>
      <c r="L123" s="680">
        <f t="shared" si="34"/>
        <v>91</v>
      </c>
      <c r="M123" s="680">
        <f t="shared" si="34"/>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2259</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2260</v>
      </c>
      <c r="C137" s="1919"/>
      <c r="D137" s="1919"/>
      <c r="E137" s="1919"/>
      <c r="F137" s="1919"/>
      <c r="G137" s="1920"/>
      <c r="H137" s="1921"/>
      <c r="I137" s="1922" t="s">
        <v>2261</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2262</v>
      </c>
      <c r="D138" s="1925" t="s">
        <v>2263</v>
      </c>
      <c r="E138" s="1926" t="s">
        <v>2264</v>
      </c>
      <c r="F138" s="1927" t="s">
        <v>2265</v>
      </c>
      <c r="G138" s="1925" t="s">
        <v>2266</v>
      </c>
      <c r="H138" s="1928" t="s">
        <v>2267</v>
      </c>
      <c r="I138" s="1929"/>
      <c r="J138" s="1925" t="s">
        <v>2268</v>
      </c>
      <c r="K138" s="1928"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2270</v>
      </c>
      <c r="E139" s="1899">
        <v>100</v>
      </c>
      <c r="F139" s="1900">
        <v>102.5</v>
      </c>
      <c r="G139" s="1930" t="s">
        <v>2271</v>
      </c>
      <c r="H139" s="1901">
        <v>105</v>
      </c>
      <c r="I139" s="1931" t="s">
        <v>2272</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2273</v>
      </c>
      <c r="J140" s="847">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2274</v>
      </c>
      <c r="J141" s="847">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2275</v>
      </c>
      <c r="J142" s="847">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2276</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2277</v>
      </c>
      <c r="E144" s="1905">
        <v>102</v>
      </c>
      <c r="F144" s="1911">
        <v>100</v>
      </c>
      <c r="G144" s="1934" t="s">
        <v>2277</v>
      </c>
      <c r="H144" s="1907">
        <v>105</v>
      </c>
      <c r="I144" s="1933" t="s">
        <v>2276</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1" sqref="F4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2974</v>
      </c>
      <c r="D1" s="3150" t="s">
        <v>953</v>
      </c>
      <c r="E1" s="2408" t="s">
        <v>2376</v>
      </c>
      <c r="F1" s="2409">
        <f ca="1">J53</f>
        <v>39.659999999999997</v>
      </c>
      <c r="G1" s="775">
        <f>MATCH(C1,'数据-取费表'!A6:A16,0)+5</f>
        <v>7</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1728</v>
      </c>
      <c r="B2" s="776">
        <f ca="1">C40+J29+L46</f>
        <v>25063</v>
      </c>
      <c r="C2" s="2056"/>
      <c r="D2" s="2054"/>
      <c r="E2" s="2055"/>
      <c r="F2" s="2055"/>
      <c r="G2" s="1589"/>
      <c r="H2" s="2056"/>
      <c r="I2" s="2056"/>
      <c r="J2" s="2056"/>
      <c r="K2" s="2057"/>
      <c r="L2" s="2056"/>
      <c r="M2" s="2056"/>
    </row>
    <row r="3" spans="1:33" ht="18" customHeight="1" thickBot="1">
      <c r="A3" s="834" t="s">
        <v>1729</v>
      </c>
      <c r="B3" s="835">
        <f ca="1">IF(ISERROR(B2*10000/F43),0,ROUND(B2*10000/F43,0))</f>
        <v>15391</v>
      </c>
      <c r="C3" s="2056"/>
      <c r="D3" s="2054"/>
      <c r="E3" s="2055"/>
      <c r="F3" s="2055"/>
      <c r="G3" s="1589"/>
      <c r="H3" s="777" t="s">
        <v>696</v>
      </c>
      <c r="I3" s="1362"/>
      <c r="J3" s="1362"/>
      <c r="K3" s="1590"/>
      <c r="L3" s="1362"/>
      <c r="M3" s="1362"/>
    </row>
    <row r="4" spans="1:33" ht="18" customHeight="1">
      <c r="A4" s="778" t="s">
        <v>1730</v>
      </c>
      <c r="B4" s="779" t="s">
        <v>1731</v>
      </c>
      <c r="C4" s="779" t="s">
        <v>1732</v>
      </c>
      <c r="D4" s="779" t="s">
        <v>634</v>
      </c>
      <c r="E4" s="780" t="s">
        <v>1733</v>
      </c>
      <c r="F4" s="781"/>
      <c r="G4" s="1591"/>
      <c r="H4" s="778" t="s">
        <v>1734</v>
      </c>
      <c r="I4" s="779" t="s">
        <v>1735</v>
      </c>
      <c r="J4" s="779" t="s">
        <v>1736</v>
      </c>
      <c r="K4" s="779" t="s">
        <v>1737</v>
      </c>
      <c r="L4" s="780" t="s">
        <v>1738</v>
      </c>
      <c r="M4" s="781"/>
    </row>
    <row r="5" spans="1:33" ht="18" customHeight="1">
      <c r="A5" s="782">
        <v>1</v>
      </c>
      <c r="B5" s="783" t="s">
        <v>2461</v>
      </c>
      <c r="C5" s="55">
        <f ca="1">C6+C10+C12</f>
        <v>1265</v>
      </c>
      <c r="D5" s="2517" t="s">
        <v>2464</v>
      </c>
      <c r="E5" s="2511"/>
      <c r="F5" s="2512"/>
      <c r="G5" s="1591"/>
      <c r="H5" s="782">
        <v>1</v>
      </c>
      <c r="I5" s="783" t="s">
        <v>2461</v>
      </c>
      <c r="J5" s="55">
        <f ca="1">J6+J10+J12</f>
        <v>0</v>
      </c>
      <c r="K5" s="2517" t="s">
        <v>2464</v>
      </c>
      <c r="L5" s="2511"/>
      <c r="M5" s="2512"/>
    </row>
    <row r="6" spans="1:33" ht="18" customHeight="1">
      <c r="A6" s="1830" t="s">
        <v>1826</v>
      </c>
      <c r="B6" s="3494" t="s">
        <v>2466</v>
      </c>
      <c r="C6" s="784">
        <f ca="1">ROUND(F6*F8*F7*(1-F9)/10000,0)</f>
        <v>1263</v>
      </c>
      <c r="D6" s="2518" t="s">
        <v>2465</v>
      </c>
      <c r="E6" s="785" t="s">
        <v>1740</v>
      </c>
      <c r="F6" s="786">
        <f ca="1">INDIRECT("'数据-取费表'!u"&amp;$G$1)</f>
        <v>2.5</v>
      </c>
      <c r="G6" s="1591"/>
      <c r="H6" s="2525" t="s">
        <v>2472</v>
      </c>
      <c r="I6" s="3494" t="s">
        <v>2466</v>
      </c>
      <c r="J6" s="784">
        <f ca="1">ROUND(M6*M8*M7*(1-M9)/10000,0)</f>
        <v>0</v>
      </c>
      <c r="K6" s="344" t="s">
        <v>1739</v>
      </c>
      <c r="L6" s="785" t="s">
        <v>1740</v>
      </c>
      <c r="M6" s="786">
        <f ca="1">INDIRECT("'数据-取费表'!z"&amp;$G$1)</f>
        <v>0</v>
      </c>
    </row>
    <row r="7" spans="1:33" ht="18" customHeight="1">
      <c r="A7" s="2521"/>
      <c r="B7" s="3495"/>
      <c r="C7" s="789"/>
      <c r="D7" s="790"/>
      <c r="E7" s="785" t="s">
        <v>1741</v>
      </c>
      <c r="F7" s="786">
        <f ca="1">IF(INDIRECT("'数据-取费表'!ah"&amp;$G$1)="",INDIRECT("'数据-取费表'!k"&amp;$G$1),INDIRECT("'数据-取费表'!ah"&amp;$G$1))</f>
        <v>16283.900000000001</v>
      </c>
      <c r="G7" s="1591"/>
      <c r="H7" s="2510"/>
      <c r="I7" s="3495"/>
      <c r="J7" s="789"/>
      <c r="K7" s="790"/>
      <c r="L7" s="785" t="s">
        <v>1741</v>
      </c>
      <c r="M7" s="786">
        <f ca="1">F7</f>
        <v>16283.900000000001</v>
      </c>
    </row>
    <row r="8" spans="1:33" ht="18" customHeight="1">
      <c r="A8" s="2514"/>
      <c r="B8" s="3496"/>
      <c r="C8" s="789"/>
      <c r="D8" s="790"/>
      <c r="E8" s="785" t="s">
        <v>1742</v>
      </c>
      <c r="F8" s="786">
        <f ca="1">INDIRECT("'数据-取费表'!ai"&amp;$G$1)</f>
        <v>365</v>
      </c>
      <c r="G8" s="1591"/>
      <c r="H8" s="2510"/>
      <c r="I8" s="3496"/>
      <c r="J8" s="789"/>
      <c r="K8" s="790"/>
      <c r="L8" s="785" t="s">
        <v>1742</v>
      </c>
      <c r="M8" s="786">
        <f ca="1">INDIRECT("'数据-取费表'!ai"&amp;$G$1)</f>
        <v>365</v>
      </c>
    </row>
    <row r="9" spans="1:33" ht="18" customHeight="1">
      <c r="A9" s="787"/>
      <c r="B9" s="3497"/>
      <c r="C9" s="789"/>
      <c r="D9" s="790"/>
      <c r="E9" s="785" t="s">
        <v>1743</v>
      </c>
      <c r="F9" s="795">
        <f ca="1">INDIRECT("'数据-取费表'!w"&amp;$G$1)</f>
        <v>0.15</v>
      </c>
      <c r="G9" s="1591"/>
      <c r="H9" s="2526"/>
      <c r="I9" s="3496"/>
      <c r="J9" s="789"/>
      <c r="K9" s="790"/>
      <c r="L9" s="796" t="s">
        <v>1743</v>
      </c>
      <c r="M9" s="797">
        <f ca="1">INDIRECT("'数据-取费表'!ab"&amp;$G$1)</f>
        <v>0</v>
      </c>
    </row>
    <row r="10" spans="1:33" ht="18" customHeight="1">
      <c r="A10" s="1830" t="s">
        <v>2470</v>
      </c>
      <c r="B10" s="2515" t="s">
        <v>2462</v>
      </c>
      <c r="C10" s="800">
        <f ca="1">ROUND(IF(F10="押一",F6*F8*F7/12*F11,IF(F10="押二",F6*F8*F7/12*2*F11,IF(F10="押三",F6*F8*F7/12*3*F11,C11*F11)))/10000,0)</f>
        <v>2</v>
      </c>
      <c r="D10" s="2522" t="s">
        <v>2469</v>
      </c>
      <c r="E10" s="2519" t="s">
        <v>2467</v>
      </c>
      <c r="F10" s="2642" t="s">
        <v>2988</v>
      </c>
      <c r="G10" s="1591"/>
      <c r="H10" s="2582" t="s">
        <v>2473</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2468</v>
      </c>
      <c r="F11" s="797">
        <f ca="1">'数据-取费表'!B39</f>
        <v>1.4999999999999999E-2</v>
      </c>
      <c r="G11" s="1591"/>
      <c r="H11" s="2583"/>
      <c r="I11" s="2516" t="s">
        <v>2577</v>
      </c>
      <c r="J11" s="2520"/>
      <c r="K11" s="2584"/>
      <c r="L11" s="2519" t="s">
        <v>2468</v>
      </c>
      <c r="M11" s="2513">
        <f ca="1">'数据-取费表'!B39</f>
        <v>1.4999999999999999E-2</v>
      </c>
    </row>
    <row r="12" spans="1:33" ht="18" customHeight="1" thickBot="1">
      <c r="A12" s="2558" t="s">
        <v>2471</v>
      </c>
      <c r="B12" s="2559" t="s">
        <v>2463</v>
      </c>
      <c r="C12" s="2560"/>
      <c r="D12" s="2561"/>
      <c r="E12" s="2562"/>
      <c r="F12" s="2563"/>
      <c r="G12" s="1591"/>
      <c r="H12" s="2572" t="s">
        <v>2474</v>
      </c>
      <c r="I12" s="2585" t="s">
        <v>2463</v>
      </c>
      <c r="J12" s="2586"/>
      <c r="K12" s="2561"/>
      <c r="L12" s="2562"/>
      <c r="M12" s="2575"/>
    </row>
    <row r="13" spans="1:33" ht="18" customHeight="1" thickTop="1">
      <c r="A13" s="1829">
        <v>2</v>
      </c>
      <c r="B13" s="1827" t="s">
        <v>1744</v>
      </c>
      <c r="C13" s="793">
        <f ca="1">ROUND(C29*F13,0)</f>
        <v>6428</v>
      </c>
      <c r="D13" s="1834" t="s">
        <v>2298</v>
      </c>
      <c r="E13" s="1834" t="s">
        <v>1746</v>
      </c>
      <c r="F13" s="2557">
        <f ca="1">INDIRECT("'数据-取费表'!y"&amp;$G$1)</f>
        <v>1</v>
      </c>
      <c r="G13" s="1591"/>
      <c r="H13" s="1829">
        <v>2</v>
      </c>
      <c r="I13" s="1827" t="s">
        <v>1744</v>
      </c>
      <c r="J13" s="1819">
        <f ca="1">ROUND(J14*J15,0)</f>
        <v>0</v>
      </c>
      <c r="K13" s="1821" t="s">
        <v>1745</v>
      </c>
      <c r="L13" s="2573"/>
      <c r="M13" s="2574"/>
    </row>
    <row r="14" spans="1:33" ht="18" customHeight="1">
      <c r="A14" s="1647" t="s">
        <v>1886</v>
      </c>
      <c r="B14" s="785" t="s">
        <v>646</v>
      </c>
      <c r="C14" s="805">
        <f ca="1">INDIRECT("'数据-取费表'!m"&amp;$G$1)+INDIRECT("'数据-取费表'!t"&amp;$G$1)</f>
        <v>4195</v>
      </c>
      <c r="D14" s="1978" t="s">
        <v>1747</v>
      </c>
      <c r="E14" s="1979"/>
      <c r="F14" s="806"/>
      <c r="G14" s="1591"/>
      <c r="H14" s="1648" t="s">
        <v>1832</v>
      </c>
      <c r="I14" s="2230" t="s">
        <v>2832</v>
      </c>
      <c r="J14" s="53">
        <f ca="1">C29</f>
        <v>6428</v>
      </c>
      <c r="K14" s="26"/>
      <c r="L14" s="802"/>
      <c r="M14" s="803"/>
    </row>
    <row r="15" spans="1:33" s="2063" customFormat="1" ht="18" customHeight="1" thickBot="1">
      <c r="A15" s="1647" t="s">
        <v>1887</v>
      </c>
      <c r="B15" s="785" t="s">
        <v>648</v>
      </c>
      <c r="C15" s="53">
        <f ca="1">ROUND(C14*F15,0)</f>
        <v>210</v>
      </c>
      <c r="D15" s="807" t="s">
        <v>1748</v>
      </c>
      <c r="E15" s="807" t="s">
        <v>1749</v>
      </c>
      <c r="F15" s="808">
        <f>'数据-取费表'!B33</f>
        <v>0.05</v>
      </c>
      <c r="G15" s="1592"/>
      <c r="H15" s="2572" t="s">
        <v>1891</v>
      </c>
      <c r="I15" s="2567" t="s">
        <v>1746</v>
      </c>
      <c r="J15" s="2576">
        <f ca="1">INDIRECT("'数据-取费表'!ad"&amp;$G$1)</f>
        <v>0</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5" t="s">
        <v>651</v>
      </c>
      <c r="C16" s="53">
        <f ca="1">ROUND(INDIRECT("'数据-取费表'!m"&amp;$G$1)*F16,0)</f>
        <v>0</v>
      </c>
      <c r="D16" s="785" t="s">
        <v>1748</v>
      </c>
      <c r="E16" s="785" t="s">
        <v>1749</v>
      </c>
      <c r="F16" s="810">
        <f ca="1">IF(INDIRECT("'数据-取费表'!c"&amp;$G$1)="住宅",'数据-取费表'!B34,0)</f>
        <v>0</v>
      </c>
      <c r="G16" s="1591"/>
      <c r="H16" s="1829" t="s">
        <v>1750</v>
      </c>
      <c r="I16" s="1827" t="s">
        <v>1751</v>
      </c>
      <c r="J16" s="793">
        <f ca="1">ROUND(J17+J22+J23+J24,0)</f>
        <v>154</v>
      </c>
      <c r="K16" s="1821" t="s">
        <v>1752</v>
      </c>
      <c r="L16" s="2507"/>
      <c r="M16" s="2512"/>
    </row>
    <row r="17" spans="1:33" s="2063" customFormat="1" ht="18" customHeight="1">
      <c r="A17" s="1647" t="s">
        <v>1889</v>
      </c>
      <c r="B17" s="785" t="s">
        <v>654</v>
      </c>
      <c r="C17" s="53">
        <f ca="1">ROUND(F17*(F43+INDIRECT("'数据-取费表'!S"&amp;$G$1))/10000,0)</f>
        <v>338</v>
      </c>
      <c r="D17" s="785" t="s">
        <v>1753</v>
      </c>
      <c r="E17" s="785" t="s">
        <v>1754</v>
      </c>
      <c r="F17" s="56">
        <f>'数据-取费表'!B35</f>
        <v>150</v>
      </c>
      <c r="G17" s="1592"/>
      <c r="H17" s="1648" t="s">
        <v>1832</v>
      </c>
      <c r="I17" s="785" t="s">
        <v>657</v>
      </c>
      <c r="J17" s="53">
        <f ca="1">ROUND(IF(项目基本情况!B11="自然人",J5*M17,J18+J19+J20),0)</f>
        <v>58</v>
      </c>
      <c r="K17" s="2506" t="s">
        <v>1755</v>
      </c>
      <c r="L17" s="2505"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f ca="1">ROUND(C14*F18,0)</f>
        <v>63</v>
      </c>
      <c r="D18" s="785" t="s">
        <v>1748</v>
      </c>
      <c r="E18" s="785" t="s">
        <v>1749</v>
      </c>
      <c r="F18" s="810">
        <f>'数据-取费表'!B36</f>
        <v>1.4999999999999999E-2</v>
      </c>
      <c r="G18" s="1592"/>
      <c r="H18" s="1647" t="s">
        <v>1886</v>
      </c>
      <c r="I18" s="785" t="s">
        <v>1757</v>
      </c>
      <c r="J18" s="53">
        <f ca="1">ROUND(J5*M18/1.05,1)</f>
        <v>0</v>
      </c>
      <c r="K18" s="2505" t="s">
        <v>1758</v>
      </c>
      <c r="L18" s="785" t="s">
        <v>1749</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5" t="s">
        <v>663</v>
      </c>
      <c r="C19" s="53">
        <f ca="1">SUM(C14:C18)</f>
        <v>4806</v>
      </c>
      <c r="D19" s="261" t="s">
        <v>1759</v>
      </c>
      <c r="E19" s="1981"/>
      <c r="F19" s="56"/>
      <c r="G19" s="1591"/>
      <c r="H19" s="1647" t="s">
        <v>1887</v>
      </c>
      <c r="I19" s="785" t="s">
        <v>1760</v>
      </c>
      <c r="J19" s="53">
        <f ca="1">IF(K19="按租金收入计税",ROUND(J5*M19,1),ROUND(C29*F33*0.7,1))</f>
        <v>54</v>
      </c>
      <c r="K19" s="812" t="s">
        <v>666</v>
      </c>
      <c r="L19" s="785" t="s">
        <v>1749</v>
      </c>
      <c r="M19" s="810">
        <f>IF(K19="按租金收入计税",'数据-取费表'!B51,'数据-取费表'!B50)</f>
        <v>1.2E-2</v>
      </c>
    </row>
    <row r="20" spans="1:33" s="2063" customFormat="1" ht="18" customHeight="1">
      <c r="A20" s="1648" t="s">
        <v>1891</v>
      </c>
      <c r="B20" s="785" t="s">
        <v>667</v>
      </c>
      <c r="C20" s="53">
        <f ca="1">ROUND(C19*F20,0)</f>
        <v>96</v>
      </c>
      <c r="D20" s="813" t="s">
        <v>1761</v>
      </c>
      <c r="E20" s="785" t="s">
        <v>1749</v>
      </c>
      <c r="F20" s="810">
        <f>'数据-取费表'!B37</f>
        <v>0.02</v>
      </c>
      <c r="G20" s="1592"/>
      <c r="H20" s="1650" t="s">
        <v>1882</v>
      </c>
      <c r="I20" s="344" t="s">
        <v>1762</v>
      </c>
      <c r="J20" s="54">
        <f ca="1">ROUND(M20*M21/10000,0)</f>
        <v>4</v>
      </c>
      <c r="K20" s="815" t="s">
        <v>1763</v>
      </c>
      <c r="L20" s="785" t="s">
        <v>1764</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1765</v>
      </c>
      <c r="C21" s="53" t="s">
        <v>1766</v>
      </c>
      <c r="D21" s="813" t="s">
        <v>2299</v>
      </c>
      <c r="E21" s="785" t="s">
        <v>1767</v>
      </c>
      <c r="F21" s="810">
        <f>'数据-取费表'!B38</f>
        <v>0.02</v>
      </c>
      <c r="G21" s="1592"/>
      <c r="H21" s="2527"/>
      <c r="I21" s="794"/>
      <c r="J21" s="69"/>
      <c r="K21" s="817"/>
      <c r="L21" s="785" t="s">
        <v>1768</v>
      </c>
      <c r="M21" s="786">
        <f ca="1">INDIRECT("'数据-取费表'!r"&amp;$G$1)</f>
        <v>7814.92</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1981"/>
      <c r="F22" s="56"/>
      <c r="G22" s="1591"/>
      <c r="H22" s="1648" t="s">
        <v>1891</v>
      </c>
      <c r="I22" s="785" t="s">
        <v>1770</v>
      </c>
      <c r="J22" s="53">
        <f ca="1">ROUND(J14*M22,0)</f>
        <v>96</v>
      </c>
      <c r="K22" s="2505" t="s">
        <v>1771</v>
      </c>
      <c r="L22" s="785" t="s">
        <v>1749</v>
      </c>
      <c r="M22" s="818">
        <f ca="1">INDIRECT("'数据-取费表'!Ak"&amp;$G$1)</f>
        <v>1.4999999999999999E-2</v>
      </c>
    </row>
    <row r="23" spans="1:33" s="2063" customFormat="1" ht="18" customHeight="1">
      <c r="A23" s="1647" t="s">
        <v>1833</v>
      </c>
      <c r="B23" s="785" t="s">
        <v>2539</v>
      </c>
      <c r="C23" s="53">
        <f ca="1">ROUND(IF('数据-取费表'!B22&lt;=1,(C19+C20)*F24*F23/2,(C19+C20)*(POWER((1+F24),F23/2)-1)),0)</f>
        <v>293</v>
      </c>
      <c r="D23" s="2592" t="str">
        <f>IF(F23&lt;=1,"(建造成本+管理费用)×利率×(建设周期÷2)","(建造成本+管理费用)×((1+利率)^(建设周期÷2)-1)")</f>
        <v>(建造成本+管理费用)×((1+利率)^(建设周期÷2)-1)</v>
      </c>
      <c r="E23" s="785" t="s">
        <v>1772</v>
      </c>
      <c r="F23" s="641">
        <f>'数据-取费表'!B20</f>
        <v>2.5</v>
      </c>
      <c r="G23" s="1592"/>
      <c r="H23" s="1648" t="s">
        <v>1892</v>
      </c>
      <c r="I23" s="785" t="s">
        <v>680</v>
      </c>
      <c r="J23" s="53">
        <f ca="1">ROUND(J13*M23,0)</f>
        <v>0</v>
      </c>
      <c r="K23" s="2505" t="s">
        <v>1773</v>
      </c>
      <c r="L23" s="785" t="s">
        <v>1749</v>
      </c>
      <c r="M23" s="819">
        <f ca="1">INDIRECT("'数据-取费表'!Al"&amp;$G$1)</f>
        <v>1.5E-3</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1774</v>
      </c>
      <c r="C24" s="53">
        <f ca="1">ROUND(IF('数据-取费表'!B22&lt;=1,F21*F24*F23/2,F21*(POWER((1+F24),F23/2)-1)),4)</f>
        <v>1.1999999999999999E-3</v>
      </c>
      <c r="D24" s="2592" t="str">
        <f>IF(F23&lt;=1,"销售费用×利率×(建设周期÷2)","销售费用×((1+利率)^(建设周期÷2)-1)")</f>
        <v>销售费用×((1+利率)^(建设周期÷2)-1)</v>
      </c>
      <c r="E24" s="785" t="s">
        <v>1775</v>
      </c>
      <c r="F24" s="820">
        <f ca="1">'数据-取费表'!B40</f>
        <v>4.7500000000000001E-2</v>
      </c>
      <c r="G24" s="1592"/>
      <c r="H24" s="2572" t="s">
        <v>1893</v>
      </c>
      <c r="I24" s="2567" t="s">
        <v>667</v>
      </c>
      <c r="J24" s="2565">
        <f ca="1">ROUND(J5*M24,0)</f>
        <v>0</v>
      </c>
      <c r="K24" s="2566" t="s">
        <v>1776</v>
      </c>
      <c r="L24" s="2567" t="s">
        <v>1749</v>
      </c>
      <c r="M24" s="2563">
        <f ca="1">INDIRECT("'数据-取费表'!Am"&amp;$G$1)</f>
        <v>0.01</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1777</v>
      </c>
      <c r="E25" s="1981"/>
      <c r="F25" s="56"/>
      <c r="G25" s="1591"/>
      <c r="H25" s="1829" t="s">
        <v>1778</v>
      </c>
      <c r="I25" s="3032" t="s">
        <v>2828</v>
      </c>
      <c r="J25" s="793">
        <f ca="1">J5-J16</f>
        <v>-154</v>
      </c>
      <c r="K25" s="2569" t="s">
        <v>1779</v>
      </c>
      <c r="L25" s="2570"/>
      <c r="M25" s="2571"/>
    </row>
    <row r="26" spans="1:33" ht="18" customHeight="1">
      <c r="A26" s="1647" t="s">
        <v>1833</v>
      </c>
      <c r="B26" s="785" t="s">
        <v>2440</v>
      </c>
      <c r="C26" s="53">
        <f ca="1">ROUND((C19+C20)*F26,0)</f>
        <v>735</v>
      </c>
      <c r="D26" s="813" t="s">
        <v>1780</v>
      </c>
      <c r="E26" s="796" t="s">
        <v>1781</v>
      </c>
      <c r="F26" s="795">
        <f ca="1">INDIRECT("'数据-取费表'!q"&amp;$G$1)</f>
        <v>0.15</v>
      </c>
      <c r="G26" s="1591"/>
      <c r="H26" s="2523" t="s">
        <v>1782</v>
      </c>
      <c r="I26" s="2231" t="s">
        <v>2833</v>
      </c>
      <c r="J26" s="784">
        <f ca="1">IF(J5&lt;&gt;0,ROUND(J25*(1-((1+M28)/(1+M26))^M27)/(M26-M28),0),0)</f>
        <v>0</v>
      </c>
      <c r="K26" s="815" t="s">
        <v>1783</v>
      </c>
      <c r="L26" s="785" t="s">
        <v>2421</v>
      </c>
      <c r="M26" s="795">
        <f ca="1">INDIRECT("'数据-取费表'!I"&amp;$G$1)</f>
        <v>5.5E-2</v>
      </c>
    </row>
    <row r="27" spans="1:33" ht="18" customHeight="1">
      <c r="A27" s="1647" t="s">
        <v>1834</v>
      </c>
      <c r="B27" s="785" t="s">
        <v>687</v>
      </c>
      <c r="C27" s="53">
        <f ca="1">ROUND(F21*F26,4)</f>
        <v>3.0000000000000001E-3</v>
      </c>
      <c r="D27" s="813" t="s">
        <v>1784</v>
      </c>
      <c r="E27" s="807"/>
      <c r="F27" s="808"/>
      <c r="G27" s="1591"/>
      <c r="H27" s="2524"/>
      <c r="I27" s="788"/>
      <c r="J27" s="789"/>
      <c r="K27" s="822" t="s">
        <v>1785</v>
      </c>
      <c r="L27" s="785" t="s">
        <v>1786</v>
      </c>
      <c r="M27" s="823">
        <f ca="1">INDIRECT("'数据-取费表'!ag"&amp;$G$1)</f>
        <v>0</v>
      </c>
    </row>
    <row r="28" spans="1:33" s="2063" customFormat="1" ht="18" customHeight="1">
      <c r="A28" s="1649" t="s">
        <v>1843</v>
      </c>
      <c r="B28" s="785" t="s">
        <v>688</v>
      </c>
      <c r="C28" s="53">
        <f>ROUND(F28/(1+'数据-取费表'!C42),4)</f>
        <v>5.33E-2</v>
      </c>
      <c r="D28" s="813" t="s">
        <v>2300</v>
      </c>
      <c r="E28" s="785" t="s">
        <v>1787</v>
      </c>
      <c r="F28" s="810">
        <f>'数据-取费表'!B41</f>
        <v>5.6000000000000001E-2</v>
      </c>
      <c r="G28" s="1592"/>
      <c r="H28" s="1829"/>
      <c r="I28" s="792"/>
      <c r="J28" s="793"/>
      <c r="K28" s="817"/>
      <c r="L28" s="785" t="s">
        <v>1788</v>
      </c>
      <c r="M28" s="795">
        <f ca="1">INDIRECT("'数据-取费表'!aa"&amp;$G$1)</f>
        <v>0</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f ca="1">ROUND((C19+C20+C23+C26)/(1-F21-C24-C27-C28),0)</f>
        <v>6428</v>
      </c>
      <c r="D29" s="2566"/>
      <c r="E29" s="2567"/>
      <c r="F29" s="2568"/>
      <c r="G29" s="1592"/>
      <c r="H29" s="824" t="s">
        <v>1789</v>
      </c>
      <c r="I29" s="825" t="s">
        <v>1790</v>
      </c>
      <c r="J29" s="826">
        <f ca="1">ROUND(J26/(1+F40)^F41,0)</f>
        <v>0</v>
      </c>
      <c r="K29" s="827" t="s">
        <v>1791</v>
      </c>
      <c r="L29" s="828"/>
      <c r="M29" s="829">
        <f ca="1">INDIRECT("'数据-取费表'!k"&amp;$G$1)</f>
        <v>16283.900000000001</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1895</v>
      </c>
      <c r="B30" s="1827" t="s">
        <v>1792</v>
      </c>
      <c r="C30" s="793">
        <f ca="1">ROUND(C31+C36+C37+C38,0)</f>
        <v>244</v>
      </c>
      <c r="D30" s="1821" t="s">
        <v>1793</v>
      </c>
      <c r="E30" s="2507"/>
      <c r="F30" s="2512"/>
      <c r="G30" s="2061"/>
      <c r="H30" s="2064"/>
      <c r="I30" s="2065"/>
      <c r="J30" s="2066"/>
      <c r="K30" s="2067"/>
      <c r="L30" s="2068"/>
      <c r="M30" s="2069"/>
    </row>
    <row r="31" spans="1:33" ht="18" customHeight="1">
      <c r="A31" s="1648" t="s">
        <v>1832</v>
      </c>
      <c r="B31" s="785" t="s">
        <v>657</v>
      </c>
      <c r="C31" s="53">
        <f ca="1">ROUND(IF(项目基本情况!B11="自然人",C5*F31,C32+C33+C34),1)</f>
        <v>125.4</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1796</v>
      </c>
      <c r="C32" s="53">
        <f ca="1">ROUND(C5*F32/1.05,1)</f>
        <v>67.5</v>
      </c>
      <c r="D32" s="1976" t="s">
        <v>1797</v>
      </c>
      <c r="E32" s="785" t="s">
        <v>1798</v>
      </c>
      <c r="F32" s="810">
        <f>'数据-取费表'!B41</f>
        <v>5.6000000000000001E-2</v>
      </c>
      <c r="G32" s="2061"/>
      <c r="H32" s="2070"/>
      <c r="I32" s="2071"/>
      <c r="J32" s="2072"/>
      <c r="K32" s="2073"/>
      <c r="L32" s="2074"/>
      <c r="M32" s="2075"/>
    </row>
    <row r="33" spans="1:18" ht="18" customHeight="1">
      <c r="A33" s="1647" t="s">
        <v>1834</v>
      </c>
      <c r="B33" s="785" t="s">
        <v>1799</v>
      </c>
      <c r="C33" s="53">
        <f ca="1">IF(D33="按租金收入计税",ROUND(C5*F33,1),IF(D33="按房产原值计税",ROUND(C29*F33*0.7,1),INDIRECT("'数据-取费表'!Aj"&amp;$G$1)))</f>
        <v>54</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0" t="s">
        <v>1835</v>
      </c>
      <c r="B34" s="344" t="s">
        <v>1800</v>
      </c>
      <c r="C34" s="54">
        <f ca="1">ROUND(F34*F35/10000,1)</f>
        <v>3.9</v>
      </c>
      <c r="D34" s="815" t="s">
        <v>1801</v>
      </c>
      <c r="E34" s="785" t="s">
        <v>1802</v>
      </c>
      <c r="F34" s="641">
        <f>'数据-取费表'!B52</f>
        <v>5</v>
      </c>
      <c r="G34" s="2061"/>
      <c r="H34" s="2064"/>
      <c r="I34" s="836" t="s">
        <v>1815</v>
      </c>
      <c r="J34" s="837"/>
      <c r="K34" s="2079"/>
      <c r="L34" s="2078"/>
      <c r="M34" s="2078"/>
    </row>
    <row r="35" spans="1:18" ht="18" customHeight="1">
      <c r="A35" s="816"/>
      <c r="B35" s="794"/>
      <c r="C35" s="69"/>
      <c r="D35" s="817"/>
      <c r="E35" s="785" t="s">
        <v>1803</v>
      </c>
      <c r="F35" s="786">
        <f ca="1">INDIRECT("'数据-取费表'!r"&amp;$G$1)</f>
        <v>7814.92</v>
      </c>
      <c r="G35" s="2061"/>
      <c r="H35" s="2064"/>
      <c r="I35" s="838" t="s">
        <v>1816</v>
      </c>
      <c r="J35" s="839">
        <f ca="1">ROUND(C13*J36,0)</f>
        <v>0</v>
      </c>
      <c r="K35" s="2077"/>
      <c r="L35" s="2076"/>
      <c r="M35" s="2076"/>
    </row>
    <row r="36" spans="1:18" ht="18" customHeight="1">
      <c r="A36" s="1648" t="s">
        <v>1891</v>
      </c>
      <c r="B36" s="785" t="s">
        <v>1804</v>
      </c>
      <c r="C36" s="53">
        <f ca="1">ROUND(C29*F36,1)</f>
        <v>96.4</v>
      </c>
      <c r="D36" s="1976" t="s">
        <v>1805</v>
      </c>
      <c r="E36" s="785" t="s">
        <v>1798</v>
      </c>
      <c r="F36" s="818">
        <f ca="1">INDIRECT("'数据-取费表'!Ak"&amp;$G$1)</f>
        <v>1.4999999999999999E-2</v>
      </c>
      <c r="G36" s="2061"/>
      <c r="H36" s="2076"/>
      <c r="I36" s="840" t="s">
        <v>1817</v>
      </c>
      <c r="J36" s="841">
        <f ca="1">INDIRECT("'数据-取费表'!j"&amp;$G$1)</f>
        <v>0</v>
      </c>
      <c r="K36" s="2081"/>
      <c r="L36" s="2076"/>
      <c r="M36" s="2076"/>
    </row>
    <row r="37" spans="1:18" ht="18" customHeight="1">
      <c r="A37" s="1648" t="s">
        <v>1892</v>
      </c>
      <c r="B37" s="785" t="s">
        <v>680</v>
      </c>
      <c r="C37" s="53">
        <f ca="1">ROUND(C13*F37,1)</f>
        <v>9.6</v>
      </c>
      <c r="D37" s="1976" t="s">
        <v>1806</v>
      </c>
      <c r="E37" s="785" t="s">
        <v>1798</v>
      </c>
      <c r="F37" s="819">
        <f ca="1">INDIRECT("'数据-取费表'!Al"&amp;$G$1)</f>
        <v>1.5E-3</v>
      </c>
      <c r="G37" s="2061"/>
      <c r="H37" s="2076"/>
      <c r="I37" s="842" t="s">
        <v>1818</v>
      </c>
      <c r="J37" s="843"/>
      <c r="K37" s="2081"/>
      <c r="L37" s="2076"/>
      <c r="M37" s="2076"/>
    </row>
    <row r="38" spans="1:18" ht="18" customHeight="1" thickBot="1">
      <c r="A38" s="2572" t="s">
        <v>1893</v>
      </c>
      <c r="B38" s="2567" t="s">
        <v>667</v>
      </c>
      <c r="C38" s="2565">
        <f ca="1">ROUND(C5*F38,1)</f>
        <v>12.7</v>
      </c>
      <c r="D38" s="2566" t="s">
        <v>1807</v>
      </c>
      <c r="E38" s="2567" t="s">
        <v>1798</v>
      </c>
      <c r="F38" s="2563">
        <f ca="1">INDIRECT("'数据-取费表'!Am"&amp;$G$1)</f>
        <v>0.01</v>
      </c>
      <c r="G38" s="2061"/>
      <c r="H38" s="2076"/>
      <c r="I38" s="844" t="s">
        <v>1819</v>
      </c>
      <c r="J38" s="845"/>
      <c r="K38" s="2082"/>
      <c r="L38" s="2076"/>
      <c r="M38" s="2076"/>
    </row>
    <row r="39" spans="1:18" ht="24.6" customHeight="1" thickTop="1">
      <c r="A39" s="1829" t="s">
        <v>1896</v>
      </c>
      <c r="B39" s="3032" t="s">
        <v>2828</v>
      </c>
      <c r="C39" s="793">
        <f ca="1">C5-C30</f>
        <v>1021</v>
      </c>
      <c r="D39" s="2569" t="s">
        <v>1808</v>
      </c>
      <c r="E39" s="2570"/>
      <c r="F39" s="2571"/>
      <c r="G39" s="2061"/>
      <c r="H39" s="2076"/>
      <c r="I39" s="838" t="s">
        <v>1820</v>
      </c>
      <c r="J39" s="846">
        <f ca="1">ROUND(J35/C39,3)</f>
        <v>0</v>
      </c>
      <c r="K39" s="2082"/>
      <c r="L39" s="2076"/>
      <c r="M39" s="2076"/>
    </row>
    <row r="40" spans="1:18" ht="18" customHeight="1">
      <c r="A40" s="782" t="s">
        <v>1897</v>
      </c>
      <c r="B40" s="2231" t="s">
        <v>2302</v>
      </c>
      <c r="C40" s="784">
        <f ca="1">ROUND(C39*(1-((1+F42)/(1+F40))^F41)/(F40-F42),0)</f>
        <v>25063</v>
      </c>
      <c r="D40" s="815" t="s">
        <v>1809</v>
      </c>
      <c r="E40" s="785" t="s">
        <v>2421</v>
      </c>
      <c r="F40" s="795">
        <f ca="1">INDIRECT("'数据-取费表'!I"&amp;$G$1)</f>
        <v>5.5E-2</v>
      </c>
      <c r="G40" s="2061"/>
      <c r="H40" s="2061"/>
      <c r="I40" s="838" t="s">
        <v>1821</v>
      </c>
      <c r="J40" s="846">
        <f ca="1">1-J39</f>
        <v>1</v>
      </c>
      <c r="K40" s="2082"/>
      <c r="L40" s="2061"/>
      <c r="M40" s="2061"/>
    </row>
    <row r="41" spans="1:18" ht="18" customHeight="1">
      <c r="A41" s="787"/>
      <c r="B41" s="788"/>
      <c r="C41" s="789"/>
      <c r="D41" s="822" t="s">
        <v>1810</v>
      </c>
      <c r="E41" s="785" t="s">
        <v>2956</v>
      </c>
      <c r="F41" s="823">
        <f ca="1">IF(INDIRECT("'数据-取费表'!af"&amp;$G$1)=0,INDIRECT("'数据-取费表'!ae"&amp;$G$1),INDIRECT("'数据-取费表'!af"&amp;$G$1))</f>
        <v>39.659999999999997</v>
      </c>
      <c r="G41" s="2061"/>
      <c r="H41" s="1987"/>
      <c r="I41" s="844" t="s">
        <v>1822</v>
      </c>
      <c r="J41" s="847"/>
      <c r="K41" s="2081"/>
      <c r="L41" s="1987"/>
      <c r="M41" s="1987"/>
    </row>
    <row r="42" spans="1:18" ht="18" customHeight="1">
      <c r="A42" s="791"/>
      <c r="B42" s="792"/>
      <c r="C42" s="793"/>
      <c r="D42" s="817"/>
      <c r="E42" s="785" t="s">
        <v>1811</v>
      </c>
      <c r="F42" s="795">
        <f ca="1">INDIRECT("'数据-取费表'!v"&amp;$G$1)</f>
        <v>0.03</v>
      </c>
      <c r="G42" s="2061"/>
      <c r="H42" s="1987"/>
      <c r="I42" s="848" t="s">
        <v>1823</v>
      </c>
      <c r="J42" s="846">
        <f ca="1">ROUND(C13/C40,3)</f>
        <v>0.25600000000000001</v>
      </c>
      <c r="K42" s="2081"/>
      <c r="L42" s="1987"/>
      <c r="M42" s="1987"/>
    </row>
    <row r="43" spans="1:18" ht="18" customHeight="1" thickBot="1">
      <c r="A43" s="824" t="s">
        <v>1789</v>
      </c>
      <c r="B43" s="825" t="s">
        <v>1812</v>
      </c>
      <c r="C43" s="826">
        <f ca="1">ROUND(C40*10000/F43,0)</f>
        <v>15391</v>
      </c>
      <c r="D43" s="827" t="s">
        <v>1813</v>
      </c>
      <c r="E43" s="828" t="s">
        <v>1814</v>
      </c>
      <c r="F43" s="829">
        <f ca="1">INDIRECT("'数据-取费表'!k"&amp;$G$1)</f>
        <v>16283.900000000001</v>
      </c>
      <c r="G43" s="2061"/>
      <c r="H43" s="1987"/>
      <c r="I43" s="848" t="s">
        <v>1824</v>
      </c>
      <c r="J43" s="849">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f ca="1">C67-C40</f>
        <v>-27688</v>
      </c>
      <c r="D46" s="2084"/>
      <c r="E46" s="2084"/>
      <c r="F46" s="2084"/>
      <c r="I46" s="2375" t="s">
        <v>2344</v>
      </c>
      <c r="J46" s="2376"/>
      <c r="K46" s="2377"/>
      <c r="L46" s="2378" t="str">
        <f ca="1">IF(M47="住宅",0,IF(L48&gt;J51,L60,J60))</f>
        <v>0</v>
      </c>
      <c r="O46" s="2415" t="s">
        <v>2412</v>
      </c>
      <c r="P46" s="1591"/>
      <c r="Q46" s="1603"/>
      <c r="R46" s="1591"/>
    </row>
    <row r="47" spans="1:18" s="2058" customFormat="1" ht="18" customHeight="1" thickBot="1">
      <c r="A47" s="2369">
        <v>1</v>
      </c>
      <c r="B47" s="2370" t="s">
        <v>636</v>
      </c>
      <c r="C47" s="2595">
        <f ca="1">C48+C52+C54</f>
        <v>0</v>
      </c>
      <c r="D47" s="2084"/>
      <c r="E47" s="2084"/>
      <c r="F47" s="2084"/>
      <c r="I47" s="2379" t="s">
        <v>2345</v>
      </c>
      <c r="J47" s="2384" t="s">
        <v>2989</v>
      </c>
      <c r="K47" s="2385" t="s">
        <v>2351</v>
      </c>
      <c r="L47" s="2386">
        <f ca="1">INDIRECT("'数据-取费表'!d"&amp;$G$1)</f>
        <v>40</v>
      </c>
      <c r="M47" s="1603" t="str">
        <f>IF(ISNUMBER(FIND("住宅",C1)),"住宅","非住宅")</f>
        <v>非住宅</v>
      </c>
      <c r="O47" s="2416" t="s">
        <v>2377</v>
      </c>
      <c r="P47" s="2417" t="s">
        <v>2378</v>
      </c>
      <c r="Q47" s="2418" t="s">
        <v>2379</v>
      </c>
      <c r="R47" s="2417" t="s">
        <v>2380</v>
      </c>
    </row>
    <row r="48" spans="1:18" s="2058" customFormat="1" ht="18" customHeight="1" thickBot="1">
      <c r="A48" s="2664" t="s">
        <v>2541</v>
      </c>
      <c r="B48" s="2665" t="s">
        <v>2542</v>
      </c>
      <c r="C48" s="2371">
        <f ca="1">ROUND(F48*F50*F49*(1-F51)/10000,0)</f>
        <v>0</v>
      </c>
      <c r="D48" s="2372" t="s">
        <v>637</v>
      </c>
      <c r="E48" s="2373" t="s">
        <v>2297</v>
      </c>
      <c r="F48" s="2374"/>
      <c r="G48" s="2089"/>
      <c r="I48" s="2380" t="s">
        <v>2346</v>
      </c>
      <c r="J48" s="2387" t="s">
        <v>2352</v>
      </c>
      <c r="K48" s="2388" t="s">
        <v>2353</v>
      </c>
      <c r="L48" s="2389">
        <f ca="1">INDIRECT("'数据-取费表'!f"&amp;$G$1)</f>
        <v>39.659999999999997</v>
      </c>
      <c r="O48" s="2419" t="s">
        <v>2381</v>
      </c>
      <c r="P48" s="2420" t="s">
        <v>2407</v>
      </c>
      <c r="Q48" s="2421">
        <f ca="1">C40+J29</f>
        <v>25063</v>
      </c>
      <c r="R48" s="2420" t="s">
        <v>2382</v>
      </c>
    </row>
    <row r="49" spans="1:18" s="2058" customFormat="1" ht="18" customHeight="1" thickBot="1">
      <c r="A49" s="787"/>
      <c r="B49" s="788"/>
      <c r="C49" s="789"/>
      <c r="D49" s="790"/>
      <c r="E49" s="785" t="s">
        <v>1741</v>
      </c>
      <c r="F49" s="786">
        <f ca="1">F7</f>
        <v>16283.900000000001</v>
      </c>
      <c r="G49" s="2089"/>
      <c r="H49" s="2092"/>
      <c r="I49" s="2380" t="s">
        <v>2347</v>
      </c>
      <c r="J49" s="2390">
        <v>2019</v>
      </c>
      <c r="K49" s="2391" t="s">
        <v>2354</v>
      </c>
      <c r="L49" s="2392"/>
      <c r="O49" s="2419" t="s">
        <v>2383</v>
      </c>
      <c r="P49" s="2420" t="s">
        <v>2408</v>
      </c>
      <c r="Q49" s="2421" t="str">
        <f ca="1">J60</f>
        <v>0</v>
      </c>
      <c r="R49" s="2420" t="s">
        <v>2384</v>
      </c>
    </row>
    <row r="50" spans="1:18" s="2058" customFormat="1" ht="18" customHeight="1" thickBot="1">
      <c r="A50" s="787"/>
      <c r="B50" s="788"/>
      <c r="C50" s="789"/>
      <c r="D50" s="790"/>
      <c r="E50" s="785" t="s">
        <v>1742</v>
      </c>
      <c r="F50" s="786">
        <f ca="1">F8</f>
        <v>365</v>
      </c>
      <c r="G50" s="2094"/>
      <c r="H50" s="2092"/>
      <c r="I50" s="2380" t="s">
        <v>2348</v>
      </c>
      <c r="J50" s="2393">
        <f>SUMPRODUCT((I63:I65=J47)*(J62:L62=J48)*(J63:L65))</f>
        <v>60</v>
      </c>
      <c r="K50" s="2391" t="s">
        <v>2355</v>
      </c>
      <c r="L50" s="2392"/>
      <c r="O50" s="2422" t="s">
        <v>2385</v>
      </c>
      <c r="P50" s="2420" t="s">
        <v>2409</v>
      </c>
      <c r="Q50" s="2421">
        <f ca="1">C29</f>
        <v>6428</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f ca="1">ROUND(-PV(INDIRECT("'数据-取费表'!h"&amp;$G$1),L48,(C39-C13*J36),0),0)</f>
        <v>17471</v>
      </c>
      <c r="O51" s="2422" t="s">
        <v>2386</v>
      </c>
      <c r="P51" s="2420" t="s">
        <v>2387</v>
      </c>
      <c r="Q51" s="2423" t="e">
        <f ca="1">J58</f>
        <v>#VALUE!</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f ca="1">IF(M47="住宅",J51,IF(D1="——",MIN(J51,L48),IF(D1="土地（套用方法）",MIN(J51,L48-'数据-取费表'!B20))))</f>
        <v>39.659999999999997</v>
      </c>
      <c r="K53" s="3514" t="s">
        <v>2958</v>
      </c>
      <c r="L53" s="3515"/>
      <c r="O53" s="2422" t="s">
        <v>2390</v>
      </c>
      <c r="P53" s="2420" t="s">
        <v>2391</v>
      </c>
      <c r="Q53" s="2421">
        <f ca="1">J53</f>
        <v>39.659999999999997</v>
      </c>
      <c r="R53" s="2420" t="s">
        <v>2392</v>
      </c>
    </row>
    <row r="54" spans="1:18" s="2058" customFormat="1" ht="18" customHeight="1" thickBot="1">
      <c r="A54" s="2558" t="s">
        <v>2471</v>
      </c>
      <c r="B54" s="2559" t="s">
        <v>2463</v>
      </c>
      <c r="C54" s="2560"/>
      <c r="D54" s="2522"/>
      <c r="E54" s="2519"/>
      <c r="F54" s="801"/>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19" t="s">
        <v>2393</v>
      </c>
      <c r="P54" s="2420" t="s">
        <v>2410</v>
      </c>
      <c r="Q54" s="2421">
        <f ca="1">Q48+Q49</f>
        <v>25063</v>
      </c>
      <c r="R54" s="2424" t="s">
        <v>2394</v>
      </c>
    </row>
    <row r="55" spans="1:18" s="2058" customFormat="1" ht="18" customHeight="1" thickTop="1" thickBot="1">
      <c r="A55" s="798">
        <v>2</v>
      </c>
      <c r="B55" s="799" t="s">
        <v>645</v>
      </c>
      <c r="C55" s="800">
        <f ca="1">C13</f>
        <v>6428</v>
      </c>
      <c r="D55" s="796"/>
      <c r="E55" s="796"/>
      <c r="F55" s="801"/>
      <c r="I55" s="3121" t="s">
        <v>2357</v>
      </c>
      <c r="J55" s="3120" t="e">
        <f ca="1">ROUND(IF(J47="钢混",J57/J50,1-(1-2%)*(J50-J57)/J50),3)</f>
        <v>#VALUE!</v>
      </c>
      <c r="K55" s="2398" t="s">
        <v>2358</v>
      </c>
      <c r="L55" s="2399"/>
      <c r="O55" s="2425" t="s">
        <v>2413</v>
      </c>
      <c r="P55" s="1591"/>
      <c r="Q55" s="1603"/>
      <c r="R55" s="1591"/>
    </row>
    <row r="56" spans="1:18" s="2058" customFormat="1" ht="42.75" customHeight="1" thickBot="1">
      <c r="A56" s="1649"/>
      <c r="B56" s="2230" t="s">
        <v>2303</v>
      </c>
      <c r="C56" s="53">
        <f ca="1">C29</f>
        <v>6428</v>
      </c>
      <c r="D56" s="2661"/>
      <c r="E56" s="785"/>
      <c r="F56" s="810"/>
      <c r="I56" s="2400" t="s">
        <v>2359</v>
      </c>
      <c r="J56" s="3144" t="s">
        <v>1680</v>
      </c>
      <c r="K56" s="2380" t="s">
        <v>2364</v>
      </c>
      <c r="L56" s="2389" t="str">
        <f ca="1">IF(L48&lt;J51,"——",L48-J51)</f>
        <v>——</v>
      </c>
      <c r="O56" s="2416" t="s">
        <v>2377</v>
      </c>
      <c r="P56" s="2417" t="s">
        <v>2378</v>
      </c>
      <c r="Q56" s="2418" t="s">
        <v>2379</v>
      </c>
      <c r="R56" s="2417" t="s">
        <v>2380</v>
      </c>
    </row>
    <row r="57" spans="1:18" s="2058" customFormat="1" ht="28.5" customHeight="1" thickBot="1">
      <c r="A57" s="798" t="s">
        <v>1750</v>
      </c>
      <c r="B57" s="799" t="s">
        <v>652</v>
      </c>
      <c r="C57" s="800">
        <f ca="1">ROUND(C58+C63+C64+C65,0)</f>
        <v>164</v>
      </c>
      <c r="D57" s="26" t="s">
        <v>1752</v>
      </c>
      <c r="E57" s="2662"/>
      <c r="F57" s="56"/>
      <c r="I57" s="2401" t="s">
        <v>2360</v>
      </c>
      <c r="J57" s="2403" t="str">
        <f ca="1">IF(OR(M47="住宅",J51&lt;L48,J56="是"),"——",J51-L48)</f>
        <v>——</v>
      </c>
      <c r="K57" s="2380" t="s">
        <v>2365</v>
      </c>
      <c r="L57" s="2389" t="str">
        <f ca="1">IF(L48&lt;J51,"——",IF(L55="比较法",L49,IF(L55="基准地价",L50,L51)))</f>
        <v>——</v>
      </c>
      <c r="O57" s="2419" t="s">
        <v>2381</v>
      </c>
      <c r="P57" s="2420" t="s">
        <v>2411</v>
      </c>
      <c r="Q57" s="2421">
        <f ca="1">C40+J29</f>
        <v>25063</v>
      </c>
      <c r="R57" s="2420" t="s">
        <v>2382</v>
      </c>
    </row>
    <row r="58" spans="1:18" s="2058" customFormat="1" ht="28.5" customHeight="1" thickBot="1">
      <c r="A58" s="1648" t="s">
        <v>1826</v>
      </c>
      <c r="B58" s="785" t="s">
        <v>657</v>
      </c>
      <c r="C58" s="53">
        <f ca="1">ROUND(IF(项目基本情况!B11="自然人",C47*F58,C59+C60+C61),1)</f>
        <v>57.9</v>
      </c>
      <c r="D58" s="2660" t="s">
        <v>658</v>
      </c>
      <c r="E58" s="2661" t="s">
        <v>691</v>
      </c>
      <c r="F58" s="811" t="str">
        <f ca="1">IF(项目基本情况!B11="企业","",IF(INDIRECT("'数据-取费表'!c"&amp;$G$1)="住宅",5%,IF(F48*F49*F50/12/(1+'数据-取费表'!C42)&gt;20000,12%,7%)))</f>
        <v/>
      </c>
      <c r="I58" s="2401" t="s">
        <v>2361</v>
      </c>
      <c r="J58" s="3122" t="e">
        <f ca="1">IF(J55&lt;0.4,0.4,J55)</f>
        <v>#VALUE!</v>
      </c>
      <c r="K58" s="2380" t="s">
        <v>2366</v>
      </c>
      <c r="L58" s="2389" t="e">
        <f ca="1">ROUND(POWER(1+L52,L47-L48)*(POWER(1+L52,L48)-1)/(POWER(1+L52,L47)-1),4)</f>
        <v>#DIV/0!</v>
      </c>
      <c r="O58" s="2419" t="s">
        <v>2383</v>
      </c>
      <c r="P58" s="2420" t="s">
        <v>2414</v>
      </c>
      <c r="Q58" s="2421">
        <f ca="1">L60</f>
        <v>0</v>
      </c>
      <c r="R58" s="2424" t="s">
        <v>2416</v>
      </c>
    </row>
    <row r="59" spans="1:18" s="2058" customFormat="1" ht="28.5" customHeight="1" thickBot="1">
      <c r="A59" s="1647" t="s">
        <v>1833</v>
      </c>
      <c r="B59" s="785" t="s">
        <v>661</v>
      </c>
      <c r="C59" s="53">
        <f ca="1">ROUND(C47*F59/1.05,1)</f>
        <v>0</v>
      </c>
      <c r="D59" s="2661" t="s">
        <v>1758</v>
      </c>
      <c r="E59" s="785" t="s">
        <v>1749</v>
      </c>
      <c r="F59" s="810">
        <f t="shared" ref="F59:F65" si="0">F32</f>
        <v>5.6000000000000001E-2</v>
      </c>
      <c r="I59" s="2401" t="s">
        <v>2362</v>
      </c>
      <c r="J59" s="2403" t="str">
        <f ca="1">IF(OR(M47="住宅",J51&lt;L48,J56="是"),"——",ROUND(C29*J58,0))</f>
        <v>——</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#DIV/0!</v>
      </c>
      <c r="O59" s="2422" t="s">
        <v>2385</v>
      </c>
      <c r="P59" s="2420" t="s">
        <v>2415</v>
      </c>
      <c r="Q59" s="2421">
        <f>IF(L55="比较法",L49,IF(L55="基准地价",L50,0))</f>
        <v>0</v>
      </c>
      <c r="R59" s="2420" t="s">
        <v>2382</v>
      </c>
    </row>
    <row r="60" spans="1:18" s="2058" customFormat="1" ht="18" customHeight="1" thickBot="1">
      <c r="A60" s="1647" t="s">
        <v>1834</v>
      </c>
      <c r="B60" s="785" t="s">
        <v>1760</v>
      </c>
      <c r="C60" s="53">
        <f ca="1">IF(D60="按租金收入计税",ROUND(C47*F60,1),IF(D60="按房产原值计税",ROUND(C56*F60*0.7,1),INDIRECT("'数据-取费表'!Aj"&amp;$G$1)))</f>
        <v>54</v>
      </c>
      <c r="D60" s="2661" t="str">
        <f>D33</f>
        <v>按房产原值计税</v>
      </c>
      <c r="E60" s="785" t="s">
        <v>1749</v>
      </c>
      <c r="F60" s="810">
        <f t="shared" si="0"/>
        <v>1.2E-2</v>
      </c>
      <c r="I60" s="2402" t="s">
        <v>2363</v>
      </c>
      <c r="J60" s="2404" t="str">
        <f ca="1">IF(OR(M47="住宅",J51&lt;L48,J56="是"),"0",ROUND(J59/(1+J52)^J53,0))</f>
        <v>0</v>
      </c>
      <c r="K60" s="2405" t="s">
        <v>2368</v>
      </c>
      <c r="L60" s="2404">
        <f ca="1">IF(OR(M47="住宅",L48&lt;J51),0,ROUND(L57*(L58/L59-1),0))</f>
        <v>0</v>
      </c>
      <c r="O60" s="2422" t="s">
        <v>2386</v>
      </c>
      <c r="P60" s="2420" t="s">
        <v>2395</v>
      </c>
      <c r="Q60" s="2423">
        <f>L52</f>
        <v>0</v>
      </c>
      <c r="R60" s="2424"/>
    </row>
    <row r="61" spans="1:18" s="2058" customFormat="1" ht="18" customHeight="1" thickBot="1">
      <c r="A61" s="1650" t="s">
        <v>1835</v>
      </c>
      <c r="B61" s="344" t="s">
        <v>669</v>
      </c>
      <c r="C61" s="54">
        <f ca="1">ROUND(F61*F62/10000,1)</f>
        <v>3.9</v>
      </c>
      <c r="D61" s="815" t="s">
        <v>670</v>
      </c>
      <c r="E61" s="785" t="s">
        <v>671</v>
      </c>
      <c r="F61" s="641">
        <f t="shared" si="0"/>
        <v>5</v>
      </c>
      <c r="K61" s="2085"/>
      <c r="O61" s="2422" t="s">
        <v>2388</v>
      </c>
      <c r="P61" s="2420" t="s">
        <v>2396</v>
      </c>
      <c r="Q61" s="2421" t="e">
        <f ca="1">L58</f>
        <v>#DIV/0!</v>
      </c>
      <c r="R61" s="2424" t="s">
        <v>2397</v>
      </c>
    </row>
    <row r="62" spans="1:18" s="2058" customFormat="1" ht="15.75" thickBot="1">
      <c r="A62" s="816"/>
      <c r="B62" s="794"/>
      <c r="C62" s="69"/>
      <c r="D62" s="817"/>
      <c r="E62" s="785" t="s">
        <v>675</v>
      </c>
      <c r="F62" s="786">
        <f t="shared" ca="1" si="0"/>
        <v>7814.92</v>
      </c>
      <c r="I62" s="2406" t="s">
        <v>2369</v>
      </c>
      <c r="J62" s="2407" t="s">
        <v>2370</v>
      </c>
      <c r="K62" s="2407" t="s">
        <v>2371</v>
      </c>
      <c r="L62" s="2407" t="s">
        <v>2352</v>
      </c>
      <c r="M62" s="3123" t="s">
        <v>2933</v>
      </c>
      <c r="O62" s="2422" t="s">
        <v>2390</v>
      </c>
      <c r="P62" s="2420" t="str">
        <f>K59</f>
        <v>建筑物剩余耐用年限下的土地年期修正系数Kn</v>
      </c>
      <c r="Q62" s="2421" t="e">
        <f ca="1">L59</f>
        <v>#DIV/0!</v>
      </c>
      <c r="R62" s="2424" t="s">
        <v>2399</v>
      </c>
    </row>
    <row r="63" spans="1:18" s="2058" customFormat="1" ht="15.75" thickBot="1">
      <c r="A63" s="1648" t="s">
        <v>1891</v>
      </c>
      <c r="B63" s="785" t="s">
        <v>677</v>
      </c>
      <c r="C63" s="53">
        <f ca="1">ROUND(C56*F63,1)</f>
        <v>96.4</v>
      </c>
      <c r="D63" s="2661" t="s">
        <v>1805</v>
      </c>
      <c r="E63" s="785" t="s">
        <v>1749</v>
      </c>
      <c r="F63" s="818">
        <f t="shared" ca="1" si="0"/>
        <v>1.4999999999999999E-2</v>
      </c>
      <c r="I63" s="2406" t="s">
        <v>2372</v>
      </c>
      <c r="J63" s="2407">
        <v>70</v>
      </c>
      <c r="K63" s="2407">
        <v>50</v>
      </c>
      <c r="L63" s="2407">
        <v>80</v>
      </c>
      <c r="M63" s="3124">
        <v>0.02</v>
      </c>
      <c r="O63" s="2419" t="s">
        <v>2393</v>
      </c>
      <c r="P63" s="2420" t="s">
        <v>2410</v>
      </c>
      <c r="Q63" s="2421">
        <f ca="1">Q57+Q58</f>
        <v>25063</v>
      </c>
      <c r="R63" s="2424" t="s">
        <v>2394</v>
      </c>
    </row>
    <row r="64" spans="1:18" s="2058" customFormat="1" ht="16.5" thickBot="1">
      <c r="A64" s="1648" t="s">
        <v>1892</v>
      </c>
      <c r="B64" s="785" t="s">
        <v>680</v>
      </c>
      <c r="C64" s="53">
        <f ca="1">ROUND(C55*F64,1)</f>
        <v>9.6</v>
      </c>
      <c r="D64" s="2661" t="s">
        <v>681</v>
      </c>
      <c r="E64" s="785" t="s">
        <v>1749</v>
      </c>
      <c r="F64" s="819">
        <f t="shared" ca="1" si="0"/>
        <v>1.5E-3</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f ca="1">ROUND(C47*F65,1)</f>
        <v>0</v>
      </c>
      <c r="D65" s="2661" t="s">
        <v>684</v>
      </c>
      <c r="E65" s="785" t="s">
        <v>1749</v>
      </c>
      <c r="F65" s="795">
        <f t="shared" ca="1" si="0"/>
        <v>0.01</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f ca="1">C47-C57</f>
        <v>-164</v>
      </c>
      <c r="D66" s="2660" t="s">
        <v>701</v>
      </c>
      <c r="E66" s="2659"/>
      <c r="F66" s="821"/>
      <c r="K66" s="2085"/>
      <c r="O66" s="2419" t="s">
        <v>2381</v>
      </c>
      <c r="P66" s="2420" t="s">
        <v>2411</v>
      </c>
      <c r="Q66" s="2421">
        <f ca="1">C40+J29</f>
        <v>25063</v>
      </c>
      <c r="R66" s="2420" t="s">
        <v>2382</v>
      </c>
    </row>
    <row r="67" spans="1:18" s="2058" customFormat="1" ht="20.25" thickBot="1">
      <c r="A67" s="782" t="s">
        <v>1782</v>
      </c>
      <c r="B67" s="2231" t="s">
        <v>2302</v>
      </c>
      <c r="C67" s="784">
        <f ca="1">ROUND(C66*(1-((1+F69)/(1+F67))^F68)/(F67-F69),0)</f>
        <v>-2625</v>
      </c>
      <c r="D67" s="815" t="s">
        <v>705</v>
      </c>
      <c r="E67" s="785" t="s">
        <v>706</v>
      </c>
      <c r="F67" s="795">
        <f ca="1">F40</f>
        <v>5.5E-2</v>
      </c>
      <c r="K67" s="2085"/>
      <c r="O67" s="2419" t="s">
        <v>2383</v>
      </c>
      <c r="P67" s="2420" t="s">
        <v>2414</v>
      </c>
      <c r="Q67" s="2421">
        <f ca="1">L60</f>
        <v>0</v>
      </c>
      <c r="R67" s="2424" t="s">
        <v>2416</v>
      </c>
    </row>
    <row r="68" spans="1:18" ht="21.75" thickBot="1">
      <c r="A68" s="787"/>
      <c r="B68" s="788"/>
      <c r="C68" s="789"/>
      <c r="D68" s="822" t="s">
        <v>1810</v>
      </c>
      <c r="E68" s="785" t="s">
        <v>1786</v>
      </c>
      <c r="F68" s="823">
        <f ca="1">F41</f>
        <v>39.659999999999997</v>
      </c>
      <c r="O68" s="2422" t="s">
        <v>2385</v>
      </c>
      <c r="P68" s="2420" t="s">
        <v>2415</v>
      </c>
      <c r="Q68" s="2426">
        <f ca="1">L51</f>
        <v>17471</v>
      </c>
      <c r="R68" s="2427" t="s">
        <v>2418</v>
      </c>
    </row>
    <row r="69" spans="1:18" ht="20.25" thickBot="1">
      <c r="A69" s="791"/>
      <c r="B69" s="792"/>
      <c r="C69" s="793"/>
      <c r="D69" s="817"/>
      <c r="E69" s="785" t="s">
        <v>711</v>
      </c>
      <c r="F69" s="2368"/>
      <c r="O69" s="2422" t="s">
        <v>2386</v>
      </c>
      <c r="P69" s="2428" t="s">
        <v>2400</v>
      </c>
      <c r="Q69" s="2421">
        <f ca="1">ROUND(Q70-Q71*Q72,0)</f>
        <v>1021</v>
      </c>
      <c r="R69" s="2424"/>
    </row>
    <row r="70" spans="1:18" ht="15.75" thickBot="1">
      <c r="A70" s="824" t="s">
        <v>1789</v>
      </c>
      <c r="B70" s="825" t="s">
        <v>1812</v>
      </c>
      <c r="C70" s="826">
        <f ca="1">ROUND(C67*10000/F70,0)</f>
        <v>-1612</v>
      </c>
      <c r="D70" s="827" t="s">
        <v>1813</v>
      </c>
      <c r="E70" s="828" t="s">
        <v>1814</v>
      </c>
      <c r="F70" s="829">
        <f ca="1">F43</f>
        <v>16283.900000000001</v>
      </c>
      <c r="O70" s="2422" t="s">
        <v>2401</v>
      </c>
      <c r="P70" s="2428" t="s">
        <v>2402</v>
      </c>
      <c r="Q70" s="2421">
        <f ca="1">C39</f>
        <v>1021</v>
      </c>
      <c r="R70" s="2420" t="s">
        <v>2382</v>
      </c>
    </row>
    <row r="71" spans="1:18" ht="15.75" thickBot="1">
      <c r="O71" s="2422" t="s">
        <v>2403</v>
      </c>
      <c r="P71" s="2428" t="s">
        <v>2404</v>
      </c>
      <c r="Q71" s="2421">
        <f ca="1">C13</f>
        <v>6428</v>
      </c>
      <c r="R71" s="2420" t="s">
        <v>2382</v>
      </c>
    </row>
    <row r="72" spans="1:18" ht="15.75" thickBot="1">
      <c r="O72" s="2422" t="s">
        <v>2405</v>
      </c>
      <c r="P72" s="2428" t="s">
        <v>2406</v>
      </c>
      <c r="Q72" s="2423">
        <f ca="1">J36</f>
        <v>0</v>
      </c>
      <c r="R72" s="2424"/>
    </row>
    <row r="73" spans="1:18" ht="15.75" thickBot="1">
      <c r="O73" s="2422" t="s">
        <v>2388</v>
      </c>
      <c r="P73" s="2420" t="s">
        <v>2395</v>
      </c>
      <c r="Q73" s="2423">
        <f>L52</f>
        <v>0</v>
      </c>
      <c r="R73" s="2424"/>
    </row>
    <row r="74" spans="1:18" ht="20.25" thickBot="1">
      <c r="O74" s="2422" t="s">
        <v>2390</v>
      </c>
      <c r="P74" s="2420" t="s">
        <v>2396</v>
      </c>
      <c r="Q74" s="2421" t="e">
        <f ca="1">L58</f>
        <v>#DIV/0!</v>
      </c>
      <c r="R74" s="2424" t="s">
        <v>2397</v>
      </c>
    </row>
    <row r="75" spans="1:18" ht="15.75" thickBot="1">
      <c r="O75" s="2422" t="s">
        <v>2419</v>
      </c>
      <c r="P75" s="2420" t="str">
        <f>K59</f>
        <v>建筑物剩余耐用年限下的土地年期修正系数Kn</v>
      </c>
      <c r="Q75" s="2421" t="e">
        <f ca="1">L59</f>
        <v>#DIV/0!</v>
      </c>
      <c r="R75" s="2424" t="s">
        <v>2399</v>
      </c>
    </row>
    <row r="76" spans="1:18" ht="15.75" thickBot="1">
      <c r="O76" s="2419" t="s">
        <v>2393</v>
      </c>
      <c r="P76" s="2420" t="s">
        <v>2410</v>
      </c>
      <c r="Q76" s="2421">
        <f ca="1">Q66+Q67</f>
        <v>25063</v>
      </c>
      <c r="R76" s="2424"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2" t="s">
        <v>2475</v>
      </c>
      <c r="B1" s="3533"/>
      <c r="C1" s="3534"/>
      <c r="D1" s="3535">
        <f>SUM(I10,I15,I20,I21,I23)</f>
        <v>0</v>
      </c>
      <c r="E1" s="3535"/>
      <c r="F1" s="3535"/>
      <c r="G1" s="3535"/>
      <c r="H1" s="3535"/>
      <c r="I1" s="3536"/>
    </row>
    <row r="2" spans="1:9">
      <c r="A2" s="3522" t="s">
        <v>2476</v>
      </c>
      <c r="B2" s="3523" t="s">
        <v>2477</v>
      </c>
      <c r="C2" s="3523"/>
      <c r="D2" s="2528" t="s">
        <v>2478</v>
      </c>
      <c r="E2" s="2528" t="s">
        <v>2479</v>
      </c>
      <c r="F2" s="2528" t="s">
        <v>2480</v>
      </c>
      <c r="G2" s="2528" t="s">
        <v>2481</v>
      </c>
      <c r="H2" s="2528" t="s">
        <v>2482</v>
      </c>
      <c r="I2" s="2529" t="s">
        <v>2483</v>
      </c>
    </row>
    <row r="3" spans="1:9">
      <c r="A3" s="3522"/>
      <c r="B3" s="3523" t="s">
        <v>2484</v>
      </c>
      <c r="C3" s="3523"/>
      <c r="D3" s="2530"/>
      <c r="E3" s="2528"/>
      <c r="F3" s="2531"/>
      <c r="G3" s="2531"/>
      <c r="H3" s="2532"/>
      <c r="I3" s="2533">
        <f>ROUND(D3*E3*F3*G3*H3/10000,0)</f>
        <v>0</v>
      </c>
    </row>
    <row r="4" spans="1:9">
      <c r="A4" s="3522"/>
      <c r="B4" s="3523" t="s">
        <v>2485</v>
      </c>
      <c r="C4" s="3523"/>
      <c r="D4" s="2530"/>
      <c r="E4" s="2528"/>
      <c r="F4" s="2531"/>
      <c r="G4" s="2531"/>
      <c r="H4" s="2532"/>
      <c r="I4" s="2533">
        <f t="shared" ref="I4:I9" si="0">ROUND(D4*E4*F4*G4*H4/10000,0)</f>
        <v>0</v>
      </c>
    </row>
    <row r="5" spans="1:9">
      <c r="A5" s="3522"/>
      <c r="B5" s="3523" t="s">
        <v>2486</v>
      </c>
      <c r="C5" s="3523"/>
      <c r="D5" s="2530"/>
      <c r="E5" s="2528"/>
      <c r="F5" s="2531"/>
      <c r="G5" s="2531"/>
      <c r="H5" s="2532"/>
      <c r="I5" s="2533">
        <f t="shared" si="0"/>
        <v>0</v>
      </c>
    </row>
    <row r="6" spans="1:9">
      <c r="A6" s="3522"/>
      <c r="B6" s="3523" t="s">
        <v>2487</v>
      </c>
      <c r="C6" s="3523"/>
      <c r="D6" s="2530"/>
      <c r="E6" s="2528"/>
      <c r="F6" s="2531"/>
      <c r="G6" s="2531"/>
      <c r="H6" s="2532"/>
      <c r="I6" s="2533">
        <f t="shared" si="0"/>
        <v>0</v>
      </c>
    </row>
    <row r="7" spans="1:9">
      <c r="A7" s="3522"/>
      <c r="B7" s="3523" t="s">
        <v>2488</v>
      </c>
      <c r="C7" s="3523"/>
      <c r="D7" s="2530"/>
      <c r="E7" s="2528"/>
      <c r="F7" s="2531"/>
      <c r="G7" s="2531"/>
      <c r="H7" s="2532"/>
      <c r="I7" s="2533">
        <f t="shared" si="0"/>
        <v>0</v>
      </c>
    </row>
    <row r="8" spans="1:9">
      <c r="A8" s="3522"/>
      <c r="B8" s="3523" t="s">
        <v>2489</v>
      </c>
      <c r="C8" s="3523"/>
      <c r="D8" s="2530"/>
      <c r="E8" s="2528"/>
      <c r="F8" s="2531"/>
      <c r="G8" s="2531"/>
      <c r="H8" s="2532"/>
      <c r="I8" s="2533">
        <f t="shared" si="0"/>
        <v>0</v>
      </c>
    </row>
    <row r="9" spans="1:9">
      <c r="A9" s="3522"/>
      <c r="B9" s="3523" t="s">
        <v>2490</v>
      </c>
      <c r="C9" s="3523"/>
      <c r="D9" s="2530"/>
      <c r="E9" s="2528"/>
      <c r="F9" s="2531"/>
      <c r="G9" s="2531"/>
      <c r="H9" s="2532"/>
      <c r="I9" s="2533">
        <f t="shared" si="0"/>
        <v>0</v>
      </c>
    </row>
    <row r="10" spans="1:9">
      <c r="A10" s="3522"/>
      <c r="B10" s="3524" t="s">
        <v>2491</v>
      </c>
      <c r="C10" s="3524"/>
      <c r="D10" s="2534">
        <v>527</v>
      </c>
      <c r="E10" s="2534" t="e">
        <f>ROUND(D1*10000/D10/H9,0)</f>
        <v>#DIV/0!</v>
      </c>
      <c r="F10" s="2535"/>
      <c r="G10" s="2535"/>
      <c r="H10" s="2536"/>
      <c r="I10" s="2537">
        <f>SUM(I3:I9)</f>
        <v>0</v>
      </c>
    </row>
    <row r="11" spans="1:9" ht="14.25">
      <c r="A11" s="3522" t="s">
        <v>2492</v>
      </c>
      <c r="B11" s="3523" t="s">
        <v>2493</v>
      </c>
      <c r="C11" s="3523"/>
      <c r="D11" s="2530" t="s">
        <v>2494</v>
      </c>
      <c r="E11" s="2530" t="s">
        <v>2495</v>
      </c>
      <c r="F11" s="2531" t="s">
        <v>2496</v>
      </c>
      <c r="G11" s="2531" t="s">
        <v>2497</v>
      </c>
      <c r="H11" s="2538" t="s">
        <v>2498</v>
      </c>
      <c r="I11" s="2529" t="s">
        <v>2499</v>
      </c>
    </row>
    <row r="12" spans="1:9">
      <c r="A12" s="3522"/>
      <c r="B12" s="3523" t="s">
        <v>2500</v>
      </c>
      <c r="C12" s="3523"/>
      <c r="D12" s="2530"/>
      <c r="E12" s="2530"/>
      <c r="F12" s="2531"/>
      <c r="G12" s="2532"/>
      <c r="H12" s="2539"/>
      <c r="I12" s="2529">
        <f>ROUND(D12*E12*F12*G12/10000,0)</f>
        <v>0</v>
      </c>
    </row>
    <row r="13" spans="1:9">
      <c r="A13" s="3522"/>
      <c r="B13" s="3523" t="s">
        <v>2501</v>
      </c>
      <c r="C13" s="3523"/>
      <c r="D13" s="2530"/>
      <c r="E13" s="2530"/>
      <c r="F13" s="2531"/>
      <c r="G13" s="2532"/>
      <c r="H13" s="2539"/>
      <c r="I13" s="2529">
        <f>ROUND(D13*E13*F13*G13/10000,0)</f>
        <v>0</v>
      </c>
    </row>
    <row r="14" spans="1:9">
      <c r="A14" s="3522"/>
      <c r="B14" s="3523" t="s">
        <v>2502</v>
      </c>
      <c r="C14" s="3523"/>
      <c r="D14" s="2530"/>
      <c r="E14" s="2530"/>
      <c r="F14" s="2531"/>
      <c r="G14" s="2532"/>
      <c r="H14" s="2539"/>
      <c r="I14" s="2529">
        <f>ROUND(D14*E14*F14*G14/10000,0)</f>
        <v>0</v>
      </c>
    </row>
    <row r="15" spans="1:9">
      <c r="A15" s="3522"/>
      <c r="B15" s="3524" t="s">
        <v>2491</v>
      </c>
      <c r="C15" s="3524"/>
      <c r="D15" s="2534"/>
      <c r="E15" s="2534">
        <f>SUM(E12:E14)</f>
        <v>0</v>
      </c>
      <c r="F15" s="2535"/>
      <c r="G15" s="2532"/>
      <c r="H15" s="2539"/>
      <c r="I15" s="2540">
        <f>SUM(I12:I14)</f>
        <v>0</v>
      </c>
    </row>
    <row r="16" spans="1:9" ht="24">
      <c r="A16" s="3522" t="s">
        <v>2503</v>
      </c>
      <c r="B16" s="3523" t="s">
        <v>2504</v>
      </c>
      <c r="C16" s="3523"/>
      <c r="D16" s="2530" t="s">
        <v>2505</v>
      </c>
      <c r="E16" s="2541" t="s">
        <v>2506</v>
      </c>
      <c r="F16" s="2531" t="s">
        <v>2507</v>
      </c>
      <c r="G16" s="2532" t="s">
        <v>2497</v>
      </c>
      <c r="H16" s="2538" t="s">
        <v>2498</v>
      </c>
      <c r="I16" s="2529" t="s">
        <v>2499</v>
      </c>
    </row>
    <row r="17" spans="1:9" ht="14.25">
      <c r="A17" s="3522"/>
      <c r="B17" s="3523" t="s">
        <v>2508</v>
      </c>
      <c r="C17" s="3523"/>
      <c r="D17" s="2530"/>
      <c r="E17" s="2530"/>
      <c r="F17" s="2531"/>
      <c r="G17" s="2532"/>
      <c r="H17" s="2542"/>
      <c r="I17" s="2543">
        <f>ROUND(D17*E17*F17*G17/10000,0)</f>
        <v>0</v>
      </c>
    </row>
    <row r="18" spans="1:9" ht="14.25">
      <c r="A18" s="3522"/>
      <c r="B18" s="3523" t="s">
        <v>2509</v>
      </c>
      <c r="C18" s="3523"/>
      <c r="D18" s="2530"/>
      <c r="E18" s="2530"/>
      <c r="F18" s="2531"/>
      <c r="G18" s="2532"/>
      <c r="H18" s="2542"/>
      <c r="I18" s="2543">
        <f>ROUND(D18*E18*F18*G18/10000,0)</f>
        <v>0</v>
      </c>
    </row>
    <row r="19" spans="1:9" ht="14.25">
      <c r="A19" s="3522"/>
      <c r="B19" s="3523" t="s">
        <v>2510</v>
      </c>
      <c r="C19" s="3523"/>
      <c r="D19" s="2530"/>
      <c r="E19" s="2530"/>
      <c r="F19" s="2531"/>
      <c r="G19" s="2532"/>
      <c r="H19" s="2542"/>
      <c r="I19" s="2543">
        <f>ROUND(D19*E19*F19*G19/10000,0)</f>
        <v>0</v>
      </c>
    </row>
    <row r="20" spans="1:9">
      <c r="A20" s="3522"/>
      <c r="B20" s="3524" t="s">
        <v>2491</v>
      </c>
      <c r="C20" s="3524"/>
      <c r="D20" s="2534">
        <f>SUM(D17:D19)</f>
        <v>0</v>
      </c>
      <c r="E20" s="2534"/>
      <c r="F20" s="2535"/>
      <c r="G20" s="2532"/>
      <c r="H20" s="2539"/>
      <c r="I20" s="2540">
        <f>SUM(I17:I19)</f>
        <v>0</v>
      </c>
    </row>
    <row r="21" spans="1:9">
      <c r="A21" s="3522" t="s">
        <v>2511</v>
      </c>
      <c r="B21" s="3525"/>
      <c r="C21" s="3525"/>
      <c r="D21" s="3525"/>
      <c r="E21" s="3525"/>
      <c r="F21" s="3525"/>
      <c r="G21" s="3525"/>
      <c r="H21" s="2544">
        <v>0.1</v>
      </c>
      <c r="I21" s="2537">
        <f>ROUND(I10*H21,0)</f>
        <v>0</v>
      </c>
    </row>
    <row r="22" spans="1:9" ht="14.25">
      <c r="A22" s="3526" t="s">
        <v>2512</v>
      </c>
      <c r="B22" s="3527"/>
      <c r="C22" s="3528"/>
      <c r="D22" s="2545" t="s">
        <v>2513</v>
      </c>
      <c r="E22" s="2545" t="s">
        <v>2514</v>
      </c>
      <c r="F22" s="2546" t="s">
        <v>2515</v>
      </c>
      <c r="G22" s="2546" t="s">
        <v>2516</v>
      </c>
      <c r="H22" s="2538" t="s">
        <v>2517</v>
      </c>
      <c r="I22" s="2529" t="s">
        <v>2518</v>
      </c>
    </row>
    <row r="23" spans="1:9" ht="14.25" thickBot="1">
      <c r="A23" s="3529"/>
      <c r="B23" s="3530"/>
      <c r="C23" s="3531"/>
      <c r="D23" s="2547"/>
      <c r="E23" s="2547"/>
      <c r="F23" s="2547"/>
      <c r="G23" s="2548"/>
      <c r="H23" s="2549"/>
      <c r="I23" s="2550">
        <f>ROUND(E23*D23*F23*(1-G23)/10000,0)</f>
        <v>0</v>
      </c>
    </row>
    <row r="26" spans="1:9">
      <c r="A26" s="2551" t="s">
        <v>2519</v>
      </c>
      <c r="B26" s="2551"/>
      <c r="C26" s="2551"/>
      <c r="D26" s="2551"/>
      <c r="E26" s="3519">
        <f>C27-C30-C31-C32</f>
        <v>0</v>
      </c>
      <c r="F26" s="3519"/>
      <c r="G26" s="3519"/>
      <c r="H26" s="3065" t="s">
        <v>2849</v>
      </c>
    </row>
    <row r="27" spans="1:9">
      <c r="A27" s="2552">
        <v>1</v>
      </c>
      <c r="B27" s="2553" t="s">
        <v>2520</v>
      </c>
      <c r="C27" s="2553"/>
      <c r="D27" s="2553"/>
      <c r="E27" s="3520"/>
      <c r="F27" s="3520"/>
      <c r="G27" s="3520"/>
    </row>
    <row r="28" spans="1:9">
      <c r="A28" s="2554" t="s">
        <v>2521</v>
      </c>
      <c r="B28" s="2553" t="s">
        <v>2522</v>
      </c>
      <c r="C28" s="2553"/>
      <c r="D28" s="2553"/>
      <c r="E28" s="3520"/>
      <c r="F28" s="3520"/>
      <c r="G28" s="3520"/>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521"/>
      <c r="F32" s="3521"/>
      <c r="G32" s="3521"/>
    </row>
    <row r="33" spans="1:7" hidden="1">
      <c r="A33" s="3516" t="s">
        <v>2530</v>
      </c>
      <c r="B33" s="3517"/>
      <c r="C33" s="3517"/>
      <c r="D33" s="3518"/>
      <c r="E33" s="3519"/>
      <c r="F33" s="3519"/>
      <c r="G33" s="3519"/>
    </row>
    <row r="34" spans="1:7" hidden="1">
      <c r="A34" s="2556">
        <v>1</v>
      </c>
      <c r="B34" s="2553" t="s">
        <v>2531</v>
      </c>
      <c r="C34" s="2553"/>
      <c r="D34" s="2553"/>
      <c r="E34" s="3520"/>
      <c r="F34" s="3520"/>
      <c r="G34" s="3520"/>
    </row>
    <row r="35" spans="1:7" hidden="1">
      <c r="A35" s="2556">
        <v>2</v>
      </c>
      <c r="B35" s="2553" t="s">
        <v>2532</v>
      </c>
      <c r="C35" s="2553"/>
      <c r="D35" s="2553"/>
      <c r="E35" s="3520"/>
      <c r="F35" s="3520"/>
      <c r="G35" s="3520"/>
    </row>
    <row r="36" spans="1:7" hidden="1">
      <c r="A36" s="2556">
        <v>3</v>
      </c>
      <c r="B36" s="2553" t="s">
        <v>2533</v>
      </c>
      <c r="C36" s="2553"/>
      <c r="D36" s="2553"/>
      <c r="E36" s="3520"/>
      <c r="F36" s="3520"/>
      <c r="G36" s="3520"/>
    </row>
    <row r="37" spans="1:7" hidden="1">
      <c r="A37" s="2556">
        <v>4</v>
      </c>
      <c r="B37" s="2553" t="s">
        <v>2534</v>
      </c>
      <c r="C37" s="2553"/>
      <c r="D37" s="2553"/>
      <c r="E37" s="3520"/>
      <c r="F37" s="3520"/>
      <c r="G37" s="3520"/>
    </row>
    <row r="38" spans="1:7" hidden="1">
      <c r="A38" s="3516" t="s">
        <v>2535</v>
      </c>
      <c r="B38" s="3517"/>
      <c r="C38" s="3517"/>
      <c r="D38" s="3518"/>
      <c r="E38" s="3519"/>
      <c r="F38" s="3519"/>
      <c r="G38" s="35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4" t="s">
        <v>604</v>
      </c>
      <c r="B1" s="743"/>
      <c r="C1" s="2181"/>
      <c r="D1" s="2181"/>
      <c r="E1" s="2181"/>
      <c r="F1" s="2181"/>
      <c r="G1" s="2107"/>
    </row>
    <row r="2" spans="1:25" s="2058" customFormat="1" ht="18" customHeight="1">
      <c r="A2" s="426" t="s">
        <v>467</v>
      </c>
      <c r="B2" s="428">
        <f ca="1">C23</f>
        <v>0</v>
      </c>
      <c r="C2" s="2107"/>
      <c r="D2" s="2107"/>
      <c r="E2" s="2107"/>
      <c r="F2" s="2107"/>
      <c r="G2" s="2107"/>
    </row>
    <row r="3" spans="1:25" s="2058" customFormat="1" ht="18" customHeight="1">
      <c r="A3" s="1378" t="s">
        <v>1687</v>
      </c>
      <c r="B3" s="428">
        <f ca="1">ROUND(B2*10000/'数据-汇总表'!E3,0)</f>
        <v>0</v>
      </c>
      <c r="C3" s="2107"/>
      <c r="D3" s="2107"/>
      <c r="E3" s="2107"/>
      <c r="F3" s="2107"/>
      <c r="G3" s="2107"/>
    </row>
    <row r="4" spans="1:25" s="2058" customFormat="1" ht="18" customHeight="1">
      <c r="A4" s="429" t="s">
        <v>468</v>
      </c>
      <c r="B4" s="430">
        <f ca="1">ROUND(B2*10000/'数据-汇总表'!D3,0)</f>
        <v>0</v>
      </c>
      <c r="C4" s="2060"/>
      <c r="D4" s="2107"/>
      <c r="E4" s="2107"/>
      <c r="F4" s="2107"/>
      <c r="G4" s="2107"/>
    </row>
    <row r="5" spans="1:25" s="2058" customFormat="1" ht="18" customHeight="1" thickBot="1">
      <c r="A5" s="432"/>
      <c r="B5" s="433">
        <f ca="1">ROUND(B2/('数据-汇总表'!D3/666.67),0)</f>
        <v>0</v>
      </c>
      <c r="C5" s="434"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0">
        <v>1</v>
      </c>
      <c r="B7" s="749" t="s">
        <v>610</v>
      </c>
      <c r="C7" s="750">
        <f>C8+C9</f>
        <v>0</v>
      </c>
      <c r="D7" s="750"/>
      <c r="E7" s="751"/>
      <c r="F7" s="751"/>
      <c r="G7" s="2500"/>
    </row>
    <row r="8" spans="1:25" s="2182" customFormat="1" ht="13.5" customHeight="1">
      <c r="A8" s="2490" t="s">
        <v>2442</v>
      </c>
      <c r="B8" s="2493" t="s">
        <v>2444</v>
      </c>
      <c r="C8" s="2494"/>
      <c r="D8" s="750"/>
      <c r="E8" s="751"/>
      <c r="F8" s="751"/>
      <c r="G8" s="752"/>
    </row>
    <row r="9" spans="1:25" s="2182" customFormat="1" ht="13.5" customHeight="1">
      <c r="A9" s="2490" t="s">
        <v>2443</v>
      </c>
      <c r="B9" s="2493" t="s">
        <v>2445</v>
      </c>
      <c r="C9" s="2494"/>
      <c r="D9" s="750"/>
      <c r="E9" s="751"/>
      <c r="F9" s="751"/>
      <c r="G9" s="752"/>
    </row>
    <row r="10" spans="1:25" s="2182" customFormat="1" ht="36">
      <c r="A10" s="2490">
        <v>2</v>
      </c>
      <c r="B10" s="749" t="s">
        <v>614</v>
      </c>
      <c r="C10" s="750">
        <f>C11+C14+C15</f>
        <v>0</v>
      </c>
      <c r="D10" s="761">
        <f>'数据-汇总表'!E3</f>
        <v>457656.17999999993</v>
      </c>
      <c r="E10" s="750">
        <f>'数据-取费表'!B31</f>
        <v>60</v>
      </c>
      <c r="F10" s="762"/>
      <c r="G10" s="760" t="s">
        <v>615</v>
      </c>
    </row>
    <row r="11" spans="1:25" s="2182" customFormat="1" ht="13.5" customHeight="1">
      <c r="A11" s="2490" t="s">
        <v>2442</v>
      </c>
      <c r="B11" s="753" t="s">
        <v>611</v>
      </c>
      <c r="C11" s="754">
        <f>'数据-取费表'!B29</f>
        <v>0</v>
      </c>
      <c r="D11" s="755"/>
      <c r="E11" s="754"/>
      <c r="F11" s="756"/>
      <c r="G11" s="2499" t="s">
        <v>2453</v>
      </c>
    </row>
    <row r="12" spans="1:25" s="2182" customFormat="1" ht="13.5" customHeight="1">
      <c r="A12" s="2497" t="s">
        <v>2450</v>
      </c>
      <c r="B12" s="757" t="s">
        <v>612</v>
      </c>
      <c r="C12" s="758">
        <f>ROUND(D12*E12/10000,0)</f>
        <v>616</v>
      </c>
      <c r="D12" s="759">
        <f>'数据-汇总表'!E5</f>
        <v>307901.16999999993</v>
      </c>
      <c r="E12" s="758">
        <f>'数据-取费表'!B27</f>
        <v>20</v>
      </c>
      <c r="F12" s="756"/>
      <c r="G12" s="760"/>
    </row>
    <row r="13" spans="1:25" s="2182" customFormat="1" ht="13.5" customHeight="1">
      <c r="A13" s="2497" t="s">
        <v>2449</v>
      </c>
      <c r="B13" s="757" t="s">
        <v>613</v>
      </c>
      <c r="C13" s="758">
        <f>ROUND(D13*E13/10000,0)</f>
        <v>449</v>
      </c>
      <c r="D13" s="759">
        <f>'数据-汇总表'!E6</f>
        <v>149755.01</v>
      </c>
      <c r="E13" s="758">
        <f>'数据-取费表'!B28</f>
        <v>30</v>
      </c>
      <c r="F13" s="756"/>
      <c r="G13" s="760"/>
    </row>
    <row r="14" spans="1:25" s="2182" customFormat="1" ht="13.5" customHeight="1">
      <c r="A14" s="2490" t="s">
        <v>2443</v>
      </c>
      <c r="B14" s="2496" t="s">
        <v>2446</v>
      </c>
      <c r="C14" s="2494"/>
      <c r="D14" s="759"/>
      <c r="E14" s="758"/>
      <c r="F14" s="2495"/>
      <c r="G14" s="2498" t="s">
        <v>2451</v>
      </c>
    </row>
    <row r="15" spans="1:25" s="2182" customFormat="1" ht="13.5" customHeight="1">
      <c r="A15" s="2490" t="s">
        <v>2448</v>
      </c>
      <c r="B15" s="2496" t="s">
        <v>2447</v>
      </c>
      <c r="C15" s="2494"/>
      <c r="D15" s="759"/>
      <c r="E15" s="758"/>
      <c r="F15" s="2495"/>
      <c r="G15" s="2498" t="s">
        <v>2452</v>
      </c>
    </row>
    <row r="16" spans="1:25" s="2183" customFormat="1" ht="48">
      <c r="A16" s="2490">
        <v>3</v>
      </c>
      <c r="B16" s="749" t="s">
        <v>616</v>
      </c>
      <c r="C16" s="2494"/>
      <c r="D16" s="761"/>
      <c r="E16" s="750"/>
      <c r="F16" s="762"/>
      <c r="G16" s="760"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9" t="s">
        <v>617</v>
      </c>
      <c r="C17" s="259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9" t="s">
        <v>618</v>
      </c>
      <c r="C18" s="750">
        <f>ROUND((C7+C10+C16)*F18,0)</f>
        <v>0</v>
      </c>
      <c r="D18" s="763"/>
      <c r="E18" s="764"/>
      <c r="F18" s="762">
        <f>'数据-取费表'!Q16</f>
        <v>0.1</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9" t="s">
        <v>622</v>
      </c>
      <c r="C20" s="750">
        <f ca="1">ROUND(C19*F20,0)</f>
        <v>0</v>
      </c>
      <c r="D20" s="761"/>
      <c r="E20" s="750"/>
      <c r="F20" s="1348"/>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9" t="s">
        <v>626</v>
      </c>
      <c r="C22" s="750">
        <f ca="1">ROUND(C21*F22,0)</f>
        <v>0</v>
      </c>
      <c r="D22" s="761"/>
      <c r="E22" s="750"/>
      <c r="F22" s="767">
        <f>'数据-取费表'!AP16</f>
        <v>0.93100000000000005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758</v>
      </c>
      <c r="C1" s="507" t="s">
        <v>721</v>
      </c>
      <c r="D1" s="2367"/>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520</v>
      </c>
      <c r="B3" s="513" t="e">
        <f>C49</f>
        <v>#DIV/0!</v>
      </c>
      <c r="C3" s="853" t="s">
        <v>723</v>
      </c>
      <c r="D3" s="852">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31"/>
    </row>
    <row r="4" spans="1:29" ht="15">
      <c r="A4" s="515" t="s">
        <v>522</v>
      </c>
      <c r="B4" s="516"/>
      <c r="C4" s="3439" t="s">
        <v>523</v>
      </c>
      <c r="D4" s="3440"/>
      <c r="E4" s="3463" t="s">
        <v>524</v>
      </c>
      <c r="F4" s="3464"/>
      <c r="G4" s="3439" t="s">
        <v>525</v>
      </c>
      <c r="H4" s="3440"/>
      <c r="I4" s="3439" t="s">
        <v>526</v>
      </c>
      <c r="J4" s="3440"/>
      <c r="K4" s="517" t="s">
        <v>527</v>
      </c>
      <c r="L4" s="2132"/>
      <c r="M4" s="2133"/>
      <c r="N4" s="2133"/>
      <c r="O4" s="2133"/>
      <c r="P4" s="3441" t="s">
        <v>528</v>
      </c>
      <c r="Q4" s="3442"/>
      <c r="R4" s="3427" t="s">
        <v>524</v>
      </c>
      <c r="S4" s="3428"/>
      <c r="T4" s="3427" t="s">
        <v>525</v>
      </c>
      <c r="U4" s="3428"/>
      <c r="V4" s="3447" t="s">
        <v>526</v>
      </c>
      <c r="W4" s="3447"/>
      <c r="X4" s="1566"/>
      <c r="Y4" s="3427" t="s">
        <v>528</v>
      </c>
      <c r="Z4" s="3428"/>
      <c r="AA4" s="3422" t="s">
        <v>524</v>
      </c>
      <c r="AB4" s="3447" t="s">
        <v>525</v>
      </c>
      <c r="AC4" s="3422" t="s">
        <v>526</v>
      </c>
    </row>
    <row r="5" spans="1:29" ht="15">
      <c r="A5" s="518"/>
      <c r="B5" s="519"/>
      <c r="C5" s="3467" t="s">
        <v>2919</v>
      </c>
      <c r="D5" s="3451"/>
      <c r="E5" s="3465" t="s">
        <v>2920</v>
      </c>
      <c r="F5" s="3466"/>
      <c r="G5" s="3467" t="s">
        <v>2921</v>
      </c>
      <c r="H5" s="3451"/>
      <c r="I5" s="3467" t="s">
        <v>2922</v>
      </c>
      <c r="J5" s="3451"/>
      <c r="K5" s="517"/>
      <c r="L5" s="2132"/>
      <c r="M5" s="2133"/>
      <c r="N5" s="2133"/>
      <c r="O5" s="2133"/>
      <c r="P5" s="3443"/>
      <c r="Q5" s="3444"/>
      <c r="R5" s="3429"/>
      <c r="S5" s="3430"/>
      <c r="T5" s="3429"/>
      <c r="U5" s="3430"/>
      <c r="V5" s="3447"/>
      <c r="W5" s="3447"/>
      <c r="X5" s="1566"/>
      <c r="Y5" s="3429"/>
      <c r="Z5" s="3430"/>
      <c r="AA5" s="3423"/>
      <c r="AB5" s="3447"/>
      <c r="AC5" s="3423"/>
    </row>
    <row r="6" spans="1:29" ht="15.75" thickBot="1">
      <c r="A6" s="520"/>
      <c r="B6" s="521"/>
      <c r="C6" s="3448" t="s">
        <v>2923</v>
      </c>
      <c r="D6" s="3449"/>
      <c r="E6" s="3468" t="s">
        <v>2923</v>
      </c>
      <c r="F6" s="3469"/>
      <c r="G6" s="3448" t="s">
        <v>2923</v>
      </c>
      <c r="H6" s="3449"/>
      <c r="I6" s="3448" t="s">
        <v>2923</v>
      </c>
      <c r="J6" s="3449"/>
      <c r="K6" s="517" t="s">
        <v>529</v>
      </c>
      <c r="L6" s="2132"/>
      <c r="M6" s="2133"/>
      <c r="N6" s="2133"/>
      <c r="O6" s="2133"/>
      <c r="P6" s="3445"/>
      <c r="Q6" s="3446"/>
      <c r="R6" s="3429"/>
      <c r="S6" s="3430"/>
      <c r="T6" s="3431"/>
      <c r="U6" s="3432"/>
      <c r="V6" s="3447"/>
      <c r="W6" s="3447"/>
      <c r="X6" s="1566"/>
      <c r="Y6" s="3431"/>
      <c r="Z6" s="3432"/>
      <c r="AA6" s="3424"/>
      <c r="AB6" s="3447"/>
      <c r="AC6" s="3424"/>
    </row>
    <row r="7" spans="1:29" s="1219" customFormat="1" ht="15.75" thickBot="1">
      <c r="A7" s="2934"/>
      <c r="B7" s="2941" t="s">
        <v>530</v>
      </c>
      <c r="C7" s="522">
        <f>'数据-取费表'!B2</f>
        <v>43031</v>
      </c>
      <c r="D7" s="523">
        <v>100</v>
      </c>
      <c r="E7" s="524"/>
      <c r="F7" s="525">
        <f>SUMIF(58:58,YEAR(E7)&amp;"-"&amp;MONTH(E7),59:59)</f>
        <v>0</v>
      </c>
      <c r="G7" s="524"/>
      <c r="H7" s="523">
        <f>SUMIF(58:58,YEAR(G7)&amp;"-"&amp;MONTH(G7),59:59)</f>
        <v>0</v>
      </c>
      <c r="I7" s="524"/>
      <c r="J7" s="523">
        <f>SUMIF(58:58,YEAR(I7)&amp;"-"&amp;MONTH(I7),59:59)</f>
        <v>0</v>
      </c>
      <c r="K7" s="527"/>
      <c r="L7" s="2134"/>
      <c r="M7" s="2135"/>
      <c r="N7" s="2135"/>
      <c r="O7" s="2135"/>
      <c r="P7" s="3425" t="s">
        <v>531</v>
      </c>
      <c r="Q7" s="3434"/>
      <c r="R7" s="1567" t="s">
        <v>8</v>
      </c>
      <c r="S7" s="1568">
        <f t="shared" ref="S7:S15" si="0">F7</f>
        <v>0</v>
      </c>
      <c r="T7" s="1567" t="s">
        <v>8</v>
      </c>
      <c r="U7" s="1568">
        <f t="shared" ref="U7:U15" si="1">H7</f>
        <v>0</v>
      </c>
      <c r="V7" s="1567" t="s">
        <v>8</v>
      </c>
      <c r="W7" s="1568">
        <f t="shared" ref="W7:W15" si="2">J7</f>
        <v>0</v>
      </c>
      <c r="X7" s="1569"/>
      <c r="Y7" s="3425" t="s">
        <v>531</v>
      </c>
      <c r="Z7" s="3426"/>
      <c r="AA7" s="1570" t="e">
        <f>D7/F7</f>
        <v>#DIV/0!</v>
      </c>
      <c r="AB7" s="1570" t="e">
        <f>D7/H7</f>
        <v>#DIV/0!</v>
      </c>
      <c r="AC7" s="1570" t="e">
        <f>D7/J7</f>
        <v>#DIV/0!</v>
      </c>
    </row>
    <row r="8" spans="1:29" s="1219" customFormat="1" ht="15.75" thickBot="1">
      <c r="A8" s="2935"/>
      <c r="B8" s="2942" t="s">
        <v>532</v>
      </c>
      <c r="C8" s="528" t="s">
        <v>577</v>
      </c>
      <c r="D8" s="523">
        <v>100</v>
      </c>
      <c r="E8" s="528"/>
      <c r="F8" s="525">
        <f>SUMIF(61:61,E8,62:62)-SUMIF(61:61,C8,62:62)+100</f>
        <v>0</v>
      </c>
      <c r="G8" s="528"/>
      <c r="H8" s="523">
        <f>SUMIF(61:61,G8,62:62)-SUMIF(61:61,C8,62:62)+100</f>
        <v>0</v>
      </c>
      <c r="I8" s="528"/>
      <c r="J8" s="523">
        <f>SUMIF(61:61,I8,62:62)-SUMIF(61:61,C8,62:62)+100</f>
        <v>0</v>
      </c>
      <c r="K8" s="527"/>
      <c r="L8" s="2134"/>
      <c r="M8" s="2135"/>
      <c r="N8" s="2135"/>
      <c r="O8" s="2135"/>
      <c r="P8" s="3425" t="s">
        <v>534</v>
      </c>
      <c r="Q8" s="3426"/>
      <c r="R8" s="1567" t="s">
        <v>8</v>
      </c>
      <c r="S8" s="1568">
        <f t="shared" si="0"/>
        <v>0</v>
      </c>
      <c r="T8" s="1567" t="s">
        <v>8</v>
      </c>
      <c r="U8" s="1568">
        <f t="shared" si="1"/>
        <v>0</v>
      </c>
      <c r="V8" s="1567" t="s">
        <v>8</v>
      </c>
      <c r="W8" s="1568">
        <f t="shared" si="2"/>
        <v>0</v>
      </c>
      <c r="X8" s="1569"/>
      <c r="Y8" s="3425" t="s">
        <v>534</v>
      </c>
      <c r="Z8" s="3426"/>
      <c r="AA8" s="1570" t="e">
        <f t="shared" ref="AA8:AA46" si="3">D8/F8</f>
        <v>#DIV/0!</v>
      </c>
      <c r="AB8" s="1570" t="e">
        <f t="shared" ref="AB8:AB46" si="4">D8/H8</f>
        <v>#DIV/0!</v>
      </c>
      <c r="AC8" s="1570" t="e">
        <f t="shared" ref="AC8:AC46" si="5">D8/J8</f>
        <v>#DIV/0!</v>
      </c>
    </row>
    <row r="9" spans="1:29" s="1219" customFormat="1" ht="15">
      <c r="A9" s="2936"/>
      <c r="B9" s="2943" t="s">
        <v>2762</v>
      </c>
      <c r="C9" s="858"/>
      <c r="D9" s="254">
        <v>100</v>
      </c>
      <c r="E9" s="861"/>
      <c r="F9" s="254">
        <f>SUMIF(63:63,E9,64:64)-SUMIF(63:63,C9,64:64)+100</f>
        <v>100</v>
      </c>
      <c r="G9" s="859"/>
      <c r="H9" s="254">
        <f>SUMIF(63:63,G9,64:64)-SUMIF(63:63,C9,64:64)+100</f>
        <v>100</v>
      </c>
      <c r="I9" s="859"/>
      <c r="J9" s="254">
        <f>SUMIF(63:63,I9,64:64)-SUMIF(63:63,C9,64:64)+100</f>
        <v>100</v>
      </c>
      <c r="K9" s="527"/>
      <c r="L9" s="2134"/>
      <c r="M9" s="2135"/>
      <c r="N9" s="2135"/>
      <c r="O9" s="2136"/>
      <c r="P9" s="3433"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SUMIF(65:65,E10,66:66)-SUMIF(65:65,C10,66:66)+100</f>
        <v>100</v>
      </c>
      <c r="G10" s="863"/>
      <c r="H10" s="255">
        <f>SUMIF(65:65,G10,66:66)-SUMIF(65:65,C10,66:66)+100</f>
        <v>100</v>
      </c>
      <c r="I10" s="862"/>
      <c r="J10" s="255">
        <f>SUMIF(65:65,I10,66:66)-SUMIF(65:65,C10,66:66)+100</f>
        <v>100</v>
      </c>
      <c r="K10" s="585"/>
      <c r="L10" s="2137"/>
      <c r="M10" s="2177"/>
      <c r="N10" s="2177"/>
      <c r="O10" s="2138"/>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39"/>
      <c r="M11" s="2133"/>
      <c r="N11" s="2133"/>
      <c r="O11" s="2140"/>
      <c r="P11" s="3433"/>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SUMIF(70:70,E12,71:71)-SUMIF(70:70,C12,71:71)+100</f>
        <v>100</v>
      </c>
      <c r="G12" s="913"/>
      <c r="H12" s="255">
        <f>SUMIF(70:70,G12,71:71)-SUMIF(70:70,C12,71:71)+100</f>
        <v>100</v>
      </c>
      <c r="I12" s="540"/>
      <c r="J12" s="255">
        <f>SUMIF(70:70,I12,71:71)-SUMIF(70:70,C12,71:71)+100</f>
        <v>100</v>
      </c>
      <c r="K12" s="582"/>
      <c r="L12" s="2134"/>
      <c r="M12" s="2135"/>
      <c r="N12" s="2135"/>
      <c r="O12" s="2136"/>
      <c r="P12" s="3433"/>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39"/>
      <c r="B13" s="2945">
        <v>111</v>
      </c>
      <c r="C13" s="540"/>
      <c r="D13" s="541">
        <v>100</v>
      </c>
      <c r="E13" s="540"/>
      <c r="F13" s="255">
        <f>SUMIF(72:72,E13,73:73)-SUMIF(72:72,C13,73:73)+100</f>
        <v>100</v>
      </c>
      <c r="G13" s="913"/>
      <c r="H13" s="541">
        <f>SUMIF(72:72,G13,73:73)-SUMIF(72:72,C13,73:73)+100</f>
        <v>100</v>
      </c>
      <c r="I13" s="540"/>
      <c r="J13" s="541">
        <f>SUMIF(72:72,I13,73:73)-SUMIF(72:72,C13,73:73)+100</f>
        <v>100</v>
      </c>
      <c r="K13" s="582"/>
      <c r="L13" s="2141"/>
      <c r="M13" s="2133"/>
      <c r="N13" s="2133"/>
      <c r="O13" s="2140"/>
      <c r="P13" s="3433"/>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0"/>
      <c r="B14" s="2946">
        <v>111</v>
      </c>
      <c r="C14" s="546"/>
      <c r="D14" s="547">
        <v>100</v>
      </c>
      <c r="E14" s="546"/>
      <c r="F14" s="547">
        <f>SUMIF(74:74,E14,75:75)-SUMIF(74:74,C14,75:75)+100</f>
        <v>100</v>
      </c>
      <c r="G14" s="913"/>
      <c r="H14" s="547">
        <f>SUMIF(74:74,G14,75:75)-SUMIF(74:74,C14,75:75)+100</f>
        <v>100</v>
      </c>
      <c r="I14" s="540"/>
      <c r="J14" s="547">
        <f>SUMIF(74:74,I14,75:75)-SUMIF(74:74,C14,75:75)+100</f>
        <v>100</v>
      </c>
      <c r="K14" s="582"/>
      <c r="L14" s="2141"/>
      <c r="M14" s="2133"/>
      <c r="N14" s="2133"/>
      <c r="O14" s="2140"/>
      <c r="P14" s="3433"/>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15">
      <c r="A15" s="2932" t="s">
        <v>2760</v>
      </c>
      <c r="B15" s="166" t="s">
        <v>542</v>
      </c>
      <c r="C15" s="868" t="str">
        <f>估价对象房地状况!C4</f>
        <v>较差</v>
      </c>
      <c r="D15" s="550">
        <v>100</v>
      </c>
      <c r="E15" s="551"/>
      <c r="F15" s="552">
        <f>SUMIF(76:76,E16,77:77)-SUMIF(76:76,C16,77:77)+100</f>
        <v>100</v>
      </c>
      <c r="G15" s="553"/>
      <c r="H15" s="550">
        <f>SUMIF(76:76,G16,77:77)-SUMIF(76:76,C16,77:77)+100</f>
        <v>100</v>
      </c>
      <c r="I15" s="551"/>
      <c r="J15" s="550">
        <f>SUMIF(76:76,I16,77:77)-SUMIF(76:76,C16,77:77)+100</f>
        <v>100</v>
      </c>
      <c r="K15" s="899"/>
      <c r="L15" s="2141"/>
      <c r="M15" s="2133"/>
      <c r="N15" s="2133"/>
      <c r="O15" s="2140"/>
      <c r="P15" s="3435" t="s">
        <v>541</v>
      </c>
      <c r="Q15" s="1571" t="str">
        <f t="shared" si="6"/>
        <v>商业繁华度</v>
      </c>
      <c r="R15" s="1572" t="s">
        <v>8</v>
      </c>
      <c r="S15" s="1573">
        <f t="shared" si="0"/>
        <v>100</v>
      </c>
      <c r="T15" s="1572" t="s">
        <v>8</v>
      </c>
      <c r="U15" s="1573">
        <f t="shared" si="1"/>
        <v>100</v>
      </c>
      <c r="V15" s="1572" t="s">
        <v>8</v>
      </c>
      <c r="W15" s="1573">
        <f t="shared" si="2"/>
        <v>100</v>
      </c>
      <c r="X15" s="1566"/>
      <c r="Y15" s="3435" t="s">
        <v>541</v>
      </c>
      <c r="Z15" s="1574" t="str">
        <f t="shared" si="7"/>
        <v>商业繁华度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36"/>
      <c r="Q16" s="1571"/>
      <c r="R16" s="1572"/>
      <c r="S16" s="1573"/>
      <c r="T16" s="1572"/>
      <c r="U16" s="1573"/>
      <c r="V16" s="1572"/>
      <c r="W16" s="1573"/>
      <c r="X16" s="1566"/>
      <c r="Y16" s="3436"/>
      <c r="Z16" s="1574"/>
      <c r="AA16" s="1575">
        <v>1</v>
      </c>
      <c r="AB16" s="1575">
        <v>1</v>
      </c>
      <c r="AC16" s="1575">
        <v>1</v>
      </c>
    </row>
    <row r="17" spans="1:29" ht="85.5">
      <c r="A17" s="533"/>
      <c r="B17" s="872" t="s">
        <v>296</v>
      </c>
      <c r="C17" s="873" t="str">
        <f>估价对象房地状况!C6</f>
        <v>咨询对象本身所属项目较大，本地块周边道路尚未建设完善，综合评价交通便捷度较差。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1"/>
      <c r="M17" s="2133"/>
      <c r="N17" s="2133"/>
      <c r="O17" s="2140"/>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36"/>
      <c r="Q18" s="1571"/>
      <c r="R18" s="1572"/>
      <c r="S18" s="1573"/>
      <c r="T18" s="1572"/>
      <c r="U18" s="1573"/>
      <c r="V18" s="1572"/>
      <c r="W18" s="1573"/>
      <c r="X18" s="1566"/>
      <c r="Y18" s="3436"/>
      <c r="Z18" s="1574"/>
      <c r="AA18" s="1575">
        <v>1</v>
      </c>
      <c r="AB18" s="1575">
        <v>1</v>
      </c>
      <c r="AC18" s="1575">
        <v>1</v>
      </c>
    </row>
    <row r="19" spans="1:29" ht="85.5">
      <c r="A19" s="533"/>
      <c r="B19" s="2621" t="s">
        <v>2550</v>
      </c>
      <c r="C19" s="873" t="str">
        <f>估价对象房地状况!C7</f>
        <v>咨询对象本身所属项目较大，公共配套设施尚未建设，综合评价公共配套设施较差。</v>
      </c>
      <c r="D19" s="566">
        <v>100</v>
      </c>
      <c r="E19" s="571"/>
      <c r="F19" s="572">
        <f>SUMIF(80:80,E20,81:81)-SUMIF(80:80,C20,81:81)+100</f>
        <v>100</v>
      </c>
      <c r="G19" s="573"/>
      <c r="H19" s="560">
        <f>SUMIF(80:80,G20,81:81)-SUMIF(80:80,C20,81:81)+100</f>
        <v>100</v>
      </c>
      <c r="I19" s="571"/>
      <c r="J19" s="560">
        <f>SUMIF(80:80,I20,81:81)-SUMIF(80:80,C20,81:81)+100</f>
        <v>100</v>
      </c>
      <c r="K19" s="899"/>
      <c r="L19" s="2141"/>
      <c r="M19" s="2133"/>
      <c r="N19" s="2133"/>
      <c r="O19" s="2140"/>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3"/>
      <c r="B20" s="596"/>
      <c r="C20" s="577"/>
      <c r="D20" s="556"/>
      <c r="E20" s="557"/>
      <c r="F20" s="558"/>
      <c r="G20" s="559"/>
      <c r="H20" s="556"/>
      <c r="I20" s="557"/>
      <c r="J20" s="556"/>
      <c r="K20" s="900"/>
      <c r="L20" s="2141"/>
      <c r="M20" s="2133"/>
      <c r="N20" s="2133"/>
      <c r="O20" s="2140"/>
      <c r="P20" s="3436"/>
      <c r="Q20" s="1571"/>
      <c r="R20" s="1572"/>
      <c r="S20" s="1573"/>
      <c r="T20" s="1572"/>
      <c r="U20" s="1573"/>
      <c r="V20" s="1572"/>
      <c r="W20" s="1573"/>
      <c r="X20" s="1566"/>
      <c r="Y20" s="3436"/>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99"/>
      <c r="L21" s="2141"/>
      <c r="M21" s="2133"/>
      <c r="N21" s="2133"/>
      <c r="O21" s="2140"/>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3"/>
      <c r="B22" s="923"/>
      <c r="C22" s="874"/>
      <c r="D22" s="556"/>
      <c r="E22" s="577"/>
      <c r="F22" s="558"/>
      <c r="G22" s="577"/>
      <c r="H22" s="556"/>
      <c r="I22" s="577"/>
      <c r="J22" s="556"/>
      <c r="K22" s="2623"/>
      <c r="L22" s="2141"/>
      <c r="M22" s="2133"/>
      <c r="N22" s="2133"/>
      <c r="O22" s="2140"/>
      <c r="P22" s="3436"/>
      <c r="Q22" s="2600"/>
      <c r="R22" s="1572"/>
      <c r="S22" s="1573"/>
      <c r="T22" s="1572"/>
      <c r="U22" s="1573"/>
      <c r="V22" s="1572"/>
      <c r="W22" s="1573"/>
      <c r="X22" s="2602"/>
      <c r="Y22" s="3436"/>
      <c r="Z22" s="2601"/>
      <c r="AA22" s="1575">
        <v>1</v>
      </c>
      <c r="AB22" s="1575">
        <v>1</v>
      </c>
      <c r="AC22" s="1575">
        <v>1</v>
      </c>
    </row>
    <row r="23" spans="1:29" ht="85.5">
      <c r="A23" s="533"/>
      <c r="B23" s="872" t="s">
        <v>297</v>
      </c>
      <c r="C23" s="901" t="str">
        <f>估价对象房地状况!C9</f>
        <v>咨询对象本身所属项目较大，周边尚无自然及人文环境，综合评价自然及人文环境较差。</v>
      </c>
      <c r="D23" s="560">
        <v>100</v>
      </c>
      <c r="E23" s="563"/>
      <c r="F23" s="564">
        <f>SUMIF(84:84,E24,85:85)-SUMIF(84:84,C24,85:85)+100</f>
        <v>100</v>
      </c>
      <c r="G23" s="565"/>
      <c r="H23" s="560">
        <f>SUMIF(84:84,G24,85:85)-SUMIF(84:84,C24,85:85)+100</f>
        <v>100</v>
      </c>
      <c r="I23" s="563"/>
      <c r="J23" s="560">
        <f>SUMIF(84:84,I24,85:85)-SUMIF(84:84,C24,85:85)+100</f>
        <v>100</v>
      </c>
      <c r="K23" s="899"/>
      <c r="L23" s="2141"/>
      <c r="M23" s="2133"/>
      <c r="N23" s="2133"/>
      <c r="O23" s="2140"/>
      <c r="P23" s="3436"/>
      <c r="Q23" s="1571" t="str">
        <f>B23</f>
        <v>自然及人文环境</v>
      </c>
      <c r="R23" s="1572" t="s">
        <v>8</v>
      </c>
      <c r="S23" s="1573">
        <f>F23</f>
        <v>100</v>
      </c>
      <c r="T23" s="1572" t="s">
        <v>8</v>
      </c>
      <c r="U23" s="1573">
        <f>H23</f>
        <v>100</v>
      </c>
      <c r="V23" s="1572" t="s">
        <v>8</v>
      </c>
      <c r="W23" s="1573">
        <f>J23</f>
        <v>100</v>
      </c>
      <c r="X23" s="1566"/>
      <c r="Y23" s="3436"/>
      <c r="Z23" s="1574" t="str">
        <f>Q23</f>
        <v>自然及人文环境</v>
      </c>
      <c r="AA23" s="1575">
        <f t="shared" si="3"/>
        <v>1</v>
      </c>
      <c r="AB23" s="1575">
        <f t="shared" si="4"/>
        <v>1</v>
      </c>
      <c r="AC23" s="1575">
        <f t="shared" si="5"/>
        <v>1</v>
      </c>
    </row>
    <row r="24" spans="1:29" ht="15">
      <c r="A24" s="533"/>
      <c r="B24" s="596"/>
      <c r="C24" s="577"/>
      <c r="D24" s="556"/>
      <c r="E24" s="557"/>
      <c r="F24" s="558"/>
      <c r="G24" s="559"/>
      <c r="H24" s="556"/>
      <c r="I24" s="557"/>
      <c r="J24" s="556"/>
      <c r="K24" s="900"/>
      <c r="L24" s="2141"/>
      <c r="M24" s="2133"/>
      <c r="N24" s="2133"/>
      <c r="O24" s="2140"/>
      <c r="P24" s="3436"/>
      <c r="Q24" s="1571"/>
      <c r="R24" s="1572"/>
      <c r="S24" s="1573"/>
      <c r="T24" s="1572"/>
      <c r="U24" s="1573"/>
      <c r="V24" s="1572"/>
      <c r="W24" s="1573"/>
      <c r="X24" s="1566"/>
      <c r="Y24" s="3436"/>
      <c r="Z24" s="1574"/>
      <c r="AA24" s="1575">
        <v>1</v>
      </c>
      <c r="AB24" s="1575">
        <v>1</v>
      </c>
      <c r="AC24" s="1575">
        <v>1</v>
      </c>
    </row>
    <row r="25" spans="1:29" ht="15">
      <c r="A25" s="533"/>
      <c r="B25" s="530"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36"/>
      <c r="Q25" s="1571" t="str">
        <f t="shared" ref="Q25:Q46" si="11">B25</f>
        <v>临街状况</v>
      </c>
      <c r="R25" s="1572" t="s">
        <v>8</v>
      </c>
      <c r="S25" s="1573">
        <f>F25</f>
        <v>100</v>
      </c>
      <c r="T25" s="1572" t="s">
        <v>8</v>
      </c>
      <c r="U25" s="1573">
        <f>H25</f>
        <v>100</v>
      </c>
      <c r="V25" s="1572" t="s">
        <v>8</v>
      </c>
      <c r="W25" s="1573">
        <f>J25</f>
        <v>100</v>
      </c>
      <c r="X25" s="1566"/>
      <c r="Y25" s="3436"/>
      <c r="Z25" s="1574" t="str">
        <f>Q25</f>
        <v>临街状况</v>
      </c>
      <c r="AA25" s="1575">
        <f t="shared" si="3"/>
        <v>1</v>
      </c>
      <c r="AB25" s="1575">
        <f t="shared" si="4"/>
        <v>1</v>
      </c>
      <c r="AC25" s="1575">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36"/>
      <c r="Q26" s="1571" t="str">
        <f t="shared" si="11"/>
        <v>平面位置/可视性</v>
      </c>
      <c r="R26" s="1572" t="s">
        <v>8</v>
      </c>
      <c r="S26" s="1573">
        <f>F26</f>
        <v>100</v>
      </c>
      <c r="T26" s="1572" t="s">
        <v>8</v>
      </c>
      <c r="U26" s="1573">
        <f>H26</f>
        <v>100</v>
      </c>
      <c r="V26" s="1572" t="s">
        <v>8</v>
      </c>
      <c r="W26" s="1573">
        <f>J26</f>
        <v>100</v>
      </c>
      <c r="X26" s="1566"/>
      <c r="Y26" s="3436"/>
      <c r="Z26" s="1574" t="str">
        <f>Q26</f>
        <v>平面位置/可视性</v>
      </c>
      <c r="AA26" s="1575">
        <f t="shared" si="3"/>
        <v>1</v>
      </c>
      <c r="AB26" s="1575">
        <f t="shared" si="4"/>
        <v>1</v>
      </c>
      <c r="AC26" s="1575">
        <f t="shared" si="5"/>
        <v>1</v>
      </c>
    </row>
    <row r="27" spans="1:29" s="1219"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4"/>
      <c r="M27" s="2135"/>
      <c r="N27" s="2135"/>
      <c r="O27" s="2136"/>
      <c r="P27" s="3436"/>
      <c r="Q27" s="1150" t="str">
        <f t="shared" si="11"/>
        <v>人流量</v>
      </c>
      <c r="R27" s="1567" t="s">
        <v>8</v>
      </c>
      <c r="S27" s="1568">
        <f>F27</f>
        <v>100</v>
      </c>
      <c r="T27" s="1567" t="s">
        <v>8</v>
      </c>
      <c r="U27" s="1568">
        <f>H27</f>
        <v>100</v>
      </c>
      <c r="V27" s="1567" t="s">
        <v>8</v>
      </c>
      <c r="W27" s="1568">
        <f>J27</f>
        <v>100</v>
      </c>
      <c r="X27" s="1569"/>
      <c r="Y27" s="3436"/>
      <c r="Z27" s="1149" t="str">
        <f>Q27</f>
        <v>人流量</v>
      </c>
      <c r="AA27" s="1575">
        <f>D27/F27</f>
        <v>1</v>
      </c>
      <c r="AB27" s="1575">
        <f>D27/H27</f>
        <v>1</v>
      </c>
      <c r="AC27" s="1575">
        <f>D27/J27</f>
        <v>1</v>
      </c>
    </row>
    <row r="28" spans="1:29" ht="15">
      <c r="A28" s="533"/>
      <c r="B28" s="530"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3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6"/>
      <c r="Z28" s="1574" t="str">
        <f t="shared" ref="Z28:Z46" si="15">Q28</f>
        <v>楼层</v>
      </c>
      <c r="AA28" s="1575">
        <f t="shared" si="3"/>
        <v>1</v>
      </c>
      <c r="AB28" s="1575">
        <f t="shared" si="4"/>
        <v>1</v>
      </c>
      <c r="AC28" s="1575">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36"/>
      <c r="Q29" s="1571">
        <f t="shared" si="11"/>
        <v>111</v>
      </c>
      <c r="R29" s="1572" t="s">
        <v>8</v>
      </c>
      <c r="S29" s="1573">
        <f t="shared" si="12"/>
        <v>100</v>
      </c>
      <c r="T29" s="1572" t="s">
        <v>8</v>
      </c>
      <c r="U29" s="1573">
        <f t="shared" si="13"/>
        <v>100</v>
      </c>
      <c r="V29" s="1572" t="s">
        <v>8</v>
      </c>
      <c r="W29" s="1573">
        <f t="shared" si="14"/>
        <v>100</v>
      </c>
      <c r="X29" s="1566"/>
      <c r="Y29" s="3436"/>
      <c r="Z29" s="1574">
        <f t="shared" si="15"/>
        <v>111</v>
      </c>
      <c r="AA29" s="1575">
        <f t="shared" si="3"/>
        <v>1</v>
      </c>
      <c r="AB29" s="1575">
        <f t="shared" si="4"/>
        <v>1</v>
      </c>
      <c r="AC29" s="1575">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
      <c r="A32" s="2930" t="s">
        <v>2761</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37" t="s">
        <v>551</v>
      </c>
      <c r="Q32" s="1571" t="str">
        <f t="shared" si="11"/>
        <v>商业类型</v>
      </c>
      <c r="R32" s="1572" t="s">
        <v>8</v>
      </c>
      <c r="S32" s="1573">
        <f t="shared" si="12"/>
        <v>100</v>
      </c>
      <c r="T32" s="1572" t="s">
        <v>8</v>
      </c>
      <c r="U32" s="1573">
        <f t="shared" si="13"/>
        <v>100</v>
      </c>
      <c r="V32" s="1572" t="s">
        <v>8</v>
      </c>
      <c r="W32" s="1573">
        <f t="shared" si="14"/>
        <v>100</v>
      </c>
      <c r="X32" s="1566"/>
      <c r="Y32" s="3438" t="s">
        <v>551</v>
      </c>
      <c r="Z32" s="1574" t="str">
        <f t="shared" si="15"/>
        <v>商业类型</v>
      </c>
      <c r="AA32" s="1575">
        <f t="shared" si="3"/>
        <v>1</v>
      </c>
      <c r="AB32" s="1575">
        <f t="shared" si="4"/>
        <v>1</v>
      </c>
      <c r="AC32" s="1575">
        <f t="shared" si="5"/>
        <v>1</v>
      </c>
    </row>
    <row r="33" spans="1:29" s="1338" customFormat="1" ht="15">
      <c r="A33" s="604"/>
      <c r="B33" s="530" t="s">
        <v>727</v>
      </c>
      <c r="C33" s="881"/>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39"/>
      <c r="M33" s="2170"/>
      <c r="N33" s="2170"/>
      <c r="O33" s="2142"/>
      <c r="P33" s="3438"/>
      <c r="Q33" s="1604" t="str">
        <f t="shared" si="11"/>
        <v>项目建筑规模</v>
      </c>
      <c r="R33" s="1576" t="s">
        <v>8</v>
      </c>
      <c r="S33" s="1577" t="e">
        <f t="shared" si="12"/>
        <v>#N/A</v>
      </c>
      <c r="T33" s="1576" t="s">
        <v>8</v>
      </c>
      <c r="U33" s="1577" t="e">
        <f t="shared" si="13"/>
        <v>#N/A</v>
      </c>
      <c r="V33" s="1576" t="s">
        <v>8</v>
      </c>
      <c r="W33" s="1577" t="e">
        <f t="shared" si="14"/>
        <v>#N/A</v>
      </c>
      <c r="X33" s="1578"/>
      <c r="Y33" s="3438"/>
      <c r="Z33" s="1579" t="str">
        <f t="shared" si="15"/>
        <v>项目建筑规模</v>
      </c>
      <c r="AA33" s="1575" t="e">
        <f t="shared" si="3"/>
        <v>#N/A</v>
      </c>
      <c r="AB33" s="1575" t="e">
        <f t="shared" si="4"/>
        <v>#N/A</v>
      </c>
      <c r="AC33" s="1575" t="e">
        <f t="shared" si="5"/>
        <v>#N/A</v>
      </c>
    </row>
    <row r="34" spans="1:29" ht="15">
      <c r="A34" s="595"/>
      <c r="B34" s="530"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1"/>
      <c r="M34" s="2133"/>
      <c r="N34" s="2133"/>
      <c r="O34" s="2140"/>
      <c r="P34" s="3438"/>
      <c r="Q34" s="1571" t="str">
        <f t="shared" si="11"/>
        <v>建筑结构</v>
      </c>
      <c r="R34" s="1572" t="s">
        <v>8</v>
      </c>
      <c r="S34" s="1573">
        <f t="shared" si="12"/>
        <v>100</v>
      </c>
      <c r="T34" s="1572" t="s">
        <v>8</v>
      </c>
      <c r="U34" s="1573">
        <f t="shared" si="13"/>
        <v>100</v>
      </c>
      <c r="V34" s="1572" t="s">
        <v>8</v>
      </c>
      <c r="W34" s="1573">
        <f t="shared" si="14"/>
        <v>100</v>
      </c>
      <c r="X34" s="1566"/>
      <c r="Y34" s="3438"/>
      <c r="Z34" s="1574" t="str">
        <f t="shared" si="15"/>
        <v>建筑结构</v>
      </c>
      <c r="AA34" s="1575">
        <f t="shared" si="3"/>
        <v>1</v>
      </c>
      <c r="AB34" s="1575">
        <f t="shared" si="4"/>
        <v>1</v>
      </c>
      <c r="AC34" s="1575">
        <f t="shared" si="5"/>
        <v>1</v>
      </c>
    </row>
    <row r="35" spans="1:29" ht="15">
      <c r="A35" s="595"/>
      <c r="B35" s="530"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38"/>
      <c r="Q35" s="1571" t="str">
        <f t="shared" si="11"/>
        <v>公共部分装修</v>
      </c>
      <c r="R35" s="1572" t="s">
        <v>8</v>
      </c>
      <c r="S35" s="1573">
        <f t="shared" si="12"/>
        <v>100</v>
      </c>
      <c r="T35" s="1572" t="s">
        <v>8</v>
      </c>
      <c r="U35" s="1573">
        <f t="shared" si="13"/>
        <v>100</v>
      </c>
      <c r="V35" s="1572" t="s">
        <v>8</v>
      </c>
      <c r="W35" s="1573">
        <f t="shared" si="14"/>
        <v>100</v>
      </c>
      <c r="X35" s="1566"/>
      <c r="Y35" s="3438"/>
      <c r="Z35" s="1574" t="str">
        <f t="shared" si="15"/>
        <v>公共部分装修</v>
      </c>
      <c r="AA35" s="1575">
        <f t="shared" si="3"/>
        <v>1</v>
      </c>
      <c r="AB35" s="1575">
        <f t="shared" si="4"/>
        <v>1</v>
      </c>
      <c r="AC35" s="1575">
        <f t="shared" si="5"/>
        <v>1</v>
      </c>
    </row>
    <row r="36" spans="1:29" ht="15">
      <c r="A36" s="595"/>
      <c r="B36" s="530"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1"/>
      <c r="M36" s="2133"/>
      <c r="N36" s="2133"/>
      <c r="O36" s="2140"/>
      <c r="P36" s="3438"/>
      <c r="Q36" s="1571" t="str">
        <f t="shared" si="11"/>
        <v>成新度</v>
      </c>
      <c r="R36" s="1572" t="s">
        <v>8</v>
      </c>
      <c r="S36" s="1573" t="e">
        <f t="shared" si="12"/>
        <v>#N/A</v>
      </c>
      <c r="T36" s="1572" t="s">
        <v>8</v>
      </c>
      <c r="U36" s="1573" t="e">
        <f t="shared" si="13"/>
        <v>#N/A</v>
      </c>
      <c r="V36" s="1572" t="s">
        <v>8</v>
      </c>
      <c r="W36" s="1573" t="e">
        <f t="shared" si="14"/>
        <v>#N/A</v>
      </c>
      <c r="X36" s="1566"/>
      <c r="Y36" s="3438"/>
      <c r="Z36" s="1574" t="str">
        <f t="shared" si="15"/>
        <v>成新度</v>
      </c>
      <c r="AA36" s="1575" t="e">
        <f t="shared" si="3"/>
        <v>#N/A</v>
      </c>
      <c r="AB36" s="1575" t="e">
        <f t="shared" si="4"/>
        <v>#N/A</v>
      </c>
      <c r="AC36" s="1575" t="e">
        <f t="shared" si="5"/>
        <v>#N/A</v>
      </c>
    </row>
    <row r="37" spans="1:29" s="1219" customFormat="1" ht="15">
      <c r="A37" s="601"/>
      <c r="B37" s="1895" t="s">
        <v>2569</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38"/>
      <c r="Q37" s="1150" t="str">
        <f t="shared" si="11"/>
        <v>市政基础设施</v>
      </c>
      <c r="R37" s="1567" t="s">
        <v>8</v>
      </c>
      <c r="S37" s="1568">
        <f t="shared" si="12"/>
        <v>100</v>
      </c>
      <c r="T37" s="1567" t="s">
        <v>8</v>
      </c>
      <c r="U37" s="1568">
        <f t="shared" si="13"/>
        <v>100</v>
      </c>
      <c r="V37" s="1567" t="s">
        <v>8</v>
      </c>
      <c r="W37" s="1568">
        <f t="shared" si="14"/>
        <v>100</v>
      </c>
      <c r="X37" s="1569"/>
      <c r="Y37" s="3438"/>
      <c r="Z37" s="1149" t="str">
        <f t="shared" si="15"/>
        <v>市政基础设施</v>
      </c>
      <c r="AA37" s="1570">
        <f t="shared" si="3"/>
        <v>1</v>
      </c>
      <c r="AB37" s="1570">
        <f t="shared" si="4"/>
        <v>1</v>
      </c>
      <c r="AC37" s="1570">
        <f t="shared" si="5"/>
        <v>1</v>
      </c>
    </row>
    <row r="38" spans="1:29" ht="15">
      <c r="A38" s="595"/>
      <c r="B38" s="530"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38" t="s">
        <v>767</v>
      </c>
      <c r="Q38" s="1571" t="str">
        <f t="shared" si="11"/>
        <v>业态</v>
      </c>
      <c r="R38" s="1572" t="s">
        <v>8</v>
      </c>
      <c r="S38" s="1573">
        <f t="shared" si="12"/>
        <v>100</v>
      </c>
      <c r="T38" s="1572" t="s">
        <v>8</v>
      </c>
      <c r="U38" s="1573">
        <f t="shared" si="13"/>
        <v>100</v>
      </c>
      <c r="V38" s="1572" t="s">
        <v>8</v>
      </c>
      <c r="W38" s="1573">
        <f t="shared" si="14"/>
        <v>100</v>
      </c>
      <c r="X38" s="1566"/>
      <c r="Y38" s="3438" t="s">
        <v>767</v>
      </c>
      <c r="Z38" s="1574" t="str">
        <f t="shared" si="15"/>
        <v>业态</v>
      </c>
      <c r="AA38" s="1575">
        <f t="shared" si="3"/>
        <v>1</v>
      </c>
      <c r="AB38" s="1575">
        <f t="shared" si="4"/>
        <v>1</v>
      </c>
      <c r="AC38" s="1575">
        <f t="shared" si="5"/>
        <v>1</v>
      </c>
    </row>
    <row r="39" spans="1:29" ht="15">
      <c r="A39" s="595"/>
      <c r="B39" s="530"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38"/>
      <c r="Q39" s="1571" t="str">
        <f t="shared" si="11"/>
        <v>层高</v>
      </c>
      <c r="R39" s="1572" t="s">
        <v>8</v>
      </c>
      <c r="S39" s="1573">
        <f t="shared" si="12"/>
        <v>100</v>
      </c>
      <c r="T39" s="1572" t="s">
        <v>8</v>
      </c>
      <c r="U39" s="1573">
        <f t="shared" si="13"/>
        <v>100</v>
      </c>
      <c r="V39" s="1572" t="s">
        <v>8</v>
      </c>
      <c r="W39" s="1573">
        <f t="shared" si="14"/>
        <v>100</v>
      </c>
      <c r="X39" s="1566"/>
      <c r="Y39" s="3438"/>
      <c r="Z39" s="1574" t="str">
        <f t="shared" si="15"/>
        <v>层高</v>
      </c>
      <c r="AA39" s="1575">
        <f t="shared" si="3"/>
        <v>1</v>
      </c>
      <c r="AB39" s="1575">
        <f t="shared" si="4"/>
        <v>1</v>
      </c>
      <c r="AC39" s="1575">
        <f t="shared" si="5"/>
        <v>1</v>
      </c>
    </row>
    <row r="40" spans="1:29" ht="15">
      <c r="A40" s="595"/>
      <c r="B40" s="530"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1"/>
      <c r="M40" s="2133"/>
      <c r="N40" s="2133"/>
      <c r="O40" s="2140"/>
      <c r="P40" s="3438"/>
      <c r="Q40" s="1571" t="str">
        <f t="shared" si="11"/>
        <v>单套建筑面积</v>
      </c>
      <c r="R40" s="1572" t="s">
        <v>8</v>
      </c>
      <c r="S40" s="1573">
        <f t="shared" si="12"/>
        <v>100</v>
      </c>
      <c r="T40" s="1572" t="s">
        <v>8</v>
      </c>
      <c r="U40" s="1573">
        <f t="shared" si="13"/>
        <v>100</v>
      </c>
      <c r="V40" s="1572" t="s">
        <v>8</v>
      </c>
      <c r="W40" s="1573">
        <f t="shared" si="14"/>
        <v>100</v>
      </c>
      <c r="X40" s="1566"/>
      <c r="Y40" s="3438"/>
      <c r="Z40" s="1574" t="str">
        <f t="shared" si="15"/>
        <v>单套建筑面积</v>
      </c>
      <c r="AA40" s="1575">
        <f t="shared" si="3"/>
        <v>1</v>
      </c>
      <c r="AB40" s="1575">
        <f t="shared" si="4"/>
        <v>1</v>
      </c>
      <c r="AC40" s="1575">
        <f t="shared" si="5"/>
        <v>1</v>
      </c>
    </row>
    <row r="41" spans="1:29" s="1338"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1575">
        <f t="shared" si="3"/>
        <v>1</v>
      </c>
      <c r="AB41" s="1575">
        <f t="shared" si="4"/>
        <v>1</v>
      </c>
      <c r="AC41" s="1575">
        <f t="shared" si="5"/>
        <v>1</v>
      </c>
    </row>
    <row r="42" spans="1:29" ht="15">
      <c r="A42" s="595"/>
      <c r="B42" s="530"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38"/>
      <c r="Q42" s="1571" t="str">
        <f t="shared" si="11"/>
        <v>内部装修</v>
      </c>
      <c r="R42" s="1572" t="s">
        <v>8</v>
      </c>
      <c r="S42" s="1573">
        <f t="shared" si="12"/>
        <v>100</v>
      </c>
      <c r="T42" s="1572" t="s">
        <v>8</v>
      </c>
      <c r="U42" s="1573">
        <f t="shared" si="13"/>
        <v>100</v>
      </c>
      <c r="V42" s="1572" t="s">
        <v>8</v>
      </c>
      <c r="W42" s="1573">
        <f t="shared" si="14"/>
        <v>100</v>
      </c>
      <c r="X42" s="1566"/>
      <c r="Y42" s="3438"/>
      <c r="Z42" s="1574" t="str">
        <f t="shared" si="15"/>
        <v>内部装修</v>
      </c>
      <c r="AA42" s="1575">
        <f t="shared" si="3"/>
        <v>1</v>
      </c>
      <c r="AB42" s="1575">
        <f t="shared" si="4"/>
        <v>1</v>
      </c>
      <c r="AC42" s="1575">
        <f t="shared" si="5"/>
        <v>1</v>
      </c>
    </row>
    <row r="43" spans="1:29" ht="27">
      <c r="A43" s="595"/>
      <c r="B43" s="530"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38"/>
      <c r="Q43" s="1571" t="str">
        <f t="shared" si="11"/>
        <v>内部装修维护情况</v>
      </c>
      <c r="R43" s="1572" t="s">
        <v>8</v>
      </c>
      <c r="S43" s="1573">
        <f t="shared" si="12"/>
        <v>100</v>
      </c>
      <c r="T43" s="1572" t="s">
        <v>8</v>
      </c>
      <c r="U43" s="1573">
        <f t="shared" si="13"/>
        <v>100</v>
      </c>
      <c r="V43" s="1572" t="s">
        <v>8</v>
      </c>
      <c r="W43" s="1573">
        <f t="shared" si="14"/>
        <v>100</v>
      </c>
      <c r="X43" s="1566"/>
      <c r="Y43" s="3438"/>
      <c r="Z43" s="1574" t="str">
        <f t="shared" si="15"/>
        <v>内部装修维护情况</v>
      </c>
      <c r="AA43" s="1575">
        <f t="shared" si="3"/>
        <v>1</v>
      </c>
      <c r="AB43" s="1575">
        <f t="shared" si="4"/>
        <v>1</v>
      </c>
      <c r="AC43" s="1575">
        <f t="shared" si="5"/>
        <v>1</v>
      </c>
    </row>
    <row r="44" spans="1:29" s="1219" customFormat="1" ht="15">
      <c r="A44" s="601"/>
      <c r="B44" s="878">
        <v>111</v>
      </c>
      <c r="C44" s="881"/>
      <c r="D44" s="255">
        <v>100</v>
      </c>
      <c r="E44" s="540"/>
      <c r="F44" s="864">
        <f>SUMIF(126:126,E44,127:127)-SUMIF(126:126,C44,127:127)+100</f>
        <v>100</v>
      </c>
      <c r="G44" s="540"/>
      <c r="H44" s="255">
        <f>SUMIF(126:126,G44,127:127)-SUMIF(126:126,C44,127:127)+100</f>
        <v>100</v>
      </c>
      <c r="I44" s="540"/>
      <c r="J44" s="255">
        <f>SUMIF(126:126,I44,127:127)-SUMIF(126:126,C44,127:127)+100</f>
        <v>100</v>
      </c>
      <c r="K44" s="582"/>
      <c r="L44" s="2134"/>
      <c r="M44" s="2135"/>
      <c r="N44" s="2135"/>
      <c r="O44" s="2136"/>
      <c r="P44" s="3438"/>
      <c r="Q44" s="1150">
        <f t="shared" si="11"/>
        <v>111</v>
      </c>
      <c r="R44" s="1567" t="s">
        <v>8</v>
      </c>
      <c r="S44" s="1568">
        <f t="shared" si="12"/>
        <v>100</v>
      </c>
      <c r="T44" s="1567" t="s">
        <v>8</v>
      </c>
      <c r="U44" s="1568">
        <f t="shared" si="13"/>
        <v>100</v>
      </c>
      <c r="V44" s="1567" t="s">
        <v>8</v>
      </c>
      <c r="W44" s="1568">
        <f t="shared" si="14"/>
        <v>100</v>
      </c>
      <c r="X44" s="1569"/>
      <c r="Y44" s="3438"/>
      <c r="Z44" s="1149">
        <f t="shared" si="15"/>
        <v>111</v>
      </c>
      <c r="AA44" s="1570">
        <f t="shared" si="3"/>
        <v>1</v>
      </c>
      <c r="AB44" s="1570">
        <f t="shared" si="4"/>
        <v>1</v>
      </c>
      <c r="AC44" s="1570">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38"/>
      <c r="Q45" s="1571">
        <f t="shared" si="11"/>
        <v>111</v>
      </c>
      <c r="R45" s="1572" t="s">
        <v>8</v>
      </c>
      <c r="S45" s="1573">
        <f t="shared" si="12"/>
        <v>100</v>
      </c>
      <c r="T45" s="1572" t="s">
        <v>8</v>
      </c>
      <c r="U45" s="1573">
        <f t="shared" si="13"/>
        <v>100</v>
      </c>
      <c r="V45" s="1572" t="s">
        <v>8</v>
      </c>
      <c r="W45" s="1573">
        <f t="shared" si="14"/>
        <v>100</v>
      </c>
      <c r="X45" s="1566"/>
      <c r="Y45" s="3438"/>
      <c r="Z45" s="1574">
        <f t="shared" si="15"/>
        <v>111</v>
      </c>
      <c r="AA45" s="1575">
        <f t="shared" si="3"/>
        <v>1</v>
      </c>
      <c r="AB45" s="1575">
        <f t="shared" si="4"/>
        <v>1</v>
      </c>
      <c r="AC45" s="1575">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513"/>
      <c r="Q46" s="1571">
        <f t="shared" si="11"/>
        <v>111</v>
      </c>
      <c r="R46" s="1572" t="s">
        <v>8</v>
      </c>
      <c r="S46" s="1573">
        <f t="shared" si="12"/>
        <v>100</v>
      </c>
      <c r="T46" s="1572" t="s">
        <v>8</v>
      </c>
      <c r="U46" s="1573">
        <f t="shared" si="13"/>
        <v>100</v>
      </c>
      <c r="V46" s="1572" t="s">
        <v>8</v>
      </c>
      <c r="W46" s="1573">
        <f t="shared" si="14"/>
        <v>100</v>
      </c>
      <c r="X46" s="1566"/>
      <c r="Y46" s="3513"/>
      <c r="Z46" s="1574">
        <f t="shared" si="15"/>
        <v>111</v>
      </c>
      <c r="AA46" s="1575">
        <f t="shared" si="3"/>
        <v>1</v>
      </c>
      <c r="AB46" s="1575">
        <f t="shared" si="4"/>
        <v>1</v>
      </c>
      <c r="AC46" s="1575">
        <f t="shared" si="5"/>
        <v>1</v>
      </c>
    </row>
    <row r="47" spans="1:29" ht="15">
      <c r="A47" s="608" t="s">
        <v>737</v>
      </c>
      <c r="B47" s="888"/>
      <c r="C47" s="2648" t="s">
        <v>1</v>
      </c>
      <c r="D47" s="2649"/>
      <c r="E47" s="2650"/>
      <c r="F47" s="2651"/>
      <c r="G47" s="2652"/>
      <c r="H47" s="2653"/>
      <c r="I47" s="2650"/>
      <c r="J47" s="2653"/>
      <c r="K47" s="1610"/>
      <c r="L47" s="2143"/>
      <c r="M47" s="2144"/>
      <c r="N47" s="2133"/>
      <c r="O47" s="2144"/>
      <c r="P47" s="3433" t="str">
        <f>A47</f>
        <v>成交单价（元/平方米）</v>
      </c>
      <c r="Q47" s="3433"/>
      <c r="R47" s="3512">
        <f>E47</f>
        <v>0</v>
      </c>
      <c r="S47" s="3512"/>
      <c r="T47" s="3512">
        <f>G47</f>
        <v>0</v>
      </c>
      <c r="U47" s="3512"/>
      <c r="V47" s="3512">
        <f>I47</f>
        <v>0</v>
      </c>
      <c r="W47" s="3512"/>
      <c r="X47" s="1558"/>
      <c r="Y47" s="1580"/>
      <c r="Z47" s="1558"/>
      <c r="AA47" s="1558"/>
      <c r="AB47" s="1558"/>
      <c r="AC47" s="1558"/>
    </row>
    <row r="48" spans="1:29" ht="15.75" thickBot="1">
      <c r="A48" s="616" t="s">
        <v>2766</v>
      </c>
      <c r="B48" s="889"/>
      <c r="C48" s="2654" t="e">
        <f>R49</f>
        <v>#DIV/0!</v>
      </c>
      <c r="D48" s="2655"/>
      <c r="E48" s="2656" t="e">
        <f>R48</f>
        <v>#DIV/0!</v>
      </c>
      <c r="F48" s="2656"/>
      <c r="G48" s="2654" t="e">
        <f>T48</f>
        <v>#DIV/0!</v>
      </c>
      <c r="H48" s="2655"/>
      <c r="I48" s="2656" t="e">
        <f>V48</f>
        <v>#DIV/0!</v>
      </c>
      <c r="J48" s="2655"/>
      <c r="K48" s="1611"/>
      <c r="L48" s="2143"/>
      <c r="M48" s="2144"/>
      <c r="N48" s="2133"/>
      <c r="O48" s="2144"/>
      <c r="P48" s="3433" t="str">
        <f>A48</f>
        <v>比较价格（元/平方米）</v>
      </c>
      <c r="Q48" s="3433"/>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8"/>
      <c r="Y48" s="1558"/>
      <c r="Z48" s="1558"/>
      <c r="AA48" s="1558"/>
      <c r="AB48" s="1558"/>
      <c r="AC48" s="1558"/>
    </row>
    <row r="49" spans="1:29" ht="15.75" thickBot="1">
      <c r="A49" s="622" t="s">
        <v>2925</v>
      </c>
      <c r="B49" s="623"/>
      <c r="C49" s="2657" t="e">
        <f>R49</f>
        <v>#DIV/0!</v>
      </c>
      <c r="D49" s="2657"/>
      <c r="E49" s="2657"/>
      <c r="F49" s="2657"/>
      <c r="G49" s="2657"/>
      <c r="H49" s="2657"/>
      <c r="I49" s="2657"/>
      <c r="J49" s="2657"/>
      <c r="K49" s="1612"/>
      <c r="L49" s="2143"/>
      <c r="M49" s="2144"/>
      <c r="N49" s="2133"/>
      <c r="O49" s="2144"/>
      <c r="P49" s="3454" t="str">
        <f>A49</f>
        <v>估价对象XX用房的比较价格（楼面单价，元/平方米）</v>
      </c>
      <c r="Q49" s="3455"/>
      <c r="R49" s="3511" t="e">
        <f>IF(F1="售价",ROUND(AVERAGE(R48:V48),0),ROUND(AVERAGE(R48:V48),1))</f>
        <v>#DIV/0!</v>
      </c>
      <c r="S49" s="3511"/>
      <c r="T49" s="3511"/>
      <c r="U49" s="3511"/>
      <c r="V49" s="3511"/>
      <c r="W49" s="351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5"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4"/>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674" t="s">
        <v>772</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tr">
        <f>B26</f>
        <v>平面位置/可视性</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1"/>
      <c r="M92" s="89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5">
        <v>0.5</v>
      </c>
      <c r="D110" s="895">
        <v>0.6</v>
      </c>
      <c r="E110" s="895">
        <v>0.7</v>
      </c>
      <c r="F110" s="895">
        <v>0.8</v>
      </c>
      <c r="G110" s="895">
        <v>0.9</v>
      </c>
      <c r="H110" s="895">
        <v>1.0001</v>
      </c>
      <c r="I110" s="906"/>
      <c r="J110" s="906"/>
      <c r="K110" s="907"/>
      <c r="L110" s="908"/>
      <c r="M110" s="909"/>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9"/>
      <c r="B112" s="1896" t="s">
        <v>2560</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10"/>
      <c r="D118" s="910"/>
      <c r="E118" s="910"/>
      <c r="F118" s="910"/>
      <c r="G118" s="910"/>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778</v>
      </c>
      <c r="C1" s="507" t="s">
        <v>721</v>
      </c>
      <c r="D1" s="850"/>
      <c r="E1" s="509"/>
      <c r="F1" s="2830"/>
      <c r="G1" s="1600" t="s">
        <v>722</v>
      </c>
      <c r="H1" s="509"/>
      <c r="I1" s="509"/>
      <c r="J1" s="509"/>
      <c r="K1" s="510"/>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12" t="s">
        <v>520</v>
      </c>
      <c r="B3" s="513" t="e">
        <f>C50</f>
        <v>#DIV/0!</v>
      </c>
      <c r="C3" s="853" t="s">
        <v>723</v>
      </c>
      <c r="D3" s="852">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5" t="s">
        <v>522</v>
      </c>
      <c r="B4" s="516"/>
      <c r="C4" s="3439" t="s">
        <v>523</v>
      </c>
      <c r="D4" s="3440"/>
      <c r="E4" s="3463" t="s">
        <v>524</v>
      </c>
      <c r="F4" s="3464"/>
      <c r="G4" s="3439" t="s">
        <v>525</v>
      </c>
      <c r="H4" s="3440"/>
      <c r="I4" s="3439" t="s">
        <v>526</v>
      </c>
      <c r="J4" s="3440"/>
      <c r="K4" s="517" t="s">
        <v>527</v>
      </c>
      <c r="L4" s="2132"/>
      <c r="M4" s="2133"/>
      <c r="N4" s="2133"/>
      <c r="O4" s="2133"/>
      <c r="P4" s="3537" t="s">
        <v>528</v>
      </c>
      <c r="Q4" s="3442"/>
      <c r="R4" s="3427" t="s">
        <v>524</v>
      </c>
      <c r="S4" s="3428"/>
      <c r="T4" s="3427" t="s">
        <v>525</v>
      </c>
      <c r="U4" s="3428"/>
      <c r="V4" s="3447" t="s">
        <v>526</v>
      </c>
      <c r="W4" s="3447"/>
      <c r="X4" s="1566"/>
      <c r="Y4" s="3427" t="s">
        <v>528</v>
      </c>
      <c r="Z4" s="3428"/>
      <c r="AA4" s="3422" t="s">
        <v>524</v>
      </c>
      <c r="AB4" s="3422" t="s">
        <v>525</v>
      </c>
      <c r="AC4" s="3422" t="s">
        <v>526</v>
      </c>
    </row>
    <row r="5" spans="1:29" ht="15">
      <c r="A5" s="518"/>
      <c r="B5" s="519"/>
      <c r="C5" s="3467" t="s">
        <v>2919</v>
      </c>
      <c r="D5" s="3451"/>
      <c r="E5" s="3465" t="s">
        <v>2920</v>
      </c>
      <c r="F5" s="3466"/>
      <c r="G5" s="3467" t="s">
        <v>2921</v>
      </c>
      <c r="H5" s="3451"/>
      <c r="I5" s="3467" t="s">
        <v>2922</v>
      </c>
      <c r="J5" s="3451"/>
      <c r="K5" s="517"/>
      <c r="L5" s="2132"/>
      <c r="M5" s="2133"/>
      <c r="N5" s="2133"/>
      <c r="O5" s="2133"/>
      <c r="P5" s="3538"/>
      <c r="Q5" s="3444"/>
      <c r="R5" s="3429"/>
      <c r="S5" s="3430"/>
      <c r="T5" s="3429"/>
      <c r="U5" s="3430"/>
      <c r="V5" s="3447"/>
      <c r="W5" s="3447"/>
      <c r="X5" s="1566"/>
      <c r="Y5" s="3429"/>
      <c r="Z5" s="3430"/>
      <c r="AA5" s="3423"/>
      <c r="AB5" s="3423"/>
      <c r="AC5" s="3423"/>
    </row>
    <row r="6" spans="1:29" ht="15.75" thickBot="1">
      <c r="A6" s="520"/>
      <c r="B6" s="521"/>
      <c r="C6" s="3448" t="s">
        <v>2923</v>
      </c>
      <c r="D6" s="3449"/>
      <c r="E6" s="3468" t="s">
        <v>2923</v>
      </c>
      <c r="F6" s="3469"/>
      <c r="G6" s="3448" t="s">
        <v>2923</v>
      </c>
      <c r="H6" s="3449"/>
      <c r="I6" s="3448" t="s">
        <v>2923</v>
      </c>
      <c r="J6" s="3449"/>
      <c r="K6" s="517" t="s">
        <v>529</v>
      </c>
      <c r="L6" s="2132"/>
      <c r="M6" s="2133"/>
      <c r="N6" s="2133"/>
      <c r="O6" s="2133"/>
      <c r="P6" s="3539"/>
      <c r="Q6" s="3446"/>
      <c r="R6" s="3429"/>
      <c r="S6" s="3430"/>
      <c r="T6" s="3431"/>
      <c r="U6" s="3432"/>
      <c r="V6" s="3447"/>
      <c r="W6" s="3447"/>
      <c r="X6" s="1566"/>
      <c r="Y6" s="3431"/>
      <c r="Z6" s="3432"/>
      <c r="AA6" s="3424"/>
      <c r="AB6" s="3424"/>
      <c r="AC6" s="3424"/>
    </row>
    <row r="7" spans="1:29" s="1219" customFormat="1" ht="15.75" thickBot="1">
      <c r="A7" s="2934"/>
      <c r="B7" s="2941" t="s">
        <v>530</v>
      </c>
      <c r="C7" s="522">
        <f>'数据-取费表'!B2</f>
        <v>43031</v>
      </c>
      <c r="D7" s="523">
        <v>100</v>
      </c>
      <c r="E7" s="524"/>
      <c r="F7" s="525">
        <f>SUMIF(59:59,YEAR(E7)&amp;"-"&amp;MONTH(E7),60:60)</f>
        <v>0</v>
      </c>
      <c r="G7" s="524"/>
      <c r="H7" s="523">
        <f>SUMIF(59:59,YEAR(G7)&amp;"-"&amp;MONTH(G7),60:60)</f>
        <v>0</v>
      </c>
      <c r="I7" s="524"/>
      <c r="J7" s="523">
        <f>SUMIF(59:59,YEAR(I7)&amp;"-"&amp;MONTH(I7),60:60)</f>
        <v>0</v>
      </c>
      <c r="K7" s="527"/>
      <c r="L7" s="2134"/>
      <c r="M7" s="2135"/>
      <c r="N7" s="2135"/>
      <c r="O7" s="2135"/>
      <c r="P7" s="3434" t="s">
        <v>531</v>
      </c>
      <c r="Q7" s="3434"/>
      <c r="R7" s="1567" t="s">
        <v>8</v>
      </c>
      <c r="S7" s="1568">
        <f t="shared" ref="S7:S15" si="0">F7</f>
        <v>0</v>
      </c>
      <c r="T7" s="1567" t="s">
        <v>8</v>
      </c>
      <c r="U7" s="1568">
        <f t="shared" ref="U7:U15" si="1">H7</f>
        <v>0</v>
      </c>
      <c r="V7" s="1567" t="s">
        <v>8</v>
      </c>
      <c r="W7" s="1568">
        <f t="shared" ref="W7:W15" si="2">J7</f>
        <v>0</v>
      </c>
      <c r="X7" s="1569"/>
      <c r="Y7" s="3425" t="s">
        <v>531</v>
      </c>
      <c r="Z7" s="3426"/>
      <c r="AA7" s="1570" t="e">
        <f>D7/F7</f>
        <v>#DIV/0!</v>
      </c>
      <c r="AB7" s="1570" t="e">
        <f>D7/H7</f>
        <v>#DIV/0!</v>
      </c>
      <c r="AC7" s="1570" t="e">
        <f>D7/J7</f>
        <v>#DIV/0!</v>
      </c>
    </row>
    <row r="8" spans="1:29" s="1219" customFormat="1" ht="15.75" thickBot="1">
      <c r="A8" s="2935"/>
      <c r="B8" s="2942" t="s">
        <v>532</v>
      </c>
      <c r="C8" s="528" t="s">
        <v>577</v>
      </c>
      <c r="D8" s="523">
        <v>100</v>
      </c>
      <c r="E8" s="528"/>
      <c r="F8" s="525">
        <f>SUMIF(62:62,E8,63:63)-SUMIF(62:62,C8,63:63)+100</f>
        <v>0</v>
      </c>
      <c r="G8" s="528"/>
      <c r="H8" s="523">
        <f>SUMIF(62:62,G8,63:63)-SUMIF(62:62,C8,63:63)+100</f>
        <v>0</v>
      </c>
      <c r="I8" s="528"/>
      <c r="J8" s="523">
        <f>SUMIF(62:62,I8,63:63)-SUMIF(62:62,C8,63:63)+100</f>
        <v>0</v>
      </c>
      <c r="K8" s="527"/>
      <c r="L8" s="2134"/>
      <c r="M8" s="2135"/>
      <c r="N8" s="2135"/>
      <c r="O8" s="2135"/>
      <c r="P8" s="3434" t="s">
        <v>534</v>
      </c>
      <c r="Q8" s="3426"/>
      <c r="R8" s="1567" t="s">
        <v>8</v>
      </c>
      <c r="S8" s="1568">
        <f t="shared" si="0"/>
        <v>0</v>
      </c>
      <c r="T8" s="1567" t="s">
        <v>8</v>
      </c>
      <c r="U8" s="1568">
        <f t="shared" si="1"/>
        <v>0</v>
      </c>
      <c r="V8" s="1567" t="s">
        <v>8</v>
      </c>
      <c r="W8" s="1568">
        <f t="shared" si="2"/>
        <v>0</v>
      </c>
      <c r="X8" s="1569"/>
      <c r="Y8" s="3425" t="s">
        <v>534</v>
      </c>
      <c r="Z8" s="3426"/>
      <c r="AA8" s="1570" t="e">
        <f t="shared" ref="AA8:AA47" si="3">D8/F8</f>
        <v>#DIV/0!</v>
      </c>
      <c r="AB8" s="1570" t="e">
        <f t="shared" ref="AB8:AB47" si="4">D8/H8</f>
        <v>#DIV/0!</v>
      </c>
      <c r="AC8" s="1570" t="e">
        <f t="shared" ref="AC8:AC47" si="5">D8/J8</f>
        <v>#DIV/0!</v>
      </c>
    </row>
    <row r="9" spans="1:29" s="1219" customFormat="1" ht="15">
      <c r="A9" s="2936"/>
      <c r="B9" s="2943" t="s">
        <v>2762</v>
      </c>
      <c r="C9" s="858"/>
      <c r="D9" s="254">
        <v>100</v>
      </c>
      <c r="E9" s="861"/>
      <c r="F9" s="254">
        <f>SUMIF(64:64,E9,65:65)-SUMIF(64:64,C9,65:65)+100</f>
        <v>100</v>
      </c>
      <c r="G9" s="859"/>
      <c r="H9" s="254">
        <f>SUMIF(64:64,G9,65:65)-SUMIF(64:64,C9,65:65)+100</f>
        <v>100</v>
      </c>
      <c r="I9" s="859"/>
      <c r="J9" s="254">
        <f>SUMIF(64:64,I9,65:65)-SUMIF(64:64,C9,65:65)+100</f>
        <v>100</v>
      </c>
      <c r="K9" s="527"/>
      <c r="L9" s="2134"/>
      <c r="M9" s="2135"/>
      <c r="N9" s="2135"/>
      <c r="O9" s="2135"/>
      <c r="P9" s="3433"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SUMIF(66:66,E10,67:67)-SUMIF(66:66,C10,67:67)+100</f>
        <v>100</v>
      </c>
      <c r="G10" s="863"/>
      <c r="H10" s="255">
        <f>SUMIF(66:66,G10,67:67)-SUMIF(66:66,C10,67:67)+100</f>
        <v>100</v>
      </c>
      <c r="I10" s="862"/>
      <c r="J10" s="255">
        <f>SUMIF(66:66,I10,67:67)-SUMIF(66:66,C10,67:67)+100</f>
        <v>100</v>
      </c>
      <c r="K10" s="585"/>
      <c r="L10" s="2137"/>
      <c r="M10" s="2177"/>
      <c r="N10" s="2177"/>
      <c r="O10" s="2177"/>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39"/>
      <c r="M11" s="2133"/>
      <c r="N11" s="2133"/>
      <c r="O11" s="2133"/>
      <c r="P11" s="3433"/>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31"/>
      <c r="F12" s="255">
        <f>SUMIF(71:71,E12,72:72)-SUMIF(71:71,C12,72:72)+100</f>
        <v>100</v>
      </c>
      <c r="G12" s="911"/>
      <c r="H12" s="255">
        <f>SUMIF(71:71,G12,72:72)-SUMIF(71:71,C12,72:72)+100</f>
        <v>100</v>
      </c>
      <c r="I12" s="531"/>
      <c r="J12" s="255">
        <f>SUMIF(71:71,I12,72:72)-SUMIF(71:71,C12,72:72)+100</f>
        <v>100</v>
      </c>
      <c r="K12" s="582"/>
      <c r="L12" s="2134"/>
      <c r="M12" s="2135"/>
      <c r="N12" s="2135"/>
      <c r="O12" s="2135"/>
      <c r="P12" s="3433"/>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39"/>
      <c r="B13" s="2945">
        <v>111</v>
      </c>
      <c r="C13" s="540"/>
      <c r="D13" s="541">
        <v>100</v>
      </c>
      <c r="E13" s="531"/>
      <c r="F13" s="255">
        <f>SUMIF(73:73,E13,74:74)-SUMIF(73:73,C13,74:74)+100</f>
        <v>100</v>
      </c>
      <c r="G13" s="911"/>
      <c r="H13" s="541">
        <f>SUMIF(73:73,G13,74:74)-SUMIF(73:73,C13,74:74)+100</f>
        <v>100</v>
      </c>
      <c r="I13" s="531"/>
      <c r="J13" s="541">
        <f>SUMIF(73:73,I13,74:74)-SUMIF(73:73,C13,74:74)+100</f>
        <v>100</v>
      </c>
      <c r="K13" s="582"/>
      <c r="L13" s="2141"/>
      <c r="M13" s="2133"/>
      <c r="N13" s="2133"/>
      <c r="O13" s="2133"/>
      <c r="P13" s="3433"/>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0"/>
      <c r="B14" s="2946">
        <v>111</v>
      </c>
      <c r="C14" s="546"/>
      <c r="D14" s="547">
        <v>100</v>
      </c>
      <c r="E14" s="912"/>
      <c r="F14" s="547">
        <f>SUMIF(75:75,E14,76:76)-SUMIF(75:75,C14,76:76)+100</f>
        <v>100</v>
      </c>
      <c r="G14" s="911"/>
      <c r="H14" s="547">
        <f>SUMIF(75:75,G14,76:76)-SUMIF(75:75,C14,76:76)+100</f>
        <v>100</v>
      </c>
      <c r="I14" s="531"/>
      <c r="J14" s="547">
        <f>SUMIF(75:75,I14,76:76)-SUMIF(75:75,C14,76:76)+100</f>
        <v>100</v>
      </c>
      <c r="K14" s="582"/>
      <c r="L14" s="2141"/>
      <c r="M14" s="2133"/>
      <c r="N14" s="2133"/>
      <c r="O14" s="2133"/>
      <c r="P14" s="3433"/>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15">
      <c r="A15" s="2932" t="s">
        <v>2760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1"/>
      <c r="M15" s="2133"/>
      <c r="N15" s="2133"/>
      <c r="O15" s="2133"/>
      <c r="P15" s="3435" t="s">
        <v>541</v>
      </c>
      <c r="Q15" s="1571" t="str">
        <f t="shared" si="6"/>
        <v>办公集聚程度</v>
      </c>
      <c r="R15" s="1572" t="s">
        <v>8</v>
      </c>
      <c r="S15" s="1573">
        <f t="shared" si="0"/>
        <v>100</v>
      </c>
      <c r="T15" s="1572" t="s">
        <v>8</v>
      </c>
      <c r="U15" s="1573">
        <f t="shared" si="1"/>
        <v>100</v>
      </c>
      <c r="V15" s="1572" t="s">
        <v>8</v>
      </c>
      <c r="W15" s="1573">
        <f t="shared" si="2"/>
        <v>100</v>
      </c>
      <c r="X15" s="1566"/>
      <c r="Y15" s="3435" t="s">
        <v>541</v>
      </c>
      <c r="Z15" s="1574" t="str">
        <f t="shared" si="7"/>
        <v>办公集聚程度</v>
      </c>
      <c r="AA15" s="1575">
        <f t="shared" si="3"/>
        <v>1</v>
      </c>
      <c r="AB15" s="1575">
        <f t="shared" si="4"/>
        <v>1</v>
      </c>
      <c r="AC15" s="1575">
        <f t="shared" si="5"/>
        <v>1</v>
      </c>
    </row>
    <row r="16" spans="1:29" ht="15">
      <c r="A16" s="533"/>
      <c r="B16" s="554"/>
      <c r="C16" s="555"/>
      <c r="D16" s="556"/>
      <c r="E16" s="577"/>
      <c r="F16" s="556"/>
      <c r="G16" s="555"/>
      <c r="H16" s="560"/>
      <c r="I16" s="577"/>
      <c r="J16" s="556"/>
      <c r="K16" s="900"/>
      <c r="L16" s="2141"/>
      <c r="M16" s="2133"/>
      <c r="N16" s="2133"/>
      <c r="O16" s="2133"/>
      <c r="P16" s="3436"/>
      <c r="Q16" s="1571"/>
      <c r="R16" s="1572"/>
      <c r="S16" s="1573"/>
      <c r="T16" s="1572"/>
      <c r="U16" s="1573"/>
      <c r="V16" s="1572"/>
      <c r="W16" s="1573"/>
      <c r="X16" s="1566"/>
      <c r="Y16" s="3436"/>
      <c r="Z16" s="1574"/>
      <c r="AA16" s="1575">
        <v>1</v>
      </c>
      <c r="AB16" s="1575">
        <v>1</v>
      </c>
      <c r="AC16" s="1575">
        <v>1</v>
      </c>
    </row>
    <row r="17" spans="1:29" ht="85.5">
      <c r="A17" s="533"/>
      <c r="B17" s="561" t="s">
        <v>296</v>
      </c>
      <c r="C17" s="574" t="str">
        <f>估价对象房地状况!C6</f>
        <v>咨询对象本身所属项目较大，本地块周边道路尚未建设完善，综合评价交通便捷度较差。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1"/>
      <c r="M17" s="2133"/>
      <c r="N17" s="2133"/>
      <c r="O17" s="2133"/>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3"/>
      <c r="B18" s="567"/>
      <c r="C18" s="568"/>
      <c r="D18" s="560"/>
      <c r="E18" s="570"/>
      <c r="F18" s="560"/>
      <c r="G18" s="569"/>
      <c r="H18" s="556"/>
      <c r="I18" s="569"/>
      <c r="J18" s="556"/>
      <c r="K18" s="900"/>
      <c r="L18" s="2141"/>
      <c r="M18" s="2133"/>
      <c r="N18" s="2133"/>
      <c r="O18" s="2133"/>
      <c r="P18" s="3436"/>
      <c r="Q18" s="1571"/>
      <c r="R18" s="1572"/>
      <c r="S18" s="1573"/>
      <c r="T18" s="1572"/>
      <c r="U18" s="1573"/>
      <c r="V18" s="1572"/>
      <c r="W18" s="1573"/>
      <c r="X18" s="1566"/>
      <c r="Y18" s="3436"/>
      <c r="Z18" s="1574"/>
      <c r="AA18" s="1575">
        <v>1</v>
      </c>
      <c r="AB18" s="1575">
        <v>1</v>
      </c>
      <c r="AC18" s="1575">
        <v>1</v>
      </c>
    </row>
    <row r="19" spans="1:29" ht="85.5">
      <c r="A19" s="533"/>
      <c r="B19" s="2624" t="s">
        <v>2550</v>
      </c>
      <c r="C19" s="574" t="str">
        <f>估价对象房地状况!C7</f>
        <v>咨询对象本身所属项目较大，公共配套设施尚未建设，综合评价公共配套设施较差。</v>
      </c>
      <c r="D19" s="566">
        <v>100</v>
      </c>
      <c r="E19" s="573"/>
      <c r="F19" s="566">
        <f>SUMIF(81:81,E20,82:82)-SUMIF(81:81,C20,82:82)+100</f>
        <v>100</v>
      </c>
      <c r="G19" s="571"/>
      <c r="H19" s="560">
        <f>SUMIF(81:81,G20,82:82)-SUMIF(81:81,C20,82:82)+100</f>
        <v>100</v>
      </c>
      <c r="I19" s="571"/>
      <c r="J19" s="560">
        <f>SUMIF(81:81,I20,82:82)-SUMIF(81:81,C20,82:82)+100</f>
        <v>100</v>
      </c>
      <c r="K19" s="899"/>
      <c r="L19" s="2141"/>
      <c r="M19" s="2133"/>
      <c r="N19" s="2133"/>
      <c r="O19" s="2133"/>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3"/>
      <c r="B20" s="567"/>
      <c r="C20" s="555"/>
      <c r="D20" s="556"/>
      <c r="E20" s="559"/>
      <c r="F20" s="556"/>
      <c r="G20" s="557"/>
      <c r="H20" s="556"/>
      <c r="I20" s="557"/>
      <c r="J20" s="556"/>
      <c r="K20" s="900"/>
      <c r="L20" s="2141"/>
      <c r="M20" s="2133"/>
      <c r="N20" s="2133"/>
      <c r="O20" s="2133"/>
      <c r="P20" s="3436"/>
      <c r="Q20" s="1571"/>
      <c r="R20" s="1572"/>
      <c r="S20" s="1573"/>
      <c r="T20" s="1572"/>
      <c r="U20" s="1573"/>
      <c r="V20" s="1572"/>
      <c r="W20" s="1573"/>
      <c r="X20" s="1566"/>
      <c r="Y20" s="3436"/>
      <c r="Z20" s="1574"/>
      <c r="AA20" s="1575">
        <v>1</v>
      </c>
      <c r="AB20" s="1575">
        <v>1</v>
      </c>
      <c r="AC20" s="1575">
        <v>1</v>
      </c>
    </row>
    <row r="21" spans="1:29" ht="15">
      <c r="A21" s="533"/>
      <c r="B21" s="2612" t="s">
        <v>2562</v>
      </c>
      <c r="C21" s="574" t="str">
        <f>估价对象房地状况!C8</f>
        <v xml:space="preserve"> </v>
      </c>
      <c r="D21" s="566">
        <v>100</v>
      </c>
      <c r="E21" s="573"/>
      <c r="F21" s="566">
        <f>SUMIF(83:83,E22,84:84)-SUMIF(83:83,C22,84:84)+100</f>
        <v>100</v>
      </c>
      <c r="G21" s="571"/>
      <c r="H21" s="566">
        <f>SUMIF(83:83,G22,84:84)-SUMIF(83:83,C22,84:84)+100</f>
        <v>100</v>
      </c>
      <c r="I21" s="571"/>
      <c r="J21" s="566">
        <f>SUMIF(83:83,I22,84:84)-SUMIF(83:83,C22,84:84)+100</f>
        <v>100</v>
      </c>
      <c r="K21" s="899"/>
      <c r="L21" s="2141"/>
      <c r="M21" s="2133"/>
      <c r="N21" s="2133"/>
      <c r="O21" s="2133"/>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3"/>
      <c r="B22" s="579"/>
      <c r="C22" s="568"/>
      <c r="D22" s="556"/>
      <c r="E22" s="577"/>
      <c r="F22" s="556"/>
      <c r="G22" s="555"/>
      <c r="H22" s="556"/>
      <c r="I22" s="555"/>
      <c r="J22" s="556"/>
      <c r="K22" s="2623"/>
      <c r="L22" s="2141"/>
      <c r="M22" s="2133"/>
      <c r="N22" s="2133"/>
      <c r="O22" s="2133"/>
      <c r="P22" s="3436"/>
      <c r="Q22" s="2600"/>
      <c r="R22" s="1572"/>
      <c r="S22" s="1573"/>
      <c r="T22" s="1572"/>
      <c r="U22" s="1573"/>
      <c r="V22" s="1572"/>
      <c r="W22" s="1573"/>
      <c r="X22" s="2602"/>
      <c r="Y22" s="3436"/>
      <c r="Z22" s="2601"/>
      <c r="AA22" s="1575">
        <v>1</v>
      </c>
      <c r="AB22" s="1575">
        <v>1</v>
      </c>
      <c r="AC22" s="1575">
        <v>1</v>
      </c>
    </row>
    <row r="23" spans="1:29" ht="85.5">
      <c r="A23" s="533"/>
      <c r="B23" s="561" t="s">
        <v>779</v>
      </c>
      <c r="C23" s="574" t="str">
        <f>估价对象房地状况!C9</f>
        <v>咨询对象本身所属项目较大，周边尚无自然及人文环境，综合评价自然及人文环境较差。</v>
      </c>
      <c r="D23" s="560">
        <v>100</v>
      </c>
      <c r="E23" s="565"/>
      <c r="F23" s="560">
        <f>SUMIF(85:85,E24,86:86)-SUMIF(85:85,C24,86:86)+100</f>
        <v>100</v>
      </c>
      <c r="G23" s="563"/>
      <c r="H23" s="560">
        <f>SUMIF(85:85,G24,86:86)-SUMIF(85:85,C24,86:86)+100</f>
        <v>100</v>
      </c>
      <c r="I23" s="563"/>
      <c r="J23" s="560">
        <f>SUMIF(85:85,I24,86:86)-SUMIF(85:85,C24,86:86)+100</f>
        <v>100</v>
      </c>
      <c r="K23" s="899"/>
      <c r="L23" s="2141"/>
      <c r="M23" s="2133"/>
      <c r="N23" s="2133"/>
      <c r="O23" s="2133"/>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3"/>
      <c r="B24" s="579"/>
      <c r="C24" s="555"/>
      <c r="D24" s="556"/>
      <c r="E24" s="559"/>
      <c r="F24" s="556"/>
      <c r="G24" s="557"/>
      <c r="H24" s="556"/>
      <c r="I24" s="557"/>
      <c r="J24" s="556"/>
      <c r="K24" s="900"/>
      <c r="L24" s="2141"/>
      <c r="M24" s="2133"/>
      <c r="N24" s="2133"/>
      <c r="O24" s="2133"/>
      <c r="P24" s="3436"/>
      <c r="Q24" s="1571"/>
      <c r="R24" s="1572"/>
      <c r="S24" s="1573"/>
      <c r="T24" s="1572"/>
      <c r="U24" s="1573"/>
      <c r="V24" s="1572"/>
      <c r="W24" s="1573"/>
      <c r="X24" s="1566"/>
      <c r="Y24" s="3436"/>
      <c r="Z24" s="1574"/>
      <c r="AA24" s="1575">
        <v>1</v>
      </c>
      <c r="AB24" s="1575">
        <v>1</v>
      </c>
      <c r="AC24" s="1575">
        <v>1</v>
      </c>
    </row>
    <row r="25" spans="1:29" ht="27">
      <c r="A25" s="518"/>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1"/>
      <c r="M25" s="2133"/>
      <c r="N25" s="2133"/>
      <c r="O25" s="2133"/>
      <c r="P25" s="3436"/>
      <c r="Q25" s="1571" t="str">
        <f>B25</f>
        <v>毗邻道路的类型与等级</v>
      </c>
      <c r="R25" s="1572" t="s">
        <v>8</v>
      </c>
      <c r="S25" s="1573">
        <f>F25</f>
        <v>100</v>
      </c>
      <c r="T25" s="1572" t="s">
        <v>8</v>
      </c>
      <c r="U25" s="1573">
        <f>H25</f>
        <v>100</v>
      </c>
      <c r="V25" s="1572" t="s">
        <v>8</v>
      </c>
      <c r="W25" s="1573">
        <f>J25</f>
        <v>100</v>
      </c>
      <c r="X25" s="1566"/>
      <c r="Y25" s="3436"/>
      <c r="Z25" s="1574" t="str">
        <f>Q25</f>
        <v>毗邻道路的类型与等级</v>
      </c>
      <c r="AA25" s="1575">
        <f t="shared" si="3"/>
        <v>1</v>
      </c>
      <c r="AB25" s="1575">
        <f t="shared" si="4"/>
        <v>1</v>
      </c>
      <c r="AC25" s="1575">
        <f t="shared" si="5"/>
        <v>1</v>
      </c>
    </row>
    <row r="26" spans="1:29" ht="15">
      <c r="A26" s="518"/>
      <c r="B26" s="567"/>
      <c r="C26" s="581"/>
      <c r="D26" s="541"/>
      <c r="E26" s="584"/>
      <c r="F26" s="541"/>
      <c r="G26" s="581"/>
      <c r="H26" s="541"/>
      <c r="I26" s="584"/>
      <c r="J26" s="541"/>
      <c r="K26" s="900"/>
      <c r="L26" s="2141"/>
      <c r="M26" s="2133"/>
      <c r="N26" s="2133"/>
      <c r="O26" s="2133"/>
      <c r="P26" s="3436"/>
      <c r="Q26" s="1571"/>
      <c r="R26" s="1572"/>
      <c r="S26" s="1573"/>
      <c r="T26" s="1572"/>
      <c r="U26" s="1573"/>
      <c r="V26" s="1572"/>
      <c r="W26" s="1573"/>
      <c r="X26" s="1566"/>
      <c r="Y26" s="3436"/>
      <c r="Z26" s="1574"/>
      <c r="AA26" s="1575">
        <v>1</v>
      </c>
      <c r="AB26" s="1575">
        <v>1</v>
      </c>
      <c r="AC26" s="1575">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36"/>
      <c r="Q27" s="1571" t="str">
        <f t="shared" ref="Q27:Q47" si="11">B27</f>
        <v>楼层</v>
      </c>
      <c r="R27" s="1572" t="s">
        <v>8</v>
      </c>
      <c r="S27" s="1573">
        <f>F27</f>
        <v>100</v>
      </c>
      <c r="T27" s="1572" t="s">
        <v>8</v>
      </c>
      <c r="U27" s="1573">
        <f>H27</f>
        <v>100</v>
      </c>
      <c r="V27" s="1572" t="s">
        <v>8</v>
      </c>
      <c r="W27" s="1573">
        <f>J27</f>
        <v>100</v>
      </c>
      <c r="X27" s="1566"/>
      <c r="Y27" s="3436"/>
      <c r="Z27" s="1574" t="str">
        <f>Q27</f>
        <v>楼层</v>
      </c>
      <c r="AA27" s="1575">
        <f t="shared" si="3"/>
        <v>1</v>
      </c>
      <c r="AB27" s="1575">
        <f t="shared" si="4"/>
        <v>1</v>
      </c>
      <c r="AC27" s="1575">
        <f t="shared" si="5"/>
        <v>1</v>
      </c>
    </row>
    <row r="28" spans="1:29" s="1219"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4"/>
      <c r="M28" s="2135"/>
      <c r="N28" s="2135"/>
      <c r="O28" s="2135"/>
      <c r="P28" s="3436"/>
      <c r="Q28" s="1150" t="str">
        <f t="shared" si="11"/>
        <v>朝向</v>
      </c>
      <c r="R28" s="1567" t="s">
        <v>8</v>
      </c>
      <c r="S28" s="1568">
        <f>F28</f>
        <v>100</v>
      </c>
      <c r="T28" s="1567" t="s">
        <v>8</v>
      </c>
      <c r="U28" s="1568">
        <f>H28</f>
        <v>100</v>
      </c>
      <c r="V28" s="1567" t="s">
        <v>8</v>
      </c>
      <c r="W28" s="1568">
        <f>J28</f>
        <v>100</v>
      </c>
      <c r="X28" s="1569"/>
      <c r="Y28" s="3436"/>
      <c r="Z28" s="1149" t="str">
        <f>Q28</f>
        <v>朝向</v>
      </c>
      <c r="AA28" s="1575">
        <f>D28/F28</f>
        <v>1</v>
      </c>
      <c r="AB28" s="1575">
        <f>D28/H28</f>
        <v>1</v>
      </c>
      <c r="AC28" s="1575">
        <f>D28/J28</f>
        <v>1</v>
      </c>
    </row>
    <row r="29" spans="1:29" ht="15">
      <c r="A29" s="533"/>
      <c r="B29" s="586">
        <v>111</v>
      </c>
      <c r="C29" s="913"/>
      <c r="D29" s="541">
        <v>100</v>
      </c>
      <c r="E29" s="531"/>
      <c r="F29" s="541">
        <f>SUMIF(93:93,E29,94:94)-SUMIF(93:93,C29,94:94)+100</f>
        <v>100</v>
      </c>
      <c r="G29" s="911"/>
      <c r="H29" s="541">
        <f>SUMIF(93:93,G29,94:94)-SUMIF(93:93,C29,94:94)+100</f>
        <v>100</v>
      </c>
      <c r="I29" s="531"/>
      <c r="J29" s="541">
        <f>SUMIF(93:93,I29,94:94)-SUMIF(93:93,C29,94:94)+100</f>
        <v>100</v>
      </c>
      <c r="K29" s="582"/>
      <c r="L29" s="2141"/>
      <c r="M29" s="2133"/>
      <c r="N29" s="2133"/>
      <c r="O29" s="2133"/>
      <c r="P29" s="3436"/>
      <c r="Q29" s="1571">
        <f t="shared" si="11"/>
        <v>111</v>
      </c>
      <c r="R29" s="1572" t="s">
        <v>8</v>
      </c>
      <c r="S29" s="1573">
        <f t="shared" ref="S29:S47" si="12">F29</f>
        <v>100</v>
      </c>
      <c r="T29" s="1572" t="s">
        <v>8</v>
      </c>
      <c r="U29" s="1573">
        <f t="shared" ref="U29:U47" si="13">H29</f>
        <v>100</v>
      </c>
      <c r="V29" s="1572" t="s">
        <v>8</v>
      </c>
      <c r="W29" s="1573">
        <f t="shared" ref="W29:W47" si="14">J29</f>
        <v>100</v>
      </c>
      <c r="X29" s="1566"/>
      <c r="Y29" s="3436"/>
      <c r="Z29" s="1574">
        <f t="shared" ref="Z29:Z47" si="15">Q29</f>
        <v>111</v>
      </c>
      <c r="AA29" s="1575">
        <f t="shared" si="3"/>
        <v>1</v>
      </c>
      <c r="AB29" s="1575">
        <f t="shared" si="4"/>
        <v>1</v>
      </c>
      <c r="AC29" s="1575">
        <f t="shared" si="5"/>
        <v>1</v>
      </c>
    </row>
    <row r="30" spans="1:29" ht="15">
      <c r="A30" s="533"/>
      <c r="B30" s="586">
        <v>111</v>
      </c>
      <c r="C30" s="913"/>
      <c r="D30" s="541">
        <v>100</v>
      </c>
      <c r="E30" s="531"/>
      <c r="F30" s="541">
        <f>SUMIF(95:95,E30,96:96)-SUMIF(95:95,C30,96:96)+100</f>
        <v>100</v>
      </c>
      <c r="G30" s="911"/>
      <c r="H30" s="541">
        <f>SUMIF(95:95,G30,96:96)-SUMIF(95:95,C30,96:96)+100</f>
        <v>100</v>
      </c>
      <c r="I30" s="531"/>
      <c r="J30" s="541">
        <f>SUMIF(95:95,I30,96:96)-SUMIF(95:95,C30,96:96)+100</f>
        <v>100</v>
      </c>
      <c r="K30" s="582"/>
      <c r="L30" s="2141"/>
      <c r="M30" s="2133"/>
      <c r="N30" s="2133"/>
      <c r="O30" s="2133"/>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
      <c r="A31" s="533"/>
      <c r="B31" s="586">
        <v>111</v>
      </c>
      <c r="C31" s="913"/>
      <c r="D31" s="541">
        <v>100</v>
      </c>
      <c r="E31" s="531"/>
      <c r="F31" s="541">
        <f>SUMIF(97:97,E31,98:98)-SUMIF(97:97,C31,98:98)+100</f>
        <v>100</v>
      </c>
      <c r="G31" s="911"/>
      <c r="H31" s="541">
        <f>SUMIF(97:97,G31,98:98)-SUMIF(97:97,C31,98:98)+100</f>
        <v>100</v>
      </c>
      <c r="I31" s="531"/>
      <c r="J31" s="541">
        <f>SUMIF(97:97,I31,98:98)-SUMIF(97:97,C31,98:98)+100</f>
        <v>100</v>
      </c>
      <c r="K31" s="582"/>
      <c r="L31" s="2141"/>
      <c r="M31" s="2133"/>
      <c r="N31" s="2133"/>
      <c r="O31" s="2133"/>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31"/>
      <c r="J32" s="547">
        <f>SUMIF(99:99,I32,100:100)-SUMIF(99:99,C32,100:100)+100</f>
        <v>100</v>
      </c>
      <c r="K32" s="582"/>
      <c r="L32" s="2141"/>
      <c r="M32" s="2133"/>
      <c r="N32" s="2133"/>
      <c r="O32" s="2133"/>
      <c r="P32" s="3436"/>
      <c r="Q32" s="1571">
        <f t="shared" si="11"/>
        <v>111</v>
      </c>
      <c r="R32" s="1572" t="s">
        <v>8</v>
      </c>
      <c r="S32" s="1573">
        <f t="shared" si="12"/>
        <v>100</v>
      </c>
      <c r="T32" s="1572" t="s">
        <v>8</v>
      </c>
      <c r="U32" s="1573">
        <f t="shared" si="13"/>
        <v>100</v>
      </c>
      <c r="V32" s="1572" t="s">
        <v>8</v>
      </c>
      <c r="W32" s="1573">
        <f t="shared" si="14"/>
        <v>100</v>
      </c>
      <c r="X32" s="1566"/>
      <c r="Y32" s="3436"/>
      <c r="Z32" s="1574">
        <f t="shared" si="15"/>
        <v>111</v>
      </c>
      <c r="AA32" s="1575">
        <f t="shared" si="3"/>
        <v>1</v>
      </c>
      <c r="AB32" s="1575">
        <f t="shared" si="4"/>
        <v>1</v>
      </c>
      <c r="AC32" s="1575">
        <f t="shared" si="5"/>
        <v>1</v>
      </c>
    </row>
    <row r="33" spans="1:29" ht="15">
      <c r="A33" s="2930" t="s">
        <v>2761</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1"/>
      <c r="M33" s="2133"/>
      <c r="N33" s="2133"/>
      <c r="O33" s="2133"/>
      <c r="P33" s="3437" t="s">
        <v>551</v>
      </c>
      <c r="Q33" s="1571" t="str">
        <f t="shared" si="11"/>
        <v>建筑类型</v>
      </c>
      <c r="R33" s="1572" t="s">
        <v>8</v>
      </c>
      <c r="S33" s="1573">
        <f t="shared" si="12"/>
        <v>100</v>
      </c>
      <c r="T33" s="1572" t="s">
        <v>8</v>
      </c>
      <c r="U33" s="1573">
        <f t="shared" si="13"/>
        <v>100</v>
      </c>
      <c r="V33" s="1572" t="s">
        <v>8</v>
      </c>
      <c r="W33" s="1573">
        <f t="shared" si="14"/>
        <v>100</v>
      </c>
      <c r="X33" s="1566"/>
      <c r="Y33" s="3438" t="s">
        <v>551</v>
      </c>
      <c r="Z33" s="1574" t="str">
        <f t="shared" si="15"/>
        <v>建筑类型</v>
      </c>
      <c r="AA33" s="1575">
        <f t="shared" si="3"/>
        <v>1</v>
      </c>
      <c r="AB33" s="1575">
        <f t="shared" si="4"/>
        <v>1</v>
      </c>
      <c r="AC33" s="1575">
        <f t="shared" si="5"/>
        <v>1</v>
      </c>
    </row>
    <row r="34" spans="1:29" s="1338" customFormat="1" ht="15">
      <c r="A34" s="604"/>
      <c r="B34" s="530" t="s">
        <v>727</v>
      </c>
      <c r="C34" s="881"/>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39"/>
      <c r="M34" s="2170"/>
      <c r="N34" s="2170"/>
      <c r="O34" s="2170"/>
      <c r="P34" s="3438"/>
      <c r="Q34" s="1604" t="str">
        <f t="shared" si="11"/>
        <v>项目建筑规模</v>
      </c>
      <c r="R34" s="1576" t="s">
        <v>8</v>
      </c>
      <c r="S34" s="1577" t="e">
        <f t="shared" si="12"/>
        <v>#N/A</v>
      </c>
      <c r="T34" s="1576" t="s">
        <v>8</v>
      </c>
      <c r="U34" s="1577" t="e">
        <f t="shared" si="13"/>
        <v>#N/A</v>
      </c>
      <c r="V34" s="1576" t="s">
        <v>8</v>
      </c>
      <c r="W34" s="1577" t="e">
        <f t="shared" si="14"/>
        <v>#N/A</v>
      </c>
      <c r="X34" s="1578"/>
      <c r="Y34" s="3438"/>
      <c r="Z34" s="1579" t="str">
        <f t="shared" si="15"/>
        <v>项目建筑规模</v>
      </c>
      <c r="AA34" s="1575" t="e">
        <f t="shared" si="3"/>
        <v>#N/A</v>
      </c>
      <c r="AB34" s="1575" t="e">
        <f t="shared" si="4"/>
        <v>#N/A</v>
      </c>
      <c r="AC34" s="1575" t="e">
        <f t="shared" si="5"/>
        <v>#N/A</v>
      </c>
    </row>
    <row r="35" spans="1:29" ht="15">
      <c r="A35" s="595"/>
      <c r="B35" s="530"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38"/>
      <c r="Q35" s="1571" t="str">
        <f t="shared" si="11"/>
        <v>建筑结构</v>
      </c>
      <c r="R35" s="1572" t="s">
        <v>8</v>
      </c>
      <c r="S35" s="1573">
        <f t="shared" si="12"/>
        <v>100</v>
      </c>
      <c r="T35" s="1572" t="s">
        <v>8</v>
      </c>
      <c r="U35" s="1573">
        <f t="shared" si="13"/>
        <v>100</v>
      </c>
      <c r="V35" s="1572" t="s">
        <v>8</v>
      </c>
      <c r="W35" s="1573">
        <f t="shared" si="14"/>
        <v>100</v>
      </c>
      <c r="X35" s="1566"/>
      <c r="Y35" s="3438"/>
      <c r="Z35" s="1574" t="str">
        <f t="shared" si="15"/>
        <v>建筑结构</v>
      </c>
      <c r="AA35" s="1575">
        <f t="shared" si="3"/>
        <v>1</v>
      </c>
      <c r="AB35" s="1575">
        <f t="shared" si="4"/>
        <v>1</v>
      </c>
      <c r="AC35" s="1575">
        <f t="shared" si="5"/>
        <v>1</v>
      </c>
    </row>
    <row r="36" spans="1:29" ht="15">
      <c r="A36" s="595"/>
      <c r="B36" s="530"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38"/>
      <c r="Q36" s="1571" t="str">
        <f t="shared" si="11"/>
        <v>公共部分装修</v>
      </c>
      <c r="R36" s="1572" t="s">
        <v>8</v>
      </c>
      <c r="S36" s="1573">
        <f t="shared" si="12"/>
        <v>100</v>
      </c>
      <c r="T36" s="1572" t="s">
        <v>8</v>
      </c>
      <c r="U36" s="1573">
        <f t="shared" si="13"/>
        <v>100</v>
      </c>
      <c r="V36" s="1572" t="s">
        <v>8</v>
      </c>
      <c r="W36" s="1573">
        <f t="shared" si="14"/>
        <v>100</v>
      </c>
      <c r="X36" s="1566"/>
      <c r="Y36" s="3438"/>
      <c r="Z36" s="1574" t="str">
        <f t="shared" si="15"/>
        <v>公共部分装修</v>
      </c>
      <c r="AA36" s="1575">
        <f t="shared" si="3"/>
        <v>1</v>
      </c>
      <c r="AB36" s="1575">
        <f t="shared" si="4"/>
        <v>1</v>
      </c>
      <c r="AC36" s="1575">
        <f t="shared" si="5"/>
        <v>1</v>
      </c>
    </row>
    <row r="37" spans="1:29" ht="15">
      <c r="A37" s="595"/>
      <c r="B37" s="530"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1"/>
      <c r="M37" s="2133"/>
      <c r="N37" s="2133"/>
      <c r="O37" s="2133"/>
      <c r="P37" s="3438"/>
      <c r="Q37" s="1571" t="str">
        <f t="shared" si="11"/>
        <v>成新度</v>
      </c>
      <c r="R37" s="1572" t="s">
        <v>8</v>
      </c>
      <c r="S37" s="1573" t="e">
        <f t="shared" si="12"/>
        <v>#N/A</v>
      </c>
      <c r="T37" s="1572" t="s">
        <v>8</v>
      </c>
      <c r="U37" s="1573" t="e">
        <f t="shared" si="13"/>
        <v>#N/A</v>
      </c>
      <c r="V37" s="1572" t="s">
        <v>8</v>
      </c>
      <c r="W37" s="1573" t="e">
        <f t="shared" si="14"/>
        <v>#N/A</v>
      </c>
      <c r="X37" s="1566"/>
      <c r="Y37" s="3438"/>
      <c r="Z37" s="1574" t="str">
        <f t="shared" si="15"/>
        <v>成新度</v>
      </c>
      <c r="AA37" s="1575" t="e">
        <f t="shared" si="3"/>
        <v>#N/A</v>
      </c>
      <c r="AB37" s="1575" t="e">
        <f t="shared" si="4"/>
        <v>#N/A</v>
      </c>
      <c r="AC37" s="1575" t="e">
        <f t="shared" si="5"/>
        <v>#N/A</v>
      </c>
    </row>
    <row r="38" spans="1:29" s="1219" customFormat="1" ht="15">
      <c r="A38" s="601"/>
      <c r="B38" s="530" t="s">
        <v>782</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38"/>
      <c r="Q38" s="1150" t="str">
        <f t="shared" si="11"/>
        <v>写字楼等级</v>
      </c>
      <c r="R38" s="1567" t="s">
        <v>8</v>
      </c>
      <c r="S38" s="1568">
        <f t="shared" si="12"/>
        <v>100</v>
      </c>
      <c r="T38" s="1567" t="s">
        <v>8</v>
      </c>
      <c r="U38" s="1568">
        <f t="shared" si="13"/>
        <v>100</v>
      </c>
      <c r="V38" s="1567" t="s">
        <v>8</v>
      </c>
      <c r="W38" s="1568">
        <f t="shared" si="14"/>
        <v>100</v>
      </c>
      <c r="X38" s="1569"/>
      <c r="Y38" s="3438"/>
      <c r="Z38" s="1149" t="str">
        <f t="shared" si="15"/>
        <v>写字楼等级</v>
      </c>
      <c r="AA38" s="1570">
        <f t="shared" si="3"/>
        <v>1</v>
      </c>
      <c r="AB38" s="1570">
        <f t="shared" si="4"/>
        <v>1</v>
      </c>
      <c r="AC38" s="1570">
        <f t="shared" si="5"/>
        <v>1</v>
      </c>
    </row>
    <row r="39" spans="1:29" ht="15">
      <c r="A39" s="595"/>
      <c r="B39" s="530"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38" t="s">
        <v>551</v>
      </c>
      <c r="Q39" s="1571" t="str">
        <f t="shared" si="11"/>
        <v>物业管理</v>
      </c>
      <c r="R39" s="1572" t="s">
        <v>8</v>
      </c>
      <c r="S39" s="1573">
        <f t="shared" si="12"/>
        <v>100</v>
      </c>
      <c r="T39" s="1572" t="s">
        <v>8</v>
      </c>
      <c r="U39" s="1573">
        <f t="shared" si="13"/>
        <v>100</v>
      </c>
      <c r="V39" s="1572" t="s">
        <v>8</v>
      </c>
      <c r="W39" s="1573">
        <f t="shared" si="14"/>
        <v>100</v>
      </c>
      <c r="X39" s="1566"/>
      <c r="Y39" s="3438" t="s">
        <v>551</v>
      </c>
      <c r="Z39" s="1574" t="str">
        <f t="shared" si="15"/>
        <v>物业管理</v>
      </c>
      <c r="AA39" s="1575">
        <f t="shared" si="3"/>
        <v>1</v>
      </c>
      <c r="AB39" s="1575">
        <f t="shared" si="4"/>
        <v>1</v>
      </c>
      <c r="AC39" s="1575">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38"/>
      <c r="Q40" s="1571" t="str">
        <f t="shared" si="11"/>
        <v>市政基础设施</v>
      </c>
      <c r="R40" s="1572" t="s">
        <v>8</v>
      </c>
      <c r="S40" s="1573">
        <f t="shared" si="12"/>
        <v>100</v>
      </c>
      <c r="T40" s="1572" t="s">
        <v>8</v>
      </c>
      <c r="U40" s="1573">
        <f t="shared" si="13"/>
        <v>100</v>
      </c>
      <c r="V40" s="1572" t="s">
        <v>8</v>
      </c>
      <c r="W40" s="1573">
        <f t="shared" si="14"/>
        <v>100</v>
      </c>
      <c r="X40" s="1566"/>
      <c r="Y40" s="3438"/>
      <c r="Z40" s="1574" t="str">
        <f t="shared" si="15"/>
        <v>市政基础设施</v>
      </c>
      <c r="AA40" s="1575">
        <f t="shared" si="3"/>
        <v>1</v>
      </c>
      <c r="AB40" s="1575">
        <f t="shared" si="4"/>
        <v>1</v>
      </c>
      <c r="AC40" s="1575">
        <f t="shared" si="5"/>
        <v>1</v>
      </c>
    </row>
    <row r="41" spans="1:29" ht="15">
      <c r="A41" s="595"/>
      <c r="B41" s="530"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38"/>
      <c r="Q41" s="1571" t="str">
        <f t="shared" si="11"/>
        <v>层高</v>
      </c>
      <c r="R41" s="1572" t="s">
        <v>8</v>
      </c>
      <c r="S41" s="1573">
        <f t="shared" si="12"/>
        <v>100</v>
      </c>
      <c r="T41" s="1572" t="s">
        <v>8</v>
      </c>
      <c r="U41" s="1573">
        <f t="shared" si="13"/>
        <v>100</v>
      </c>
      <c r="V41" s="1572" t="s">
        <v>8</v>
      </c>
      <c r="W41" s="1573">
        <f t="shared" si="14"/>
        <v>100</v>
      </c>
      <c r="X41" s="1566"/>
      <c r="Y41" s="3438"/>
      <c r="Z41" s="1574" t="str">
        <f t="shared" si="15"/>
        <v>层高</v>
      </c>
      <c r="AA41" s="1575">
        <f t="shared" si="3"/>
        <v>1</v>
      </c>
      <c r="AB41" s="1575">
        <f t="shared" si="4"/>
        <v>1</v>
      </c>
      <c r="AC41" s="1575">
        <f t="shared" si="5"/>
        <v>1</v>
      </c>
    </row>
    <row r="42" spans="1:29" s="1338"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38"/>
      <c r="Q42" s="1604" t="str">
        <f t="shared" si="11"/>
        <v>单套建筑面积</v>
      </c>
      <c r="R42" s="1576" t="s">
        <v>8</v>
      </c>
      <c r="S42" s="1577">
        <f t="shared" si="12"/>
        <v>100</v>
      </c>
      <c r="T42" s="1576" t="s">
        <v>8</v>
      </c>
      <c r="U42" s="1577">
        <f t="shared" si="13"/>
        <v>100</v>
      </c>
      <c r="V42" s="1576" t="s">
        <v>8</v>
      </c>
      <c r="W42" s="1577">
        <f t="shared" si="14"/>
        <v>100</v>
      </c>
      <c r="X42" s="1578"/>
      <c r="Y42" s="3438"/>
      <c r="Z42" s="1579" t="str">
        <f t="shared" si="15"/>
        <v>单套建筑面积</v>
      </c>
      <c r="AA42" s="1575">
        <f t="shared" si="3"/>
        <v>1</v>
      </c>
      <c r="AB42" s="1575">
        <f t="shared" si="4"/>
        <v>1</v>
      </c>
      <c r="AC42" s="1575">
        <f t="shared" si="5"/>
        <v>1</v>
      </c>
    </row>
    <row r="43" spans="1:29" ht="15">
      <c r="A43" s="595"/>
      <c r="B43" s="530"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38"/>
      <c r="Q43" s="1571" t="str">
        <f t="shared" si="11"/>
        <v>内部装修</v>
      </c>
      <c r="R43" s="1572" t="s">
        <v>8</v>
      </c>
      <c r="S43" s="1573">
        <f t="shared" si="12"/>
        <v>100</v>
      </c>
      <c r="T43" s="1572" t="s">
        <v>8</v>
      </c>
      <c r="U43" s="1573">
        <f t="shared" si="13"/>
        <v>100</v>
      </c>
      <c r="V43" s="1572" t="s">
        <v>8</v>
      </c>
      <c r="W43" s="1573">
        <f t="shared" si="14"/>
        <v>100</v>
      </c>
      <c r="X43" s="1566"/>
      <c r="Y43" s="3438"/>
      <c r="Z43" s="1574" t="str">
        <f t="shared" si="15"/>
        <v>内部装修</v>
      </c>
      <c r="AA43" s="1575">
        <f t="shared" si="3"/>
        <v>1</v>
      </c>
      <c r="AB43" s="1575">
        <f t="shared" si="4"/>
        <v>1</v>
      </c>
      <c r="AC43" s="1575">
        <f t="shared" si="5"/>
        <v>1</v>
      </c>
    </row>
    <row r="44" spans="1:29" ht="27">
      <c r="A44" s="595"/>
      <c r="B44" s="530"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38"/>
      <c r="Q44" s="1571" t="str">
        <f t="shared" si="11"/>
        <v>内部装修维护情况</v>
      </c>
      <c r="R44" s="1572" t="s">
        <v>8</v>
      </c>
      <c r="S44" s="1573">
        <f t="shared" si="12"/>
        <v>100</v>
      </c>
      <c r="T44" s="1572" t="s">
        <v>8</v>
      </c>
      <c r="U44" s="1573">
        <f t="shared" si="13"/>
        <v>100</v>
      </c>
      <c r="V44" s="1572" t="s">
        <v>8</v>
      </c>
      <c r="W44" s="1573">
        <f t="shared" si="14"/>
        <v>100</v>
      </c>
      <c r="X44" s="1566"/>
      <c r="Y44" s="3438"/>
      <c r="Z44" s="1574" t="str">
        <f t="shared" si="15"/>
        <v>内部装修维护情况</v>
      </c>
      <c r="AA44" s="1575">
        <f t="shared" si="3"/>
        <v>1</v>
      </c>
      <c r="AB44" s="1575">
        <f t="shared" si="4"/>
        <v>1</v>
      </c>
      <c r="AC44" s="1575">
        <f t="shared" si="5"/>
        <v>1</v>
      </c>
    </row>
    <row r="45" spans="1:29" s="1219" customFormat="1" ht="15">
      <c r="A45" s="601"/>
      <c r="B45" s="878">
        <v>111</v>
      </c>
      <c r="C45" s="881"/>
      <c r="D45" s="255">
        <v>100</v>
      </c>
      <c r="E45" s="531"/>
      <c r="F45" s="864">
        <f>SUMIF(127:127,E45,128:128)-SUMIF(127:127,C45,128:128)+100</f>
        <v>100</v>
      </c>
      <c r="G45" s="531"/>
      <c r="H45" s="255">
        <f>SUMIF(127:127,G45,128:128)-SUMIF(127:127,C45,128:128)+100</f>
        <v>100</v>
      </c>
      <c r="I45" s="531"/>
      <c r="J45" s="255">
        <f>SUMIF(127:127,I45,128:128)-SUMIF(127:127,C45,128:128)+100</f>
        <v>100</v>
      </c>
      <c r="K45" s="582"/>
      <c r="L45" s="2134"/>
      <c r="M45" s="2135"/>
      <c r="N45" s="2135"/>
      <c r="O45" s="2135"/>
      <c r="P45" s="3438"/>
      <c r="Q45" s="1150">
        <f t="shared" si="11"/>
        <v>111</v>
      </c>
      <c r="R45" s="1567" t="s">
        <v>8</v>
      </c>
      <c r="S45" s="1568">
        <f t="shared" si="12"/>
        <v>100</v>
      </c>
      <c r="T45" s="1567" t="s">
        <v>8</v>
      </c>
      <c r="U45" s="1568">
        <f t="shared" si="13"/>
        <v>100</v>
      </c>
      <c r="V45" s="1567" t="s">
        <v>8</v>
      </c>
      <c r="W45" s="1568">
        <f t="shared" si="14"/>
        <v>100</v>
      </c>
      <c r="X45" s="1569"/>
      <c r="Y45" s="3438"/>
      <c r="Z45" s="1149">
        <f t="shared" si="15"/>
        <v>111</v>
      </c>
      <c r="AA45" s="1570">
        <f t="shared" si="3"/>
        <v>1</v>
      </c>
      <c r="AB45" s="1570">
        <f t="shared" si="4"/>
        <v>1</v>
      </c>
      <c r="AC45" s="1570">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1"/>
      <c r="M46" s="2133"/>
      <c r="N46" s="2133"/>
      <c r="O46" s="2133"/>
      <c r="P46" s="3438"/>
      <c r="Q46" s="1571">
        <f t="shared" si="11"/>
        <v>111</v>
      </c>
      <c r="R46" s="1572" t="s">
        <v>8</v>
      </c>
      <c r="S46" s="1573">
        <f t="shared" si="12"/>
        <v>100</v>
      </c>
      <c r="T46" s="1572" t="s">
        <v>8</v>
      </c>
      <c r="U46" s="1573">
        <f t="shared" si="13"/>
        <v>100</v>
      </c>
      <c r="V46" s="1572" t="s">
        <v>8</v>
      </c>
      <c r="W46" s="1573">
        <f t="shared" si="14"/>
        <v>100</v>
      </c>
      <c r="X46" s="1566"/>
      <c r="Y46" s="3438"/>
      <c r="Z46" s="1574">
        <f t="shared" si="15"/>
        <v>111</v>
      </c>
      <c r="AA46" s="1575">
        <f t="shared" si="3"/>
        <v>1</v>
      </c>
      <c r="AB46" s="1575">
        <f t="shared" si="4"/>
        <v>1</v>
      </c>
      <c r="AC46" s="1575">
        <f t="shared" si="5"/>
        <v>1</v>
      </c>
    </row>
    <row r="47" spans="1:29" ht="15.75" thickBot="1">
      <c r="A47" s="887"/>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1"/>
      <c r="M47" s="2133"/>
      <c r="N47" s="2133"/>
      <c r="O47" s="2133"/>
      <c r="P47" s="3513"/>
      <c r="Q47" s="1571">
        <f t="shared" si="11"/>
        <v>111</v>
      </c>
      <c r="R47" s="1572" t="s">
        <v>8</v>
      </c>
      <c r="S47" s="1573">
        <f t="shared" si="12"/>
        <v>100</v>
      </c>
      <c r="T47" s="1572" t="s">
        <v>8</v>
      </c>
      <c r="U47" s="1573">
        <f t="shared" si="13"/>
        <v>100</v>
      </c>
      <c r="V47" s="1572" t="s">
        <v>8</v>
      </c>
      <c r="W47" s="1573">
        <f t="shared" si="14"/>
        <v>100</v>
      </c>
      <c r="X47" s="1566"/>
      <c r="Y47" s="3513"/>
      <c r="Z47" s="1574">
        <f t="shared" si="15"/>
        <v>111</v>
      </c>
      <c r="AA47" s="1575">
        <f t="shared" si="3"/>
        <v>1</v>
      </c>
      <c r="AB47" s="1575">
        <f t="shared" si="4"/>
        <v>1</v>
      </c>
      <c r="AC47" s="1575">
        <f t="shared" si="5"/>
        <v>1</v>
      </c>
    </row>
    <row r="48" spans="1:29" ht="15">
      <c r="A48" s="608" t="s">
        <v>737</v>
      </c>
      <c r="B48" s="888"/>
      <c r="C48" s="2648" t="s">
        <v>1</v>
      </c>
      <c r="D48" s="2649"/>
      <c r="E48" s="2650"/>
      <c r="F48" s="2651"/>
      <c r="G48" s="2652"/>
      <c r="H48" s="2653"/>
      <c r="I48" s="2650"/>
      <c r="J48" s="2653"/>
      <c r="K48" s="1610"/>
      <c r="L48" s="2143"/>
      <c r="M48" s="2133"/>
      <c r="N48" s="2133"/>
      <c r="O48" s="2133"/>
      <c r="P48" s="3455" t="str">
        <f>A48</f>
        <v>成交单价（元/平方米）</v>
      </c>
      <c r="Q48" s="3433"/>
      <c r="R48" s="3512">
        <f>E48</f>
        <v>0</v>
      </c>
      <c r="S48" s="3512"/>
      <c r="T48" s="3512">
        <f>G48</f>
        <v>0</v>
      </c>
      <c r="U48" s="3512"/>
      <c r="V48" s="3512">
        <f>I48</f>
        <v>0</v>
      </c>
      <c r="W48" s="3512"/>
      <c r="X48" s="1558"/>
      <c r="Y48" s="1580"/>
      <c r="Z48" s="1558"/>
      <c r="AA48" s="1558"/>
      <c r="AB48" s="1558"/>
      <c r="AC48" s="1558"/>
    </row>
    <row r="49" spans="1:29" ht="15.75" thickBot="1">
      <c r="A49" s="616" t="s">
        <v>2766</v>
      </c>
      <c r="B49" s="889"/>
      <c r="C49" s="2654" t="e">
        <f>R50</f>
        <v>#DIV/0!</v>
      </c>
      <c r="D49" s="2655"/>
      <c r="E49" s="2656" t="e">
        <f>R49</f>
        <v>#DIV/0!</v>
      </c>
      <c r="F49" s="2656"/>
      <c r="G49" s="2654" t="e">
        <f>T49</f>
        <v>#DIV/0!</v>
      </c>
      <c r="H49" s="2655"/>
      <c r="I49" s="2656" t="e">
        <f>V49</f>
        <v>#DIV/0!</v>
      </c>
      <c r="J49" s="2655"/>
      <c r="K49" s="1611"/>
      <c r="L49" s="2143"/>
      <c r="M49" s="2133"/>
      <c r="N49" s="2133"/>
      <c r="O49" s="2133"/>
      <c r="P49" s="3455" t="str">
        <f>A49</f>
        <v>比较价格（元/平方米）</v>
      </c>
      <c r="Q49" s="3433"/>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8"/>
      <c r="Y49" s="1558"/>
      <c r="Z49" s="1558"/>
      <c r="AA49" s="1558"/>
      <c r="AB49" s="1558"/>
      <c r="AC49" s="1558"/>
    </row>
    <row r="50" spans="1:29" ht="15.75" thickBot="1">
      <c r="A50" s="622" t="s">
        <v>2925</v>
      </c>
      <c r="B50" s="623"/>
      <c r="C50" s="2657" t="e">
        <f>R50</f>
        <v>#DIV/0!</v>
      </c>
      <c r="D50" s="2657"/>
      <c r="E50" s="2657"/>
      <c r="F50" s="2657"/>
      <c r="G50" s="2657"/>
      <c r="H50" s="2657"/>
      <c r="I50" s="2657"/>
      <c r="J50" s="2657"/>
      <c r="K50" s="1612"/>
      <c r="L50" s="2143"/>
      <c r="M50" s="2133"/>
      <c r="N50" s="2133"/>
      <c r="O50" s="2133"/>
      <c r="P50" s="3540" t="str">
        <f>A50</f>
        <v>估价对象XX用房的比较价格（楼面单价，元/平方米）</v>
      </c>
      <c r="Q50" s="3455"/>
      <c r="R50" s="3511" t="e">
        <f>IF(F1="售价",ROUND(AVERAGE(R49:V49),0),ROUND(AVERAGE(R49:V49),1))</f>
        <v>#DIV/0!</v>
      </c>
      <c r="S50" s="3511"/>
      <c r="T50" s="3511"/>
      <c r="U50" s="3511"/>
      <c r="V50" s="3511"/>
      <c r="W50" s="351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6" t="s">
        <v>530</v>
      </c>
      <c r="B59" s="647"/>
      <c r="C59" s="2825" t="str">
        <f>YEAR(C7)&amp;"-"&amp;MONTH(C7)</f>
        <v>2017-10</v>
      </c>
      <c r="D59" s="2827">
        <f>EDATE(C59,-1)</f>
        <v>42979</v>
      </c>
      <c r="E59" s="2827">
        <f t="shared" ref="E59:O59" si="16">EDATE(D59,-1)</f>
        <v>42948</v>
      </c>
      <c r="F59" s="2827">
        <f t="shared" si="16"/>
        <v>42917</v>
      </c>
      <c r="G59" s="2827">
        <f t="shared" si="16"/>
        <v>42887</v>
      </c>
      <c r="H59" s="2827">
        <f t="shared" si="16"/>
        <v>42856</v>
      </c>
      <c r="I59" s="2827">
        <f t="shared" si="16"/>
        <v>42826</v>
      </c>
      <c r="J59" s="2827">
        <f t="shared" si="16"/>
        <v>42795</v>
      </c>
      <c r="K59" s="2827">
        <f t="shared" si="16"/>
        <v>42767</v>
      </c>
      <c r="L59" s="2827">
        <f t="shared" si="16"/>
        <v>42736</v>
      </c>
      <c r="M59" s="2827">
        <f t="shared" si="16"/>
        <v>42705</v>
      </c>
      <c r="N59" s="2827">
        <f t="shared" si="16"/>
        <v>42675</v>
      </c>
      <c r="O59" s="2827">
        <f t="shared" si="16"/>
        <v>42644</v>
      </c>
      <c r="P59" s="2210"/>
      <c r="Q59" s="2160"/>
      <c r="R59" s="2160"/>
      <c r="S59" s="2160"/>
      <c r="T59" s="2160"/>
      <c r="U59" s="2160"/>
      <c r="V59" s="2160"/>
      <c r="W59" s="2160"/>
      <c r="X59" s="2160"/>
      <c r="Y59" s="2160"/>
      <c r="Z59" s="2160"/>
      <c r="AA59" s="2160"/>
      <c r="AB59" s="2160"/>
      <c r="AC59" s="2160"/>
    </row>
    <row r="60" spans="1:29" s="1219"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19"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19"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19" customFormat="1" ht="15.75" thickBot="1">
      <c r="A63" s="660"/>
      <c r="B63" s="649"/>
      <c r="C63" s="890">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6" t="s">
        <v>2561</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18" t="s">
        <v>2562</v>
      </c>
      <c r="C83" s="2619" t="s">
        <v>2563</v>
      </c>
      <c r="D83" s="2619" t="s">
        <v>2564</v>
      </c>
      <c r="E83" s="2619" t="s">
        <v>2565</v>
      </c>
      <c r="F83" s="2619" t="s">
        <v>2566</v>
      </c>
      <c r="G83" s="2619" t="s">
        <v>2567</v>
      </c>
      <c r="H83" s="675"/>
      <c r="I83" s="675"/>
      <c r="J83" s="675"/>
      <c r="K83" s="675"/>
      <c r="L83" s="675"/>
      <c r="M83" s="2622"/>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19" customFormat="1" ht="27.75" thickTop="1">
      <c r="A87" s="710"/>
      <c r="B87" s="674" t="s">
        <v>786</v>
      </c>
      <c r="C87" s="689"/>
      <c r="D87" s="689"/>
      <c r="E87" s="689"/>
      <c r="F87" s="689"/>
      <c r="G87" s="689"/>
      <c r="H87" s="689"/>
      <c r="I87" s="689"/>
      <c r="J87" s="689"/>
      <c r="K87" s="689"/>
      <c r="L87" s="891"/>
      <c r="M87" s="892"/>
      <c r="N87" s="2161"/>
      <c r="O87" s="2161"/>
      <c r="P87" s="2213"/>
      <c r="Q87" s="2157"/>
      <c r="R87" s="1992"/>
      <c r="S87" s="1992"/>
      <c r="T87" s="1992"/>
      <c r="U87" s="1992"/>
      <c r="V87" s="1992"/>
      <c r="W87" s="1992"/>
      <c r="X87" s="1992"/>
      <c r="Y87" s="1992"/>
      <c r="Z87" s="1992"/>
      <c r="AA87" s="1992"/>
      <c r="AB87" s="1992"/>
      <c r="AC87" s="1992"/>
    </row>
    <row r="88" spans="1:29" s="1219"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10"/>
      <c r="B89" s="674" t="str">
        <f>B27</f>
        <v>楼层</v>
      </c>
      <c r="C89" s="689"/>
      <c r="D89" s="689"/>
      <c r="E89" s="689"/>
      <c r="F89" s="893"/>
      <c r="G89" s="689"/>
      <c r="H89" s="689"/>
      <c r="I89" s="689"/>
      <c r="J89" s="689"/>
      <c r="K89" s="689"/>
      <c r="L89" s="689"/>
      <c r="M89" s="892"/>
      <c r="N89" s="2161"/>
      <c r="O89" s="2161"/>
      <c r="P89" s="2213"/>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1"/>
      <c r="M93" s="892"/>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4"/>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5">
        <v>0.5</v>
      </c>
      <c r="D111" s="895">
        <v>0.6</v>
      </c>
      <c r="E111" s="895">
        <v>0.7</v>
      </c>
      <c r="F111" s="895">
        <v>0.8</v>
      </c>
      <c r="G111" s="895">
        <v>0.9</v>
      </c>
      <c r="H111" s="895">
        <v>1.0001</v>
      </c>
      <c r="I111" s="906"/>
      <c r="J111" s="906"/>
      <c r="K111" s="907"/>
      <c r="L111" s="908"/>
      <c r="M111" s="909"/>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6" t="s">
        <v>2560</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8" t="s">
        <v>788</v>
      </c>
      <c r="C119" s="719"/>
      <c r="D119" s="719"/>
      <c r="E119" s="719"/>
      <c r="F119" s="719"/>
      <c r="G119" s="719"/>
      <c r="H119" s="719"/>
      <c r="I119" s="719"/>
      <c r="J119" s="719"/>
      <c r="K119" s="719"/>
      <c r="L119" s="919"/>
      <c r="M119" s="920"/>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4"/>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789</v>
      </c>
      <c r="C1" s="507" t="s">
        <v>721</v>
      </c>
      <c r="D1" s="850"/>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431"/>
    </row>
    <row r="2" spans="1:29" s="1335" customFormat="1" ht="28.5" customHeight="1">
      <c r="A2" s="426" t="s">
        <v>467</v>
      </c>
      <c r="B2" s="851"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31"/>
    </row>
    <row r="3" spans="1:29" s="1335" customFormat="1" ht="28.5" customHeight="1" thickBot="1">
      <c r="A3" s="512" t="s">
        <v>520</v>
      </c>
      <c r="B3" s="513" t="e">
        <f>C43</f>
        <v>#DIV/0!</v>
      </c>
      <c r="C3" s="853" t="s">
        <v>723</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522</v>
      </c>
      <c r="B4" s="516"/>
      <c r="C4" s="3439" t="s">
        <v>523</v>
      </c>
      <c r="D4" s="3440"/>
      <c r="E4" s="3463" t="s">
        <v>524</v>
      </c>
      <c r="F4" s="3464"/>
      <c r="G4" s="3439" t="s">
        <v>525</v>
      </c>
      <c r="H4" s="3440"/>
      <c r="I4" s="3439" t="s">
        <v>526</v>
      </c>
      <c r="J4" s="3440"/>
      <c r="K4" s="517" t="s">
        <v>527</v>
      </c>
      <c r="L4" s="2132"/>
      <c r="M4" s="2133"/>
      <c r="N4" s="2133"/>
      <c r="O4" s="2133"/>
      <c r="P4" s="3441" t="s">
        <v>528</v>
      </c>
      <c r="Q4" s="3442"/>
      <c r="R4" s="3427" t="s">
        <v>524</v>
      </c>
      <c r="S4" s="3428"/>
      <c r="T4" s="3427" t="s">
        <v>525</v>
      </c>
      <c r="U4" s="3428"/>
      <c r="V4" s="3447" t="s">
        <v>526</v>
      </c>
      <c r="W4" s="3447"/>
      <c r="X4" s="1566"/>
      <c r="Y4" s="3427" t="s">
        <v>528</v>
      </c>
      <c r="Z4" s="3428"/>
      <c r="AA4" s="3422" t="s">
        <v>524</v>
      </c>
      <c r="AB4" s="3423" t="s">
        <v>525</v>
      </c>
      <c r="AC4" s="3422" t="s">
        <v>526</v>
      </c>
    </row>
    <row r="5" spans="1:29" ht="15">
      <c r="A5" s="518"/>
      <c r="B5" s="519"/>
      <c r="C5" s="3467" t="s">
        <v>2919</v>
      </c>
      <c r="D5" s="3451"/>
      <c r="E5" s="3465" t="s">
        <v>2920</v>
      </c>
      <c r="F5" s="3466"/>
      <c r="G5" s="3467" t="s">
        <v>2921</v>
      </c>
      <c r="H5" s="3451"/>
      <c r="I5" s="3467" t="s">
        <v>2922</v>
      </c>
      <c r="J5" s="3451"/>
      <c r="K5" s="517"/>
      <c r="L5" s="2132"/>
      <c r="M5" s="2133"/>
      <c r="N5" s="2133"/>
      <c r="O5" s="2133"/>
      <c r="P5" s="3443"/>
      <c r="Q5" s="3444"/>
      <c r="R5" s="3429"/>
      <c r="S5" s="3430"/>
      <c r="T5" s="3429"/>
      <c r="U5" s="3430"/>
      <c r="V5" s="3447"/>
      <c r="W5" s="3447"/>
      <c r="X5" s="1566"/>
      <c r="Y5" s="3429"/>
      <c r="Z5" s="3430"/>
      <c r="AA5" s="3423"/>
      <c r="AB5" s="3423"/>
      <c r="AC5" s="3423"/>
    </row>
    <row r="6" spans="1:29" ht="15.75" thickBot="1">
      <c r="A6" s="520"/>
      <c r="B6" s="521"/>
      <c r="C6" s="3448" t="s">
        <v>2923</v>
      </c>
      <c r="D6" s="3449"/>
      <c r="E6" s="3468" t="s">
        <v>2923</v>
      </c>
      <c r="F6" s="3469"/>
      <c r="G6" s="3448" t="s">
        <v>2923</v>
      </c>
      <c r="H6" s="3449"/>
      <c r="I6" s="3448" t="s">
        <v>2923</v>
      </c>
      <c r="J6" s="3449"/>
      <c r="K6" s="517" t="s">
        <v>529</v>
      </c>
      <c r="L6" s="2132"/>
      <c r="M6" s="2133"/>
      <c r="N6" s="2133"/>
      <c r="O6" s="2133"/>
      <c r="P6" s="3445"/>
      <c r="Q6" s="3446"/>
      <c r="R6" s="3429"/>
      <c r="S6" s="3430"/>
      <c r="T6" s="3431"/>
      <c r="U6" s="3432"/>
      <c r="V6" s="3447"/>
      <c r="W6" s="3447"/>
      <c r="X6" s="1566"/>
      <c r="Y6" s="3431"/>
      <c r="Z6" s="3432"/>
      <c r="AA6" s="3424"/>
      <c r="AB6" s="3424"/>
      <c r="AC6" s="3424"/>
    </row>
    <row r="7" spans="1:29" s="1219" customFormat="1" ht="15.75" thickBot="1">
      <c r="A7" s="2934"/>
      <c r="B7" s="2941" t="s">
        <v>530</v>
      </c>
      <c r="C7" s="522">
        <f>'数据-取费表'!B2</f>
        <v>43031</v>
      </c>
      <c r="D7" s="523">
        <v>100</v>
      </c>
      <c r="E7" s="524"/>
      <c r="F7" s="525">
        <f>SUMIF(52:52,YEAR(E7)&amp;"-"&amp;MONTH(E7),53:53)</f>
        <v>0</v>
      </c>
      <c r="G7" s="524"/>
      <c r="H7" s="523">
        <f>SUMIF(52:52,YEAR(G7)&amp;"-"&amp;MONTH(G7),53:53)</f>
        <v>0</v>
      </c>
      <c r="I7" s="524"/>
      <c r="J7" s="523">
        <f>SUMIF(52:52,YEAR(I7)&amp;"-"&amp;MONTH(I7),53:53)</f>
        <v>0</v>
      </c>
      <c r="K7" s="527"/>
      <c r="L7" s="2134"/>
      <c r="M7" s="2135"/>
      <c r="N7" s="2135"/>
      <c r="O7" s="2135"/>
      <c r="P7" s="3425" t="s">
        <v>531</v>
      </c>
      <c r="Q7" s="3434"/>
      <c r="R7" s="1567" t="s">
        <v>8</v>
      </c>
      <c r="S7" s="1568">
        <f t="shared" ref="S7:S15" si="0">F7</f>
        <v>0</v>
      </c>
      <c r="T7" s="1567" t="s">
        <v>8</v>
      </c>
      <c r="U7" s="1568">
        <f t="shared" ref="U7:U15" si="1">H7</f>
        <v>0</v>
      </c>
      <c r="V7" s="1567" t="s">
        <v>8</v>
      </c>
      <c r="W7" s="1568">
        <f t="shared" ref="W7:W15" si="2">J7</f>
        <v>0</v>
      </c>
      <c r="X7" s="1569"/>
      <c r="Y7" s="3425" t="s">
        <v>531</v>
      </c>
      <c r="Z7" s="3426"/>
      <c r="AA7" s="1570" t="e">
        <f>D7/F7</f>
        <v>#DIV/0!</v>
      </c>
      <c r="AB7" s="1570" t="e">
        <f>D7/H7</f>
        <v>#DIV/0!</v>
      </c>
      <c r="AC7" s="1570" t="e">
        <f>D7/J7</f>
        <v>#DIV/0!</v>
      </c>
    </row>
    <row r="8" spans="1:29" s="1219" customFormat="1" ht="15.75" thickBot="1">
      <c r="A8" s="2935"/>
      <c r="B8" s="2942" t="s">
        <v>532</v>
      </c>
      <c r="C8" s="528" t="s">
        <v>577</v>
      </c>
      <c r="D8" s="523">
        <v>100</v>
      </c>
      <c r="E8" s="528"/>
      <c r="F8" s="525">
        <f>SUMIF(55:55,E8,56:56)-SUMIF(55:55,C8,56:56)+100</f>
        <v>0</v>
      </c>
      <c r="G8" s="528"/>
      <c r="H8" s="523">
        <f>SUMIF(55:55,G8,56:56)-SUMIF(55:55,C8,56:56)+100</f>
        <v>0</v>
      </c>
      <c r="I8" s="528"/>
      <c r="J8" s="523">
        <f>SUMIF(55:55,I8,56:56)-SUMIF(55:55,C8,56:56)+100</f>
        <v>0</v>
      </c>
      <c r="K8" s="527"/>
      <c r="L8" s="2134"/>
      <c r="M8" s="2135"/>
      <c r="N8" s="2135"/>
      <c r="O8" s="2135"/>
      <c r="P8" s="3425" t="s">
        <v>534</v>
      </c>
      <c r="Q8" s="3426"/>
      <c r="R8" s="1567" t="s">
        <v>8</v>
      </c>
      <c r="S8" s="1568">
        <f t="shared" si="0"/>
        <v>0</v>
      </c>
      <c r="T8" s="1567" t="s">
        <v>8</v>
      </c>
      <c r="U8" s="1568">
        <f t="shared" si="1"/>
        <v>0</v>
      </c>
      <c r="V8" s="1567" t="s">
        <v>8</v>
      </c>
      <c r="W8" s="1568">
        <f t="shared" si="2"/>
        <v>0</v>
      </c>
      <c r="X8" s="1569"/>
      <c r="Y8" s="3425" t="s">
        <v>534</v>
      </c>
      <c r="Z8" s="3426"/>
      <c r="AA8" s="1570" t="e">
        <f t="shared" ref="AA8:AA40" si="3">D8/F8</f>
        <v>#DIV/0!</v>
      </c>
      <c r="AB8" s="1570" t="e">
        <f t="shared" ref="AB8:AB40" si="4">D8/H8</f>
        <v>#DIV/0!</v>
      </c>
      <c r="AC8" s="1570" t="e">
        <f t="shared" ref="AC8:AC40" si="5">D8/J8</f>
        <v>#DIV/0!</v>
      </c>
    </row>
    <row r="9" spans="1:29" s="1219" customFormat="1" ht="15">
      <c r="A9" s="2936"/>
      <c r="B9" s="2943" t="s">
        <v>2762</v>
      </c>
      <c r="C9" s="858"/>
      <c r="D9" s="254">
        <v>100</v>
      </c>
      <c r="E9" s="861"/>
      <c r="F9" s="254">
        <f>SUMIF(57:57,E9,58:58)-SUMIF(57:57,C9,58:58)+100</f>
        <v>100</v>
      </c>
      <c r="G9" s="859"/>
      <c r="H9" s="254">
        <f>SUMIF(57:57,G9,58:58)-SUMIF(57:57,C9,58:58)+100</f>
        <v>100</v>
      </c>
      <c r="I9" s="859"/>
      <c r="J9" s="254">
        <f>SUMIF(57:57,I9,58:58)-SUMIF(57:57,C9,58:58)+100</f>
        <v>100</v>
      </c>
      <c r="K9" s="527"/>
      <c r="L9" s="2134"/>
      <c r="M9" s="2135"/>
      <c r="N9" s="2135"/>
      <c r="O9" s="2136"/>
      <c r="P9" s="3433" t="s">
        <v>536</v>
      </c>
      <c r="Q9" s="1150" t="str">
        <f t="shared" ref="Q9:Q15" si="6">B9</f>
        <v>用途</v>
      </c>
      <c r="R9" s="1567" t="s">
        <v>8</v>
      </c>
      <c r="S9" s="1568">
        <f t="shared" si="0"/>
        <v>100</v>
      </c>
      <c r="T9" s="1567" t="s">
        <v>8</v>
      </c>
      <c r="U9" s="1568">
        <f t="shared" si="1"/>
        <v>100</v>
      </c>
      <c r="V9" s="1567" t="s">
        <v>8</v>
      </c>
      <c r="W9" s="1568">
        <f t="shared" si="2"/>
        <v>100</v>
      </c>
      <c r="X9" s="1569"/>
      <c r="Y9" s="3388"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SUMIF(59:59,E10,60:60)-SUMIF(59:59,C10,60:60)+100</f>
        <v>100</v>
      </c>
      <c r="G10" s="863"/>
      <c r="H10" s="255">
        <f>SUMIF(59:59,G10,60:60)-SUMIF(59:59,C10,60:60)+100</f>
        <v>100</v>
      </c>
      <c r="I10" s="862"/>
      <c r="J10" s="255">
        <f>SUMIF(59:59,I10,60:60)-SUMIF(59:59,C10,60:60)+100</f>
        <v>100</v>
      </c>
      <c r="K10" s="585"/>
      <c r="L10" s="2137"/>
      <c r="M10" s="2177"/>
      <c r="N10" s="2177"/>
      <c r="O10" s="2138"/>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39"/>
      <c r="M11" s="2133"/>
      <c r="N11" s="2133"/>
      <c r="O11" s="2140"/>
      <c r="P11" s="3433"/>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SUMIF(64:64,E12,65:65)-SUMIF(64:64,C12,65:65)+100</f>
        <v>100</v>
      </c>
      <c r="G12" s="921"/>
      <c r="H12" s="255">
        <f>SUMIF(64:64,G12,65:65)-SUMIF(64:64,C12,65:65)+100</f>
        <v>100</v>
      </c>
      <c r="I12" s="881"/>
      <c r="J12" s="255">
        <f>SUMIF(64:64,I12,65:65)-SUMIF(64:64,C12,65:65)+100</f>
        <v>100</v>
      </c>
      <c r="K12" s="582"/>
      <c r="L12" s="2134"/>
      <c r="M12" s="2135"/>
      <c r="N12" s="2135"/>
      <c r="O12" s="2136"/>
      <c r="P12" s="3433"/>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939"/>
      <c r="B13" s="2945">
        <v>111</v>
      </c>
      <c r="C13" s="540"/>
      <c r="D13" s="541">
        <v>100</v>
      </c>
      <c r="E13" s="540"/>
      <c r="F13" s="255">
        <f>SUMIF(66:66,E13,67:67)-SUMIF(66:66,C13,67:67)+100</f>
        <v>100</v>
      </c>
      <c r="G13" s="921"/>
      <c r="H13" s="541">
        <f>SUMIF(66:66,G13,67:67)-SUMIF(66:66,C13,67:67)+100</f>
        <v>100</v>
      </c>
      <c r="I13" s="881"/>
      <c r="J13" s="541">
        <f>SUMIF(66:66,I13,67:67)-SUMIF(66:66,C13,67:67)+100</f>
        <v>100</v>
      </c>
      <c r="K13" s="582"/>
      <c r="L13" s="2141"/>
      <c r="M13" s="2133"/>
      <c r="N13" s="2133"/>
      <c r="O13" s="2140"/>
      <c r="P13" s="3433"/>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940"/>
      <c r="B14" s="2946">
        <v>111</v>
      </c>
      <c r="C14" s="546"/>
      <c r="D14" s="547">
        <v>100</v>
      </c>
      <c r="E14" s="546"/>
      <c r="F14" s="547">
        <f>SUMIF(68:68,E14,69:69)-SUMIF(68:68,C14,69:69)+100</f>
        <v>100</v>
      </c>
      <c r="G14" s="921"/>
      <c r="H14" s="547">
        <f>SUMIF(68:68,G14,69:69)-SUMIF(68:68,C14,69:69)+100</f>
        <v>100</v>
      </c>
      <c r="I14" s="881"/>
      <c r="J14" s="547">
        <f>SUMIF(68:68,I14,69:69)-SUMIF(68:68,C14,69:69)+100</f>
        <v>100</v>
      </c>
      <c r="K14" s="582"/>
      <c r="L14" s="2141"/>
      <c r="M14" s="2133"/>
      <c r="N14" s="2133"/>
      <c r="O14" s="2140"/>
      <c r="P14" s="3433"/>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15">
      <c r="A15" s="2932" t="s">
        <v>2760</v>
      </c>
      <c r="B15" s="166" t="s">
        <v>790</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1"/>
      <c r="M15" s="2133"/>
      <c r="N15" s="2133"/>
      <c r="O15" s="2140"/>
      <c r="P15" s="3435" t="s">
        <v>541</v>
      </c>
      <c r="Q15" s="1571" t="str">
        <f t="shared" si="6"/>
        <v>产业集聚程度</v>
      </c>
      <c r="R15" s="1572" t="s">
        <v>8</v>
      </c>
      <c r="S15" s="1573">
        <f t="shared" si="0"/>
        <v>100</v>
      </c>
      <c r="T15" s="1572" t="s">
        <v>8</v>
      </c>
      <c r="U15" s="1573">
        <f t="shared" si="1"/>
        <v>100</v>
      </c>
      <c r="V15" s="1572" t="s">
        <v>8</v>
      </c>
      <c r="W15" s="1573">
        <f t="shared" si="2"/>
        <v>100</v>
      </c>
      <c r="X15" s="1566"/>
      <c r="Y15" s="3435" t="s">
        <v>541</v>
      </c>
      <c r="Z15" s="1574" t="str">
        <f t="shared" si="7"/>
        <v>产业集聚程度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36"/>
      <c r="Q16" s="1571"/>
      <c r="R16" s="1572"/>
      <c r="S16" s="1573"/>
      <c r="T16" s="1572"/>
      <c r="U16" s="1573"/>
      <c r="V16" s="1572"/>
      <c r="W16" s="1573"/>
      <c r="X16" s="1566"/>
      <c r="Y16" s="3436"/>
      <c r="Z16" s="1574"/>
      <c r="AA16" s="1575">
        <v>1</v>
      </c>
      <c r="AB16" s="1575">
        <v>1</v>
      </c>
      <c r="AC16" s="1575">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1"/>
      <c r="M17" s="2133"/>
      <c r="N17" s="2133"/>
      <c r="O17" s="2140"/>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36"/>
      <c r="Q18" s="1571"/>
      <c r="R18" s="1572"/>
      <c r="S18" s="1573"/>
      <c r="T18" s="1572"/>
      <c r="U18" s="1573"/>
      <c r="V18" s="1572"/>
      <c r="W18" s="1573"/>
      <c r="X18" s="1566"/>
      <c r="Y18" s="3436"/>
      <c r="Z18" s="1574"/>
      <c r="AA18" s="1575">
        <v>1</v>
      </c>
      <c r="AB18" s="1575">
        <v>1</v>
      </c>
      <c r="AC18" s="1575">
        <v>1</v>
      </c>
    </row>
    <row r="19" spans="1:29" ht="15">
      <c r="A19" s="533"/>
      <c r="B19" s="2624" t="s">
        <v>2550</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1"/>
      <c r="M19" s="2133"/>
      <c r="N19" s="2133"/>
      <c r="O19" s="2140"/>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3"/>
      <c r="B20" s="567"/>
      <c r="C20" s="577"/>
      <c r="D20" s="556"/>
      <c r="E20" s="557"/>
      <c r="F20" s="558"/>
      <c r="G20" s="559"/>
      <c r="H20" s="556"/>
      <c r="I20" s="557"/>
      <c r="J20" s="556"/>
      <c r="K20" s="900"/>
      <c r="L20" s="2141"/>
      <c r="M20" s="2133"/>
      <c r="N20" s="2133"/>
      <c r="O20" s="2140"/>
      <c r="P20" s="3436"/>
      <c r="Q20" s="1571"/>
      <c r="R20" s="1572"/>
      <c r="S20" s="1573"/>
      <c r="T20" s="1572"/>
      <c r="U20" s="1573"/>
      <c r="V20" s="1572"/>
      <c r="W20" s="1573"/>
      <c r="X20" s="1566"/>
      <c r="Y20" s="3436"/>
      <c r="Z20" s="1574"/>
      <c r="AA20" s="1575">
        <v>1</v>
      </c>
      <c r="AB20" s="1575">
        <v>1</v>
      </c>
      <c r="AC20" s="1575">
        <v>1</v>
      </c>
    </row>
    <row r="21" spans="1:29" ht="15">
      <c r="A21" s="533"/>
      <c r="B21" s="2612" t="s">
        <v>2562</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1"/>
      <c r="M21" s="2133"/>
      <c r="N21" s="2133"/>
      <c r="O21" s="2140"/>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3"/>
      <c r="B22" s="579"/>
      <c r="C22" s="874"/>
      <c r="D22" s="556"/>
      <c r="E22" s="577"/>
      <c r="F22" s="558"/>
      <c r="G22" s="577"/>
      <c r="H22" s="556"/>
      <c r="I22" s="577"/>
      <c r="J22" s="556"/>
      <c r="K22" s="2623"/>
      <c r="L22" s="2141"/>
      <c r="M22" s="2133"/>
      <c r="N22" s="2133"/>
      <c r="O22" s="2140"/>
      <c r="P22" s="3436"/>
      <c r="Q22" s="2600"/>
      <c r="R22" s="1572"/>
      <c r="S22" s="1573"/>
      <c r="T22" s="1572"/>
      <c r="U22" s="1573"/>
      <c r="V22" s="1572"/>
      <c r="W22" s="1573"/>
      <c r="X22" s="2602"/>
      <c r="Y22" s="3436"/>
      <c r="Z22" s="2601"/>
      <c r="AA22" s="1575">
        <v>1</v>
      </c>
      <c r="AB22" s="1575">
        <v>1</v>
      </c>
      <c r="AC22" s="1575">
        <v>1</v>
      </c>
    </row>
    <row r="23" spans="1:29" ht="15">
      <c r="A23" s="533"/>
      <c r="B23" s="872" t="s">
        <v>779</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1"/>
      <c r="M23" s="2133"/>
      <c r="N23" s="2133"/>
      <c r="O23" s="2140"/>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3"/>
      <c r="B24" s="923"/>
      <c r="C24" s="577"/>
      <c r="D24" s="556"/>
      <c r="E24" s="557"/>
      <c r="F24" s="558"/>
      <c r="G24" s="559"/>
      <c r="H24" s="556"/>
      <c r="I24" s="557"/>
      <c r="J24" s="556"/>
      <c r="K24" s="900"/>
      <c r="L24" s="2141"/>
      <c r="M24" s="2133"/>
      <c r="N24" s="2133"/>
      <c r="O24" s="2140"/>
      <c r="P24" s="3436"/>
      <c r="Q24" s="1571"/>
      <c r="R24" s="1572"/>
      <c r="S24" s="1573"/>
      <c r="T24" s="1572"/>
      <c r="U24" s="1573"/>
      <c r="V24" s="1572"/>
      <c r="W24" s="1573"/>
      <c r="X24" s="1566"/>
      <c r="Y24" s="3436"/>
      <c r="Z24" s="1574"/>
      <c r="AA24" s="1575">
        <v>1</v>
      </c>
      <c r="AB24" s="1575">
        <v>1</v>
      </c>
      <c r="AC24" s="1575">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36"/>
      <c r="Q25" s="1571">
        <f>B25</f>
        <v>111</v>
      </c>
      <c r="R25" s="1572" t="s">
        <v>8</v>
      </c>
      <c r="S25" s="1573">
        <f>F25</f>
        <v>100</v>
      </c>
      <c r="T25" s="1572" t="s">
        <v>8</v>
      </c>
      <c r="U25" s="1573">
        <f>H25</f>
        <v>100</v>
      </c>
      <c r="V25" s="1572" t="s">
        <v>8</v>
      </c>
      <c r="W25" s="1573">
        <f>J25</f>
        <v>100</v>
      </c>
      <c r="X25" s="1566"/>
      <c r="Y25" s="3436"/>
      <c r="Z25" s="1574">
        <f>Q25</f>
        <v>111</v>
      </c>
      <c r="AA25" s="1575">
        <f t="shared" si="3"/>
        <v>1</v>
      </c>
      <c r="AB25" s="1575">
        <f t="shared" si="4"/>
        <v>1</v>
      </c>
      <c r="AC25" s="1575">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36"/>
      <c r="Q26" s="1571">
        <f t="shared" ref="Q26:Q40" si="11">B26</f>
        <v>111</v>
      </c>
      <c r="R26" s="1572" t="s">
        <v>8</v>
      </c>
      <c r="S26" s="1573">
        <f>F26</f>
        <v>100</v>
      </c>
      <c r="T26" s="1572" t="s">
        <v>8</v>
      </c>
      <c r="U26" s="1573">
        <f>H26</f>
        <v>100</v>
      </c>
      <c r="V26" s="1572" t="s">
        <v>8</v>
      </c>
      <c r="W26" s="1573">
        <f>J26</f>
        <v>100</v>
      </c>
      <c r="X26" s="1566"/>
      <c r="Y26" s="3436"/>
      <c r="Z26" s="1574">
        <f>Q26</f>
        <v>111</v>
      </c>
      <c r="AA26" s="1575">
        <f t="shared" si="3"/>
        <v>1</v>
      </c>
      <c r="AB26" s="1575">
        <f t="shared" si="4"/>
        <v>1</v>
      </c>
      <c r="AC26" s="1575">
        <f t="shared" si="5"/>
        <v>1</v>
      </c>
    </row>
    <row r="27" spans="1:29" s="1219"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36"/>
      <c r="Q27" s="1150">
        <f t="shared" si="11"/>
        <v>111</v>
      </c>
      <c r="R27" s="1567" t="s">
        <v>8</v>
      </c>
      <c r="S27" s="1568">
        <f>F27</f>
        <v>100</v>
      </c>
      <c r="T27" s="1567" t="s">
        <v>8</v>
      </c>
      <c r="U27" s="1568">
        <f>H27</f>
        <v>100</v>
      </c>
      <c r="V27" s="1567" t="s">
        <v>8</v>
      </c>
      <c r="W27" s="1568">
        <f>J27</f>
        <v>100</v>
      </c>
      <c r="X27" s="1569"/>
      <c r="Y27" s="3436"/>
      <c r="Z27" s="1149">
        <f>Q27</f>
        <v>111</v>
      </c>
      <c r="AA27" s="1575">
        <f>D27/F27</f>
        <v>1</v>
      </c>
      <c r="AB27" s="1575">
        <f>D27/H27</f>
        <v>1</v>
      </c>
      <c r="AC27" s="1575">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1"/>
      <c r="M28" s="2133"/>
      <c r="N28" s="2133"/>
      <c r="O28" s="2140"/>
      <c r="P28" s="3436"/>
      <c r="Q28" s="1571">
        <f t="shared" si="11"/>
        <v>111</v>
      </c>
      <c r="R28" s="1572" t="s">
        <v>8</v>
      </c>
      <c r="S28" s="1573">
        <f t="shared" ref="S28:S40" si="12">F28</f>
        <v>100</v>
      </c>
      <c r="T28" s="1572" t="s">
        <v>8</v>
      </c>
      <c r="U28" s="1573">
        <f t="shared" ref="U28:U40" si="13">H28</f>
        <v>100</v>
      </c>
      <c r="V28" s="1572" t="s">
        <v>8</v>
      </c>
      <c r="W28" s="1573">
        <f t="shared" ref="W28:W40" si="14">J28</f>
        <v>100</v>
      </c>
      <c r="X28" s="1566"/>
      <c r="Y28" s="3436"/>
      <c r="Z28" s="1574">
        <f t="shared" ref="Z28:Z40" si="15">Q28</f>
        <v>111</v>
      </c>
      <c r="AA28" s="1575">
        <f t="shared" si="3"/>
        <v>1</v>
      </c>
      <c r="AB28" s="1575">
        <f t="shared" si="4"/>
        <v>1</v>
      </c>
      <c r="AC28" s="1575">
        <f t="shared" si="5"/>
        <v>1</v>
      </c>
    </row>
    <row r="29" spans="1:29" ht="15">
      <c r="A29" s="2930" t="s">
        <v>2761</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1"/>
      <c r="M29" s="2133"/>
      <c r="N29" s="2133"/>
      <c r="O29" s="2140"/>
      <c r="P29" s="3437" t="s">
        <v>551</v>
      </c>
      <c r="Q29" s="1571" t="str">
        <f t="shared" si="11"/>
        <v>建筑类型</v>
      </c>
      <c r="R29" s="1572" t="s">
        <v>8</v>
      </c>
      <c r="S29" s="1573">
        <f t="shared" si="12"/>
        <v>100</v>
      </c>
      <c r="T29" s="1572" t="s">
        <v>8</v>
      </c>
      <c r="U29" s="1573">
        <f t="shared" si="13"/>
        <v>100</v>
      </c>
      <c r="V29" s="1572" t="s">
        <v>8</v>
      </c>
      <c r="W29" s="1573">
        <f t="shared" si="14"/>
        <v>100</v>
      </c>
      <c r="X29" s="1566"/>
      <c r="Y29" s="3438" t="s">
        <v>551</v>
      </c>
      <c r="Z29" s="1574" t="str">
        <f t="shared" si="15"/>
        <v>建筑类型</v>
      </c>
      <c r="AA29" s="1575">
        <f t="shared" si="3"/>
        <v>1</v>
      </c>
      <c r="AB29" s="1575">
        <f t="shared" si="4"/>
        <v>1</v>
      </c>
      <c r="AC29" s="1575">
        <f t="shared" si="5"/>
        <v>1</v>
      </c>
    </row>
    <row r="30" spans="1:29" s="1338" customFormat="1" ht="15">
      <c r="A30" s="604"/>
      <c r="B30" s="530" t="s">
        <v>727</v>
      </c>
      <c r="C30" s="881"/>
      <c r="D30" s="255">
        <v>100</v>
      </c>
      <c r="E30" s="535"/>
      <c r="F30" s="864" t="e">
        <f>LOOKUP(E30,91:91,92:92)-LOOKUP(C30,91:91,92:92)+100</f>
        <v>#N/A</v>
      </c>
      <c r="G30" s="534"/>
      <c r="H30" s="255" t="e">
        <f>LOOKUP(G30,91:91,92:92)-LOOKUP(C30,91:91,92:92)+100</f>
        <v>#N/A</v>
      </c>
      <c r="I30" s="534"/>
      <c r="J30" s="255" t="e">
        <f>LOOKUP(I30,91:91,92:92)-LOOKUP(C30,91:91,92:92)+100</f>
        <v>#N/A</v>
      </c>
      <c r="K30" s="582"/>
      <c r="L30" s="2139"/>
      <c r="M30" s="2170"/>
      <c r="N30" s="2170"/>
      <c r="O30" s="2142"/>
      <c r="P30" s="3438"/>
      <c r="Q30" s="1604" t="str">
        <f t="shared" si="11"/>
        <v>项目建筑规模</v>
      </c>
      <c r="R30" s="1576" t="s">
        <v>8</v>
      </c>
      <c r="S30" s="1577" t="e">
        <f t="shared" si="12"/>
        <v>#N/A</v>
      </c>
      <c r="T30" s="1576" t="s">
        <v>8</v>
      </c>
      <c r="U30" s="1577" t="e">
        <f t="shared" si="13"/>
        <v>#N/A</v>
      </c>
      <c r="V30" s="1576" t="s">
        <v>8</v>
      </c>
      <c r="W30" s="1577" t="e">
        <f t="shared" si="14"/>
        <v>#N/A</v>
      </c>
      <c r="X30" s="1578"/>
      <c r="Y30" s="3438"/>
      <c r="Z30" s="1579" t="str">
        <f t="shared" si="15"/>
        <v>项目建筑规模</v>
      </c>
      <c r="AA30" s="1575" t="e">
        <f t="shared" si="3"/>
        <v>#N/A</v>
      </c>
      <c r="AB30" s="1575" t="e">
        <f t="shared" si="4"/>
        <v>#N/A</v>
      </c>
      <c r="AC30" s="1575" t="e">
        <f t="shared" si="5"/>
        <v>#N/A</v>
      </c>
    </row>
    <row r="31" spans="1:29" ht="15">
      <c r="A31" s="595"/>
      <c r="B31" s="530"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38"/>
      <c r="Q31" s="1571" t="str">
        <f t="shared" si="11"/>
        <v>建筑结构</v>
      </c>
      <c r="R31" s="1572" t="s">
        <v>8</v>
      </c>
      <c r="S31" s="1573">
        <f t="shared" si="12"/>
        <v>100</v>
      </c>
      <c r="T31" s="1572" t="s">
        <v>8</v>
      </c>
      <c r="U31" s="1573">
        <f t="shared" si="13"/>
        <v>100</v>
      </c>
      <c r="V31" s="1572" t="s">
        <v>8</v>
      </c>
      <c r="W31" s="1573">
        <f t="shared" si="14"/>
        <v>100</v>
      </c>
      <c r="X31" s="1566"/>
      <c r="Y31" s="3438"/>
      <c r="Z31" s="1574" t="str">
        <f t="shared" si="15"/>
        <v>建筑结构</v>
      </c>
      <c r="AA31" s="1575">
        <f t="shared" si="3"/>
        <v>1</v>
      </c>
      <c r="AB31" s="1575">
        <f t="shared" si="4"/>
        <v>1</v>
      </c>
      <c r="AC31" s="1575">
        <f t="shared" si="5"/>
        <v>1</v>
      </c>
    </row>
    <row r="32" spans="1:29" ht="15">
      <c r="A32" s="595"/>
      <c r="B32" s="530"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38"/>
      <c r="Q32" s="1571" t="str">
        <f t="shared" si="11"/>
        <v>公共部分装修</v>
      </c>
      <c r="R32" s="1572" t="s">
        <v>8</v>
      </c>
      <c r="S32" s="1573">
        <f t="shared" si="12"/>
        <v>100</v>
      </c>
      <c r="T32" s="1572" t="s">
        <v>8</v>
      </c>
      <c r="U32" s="1573">
        <f t="shared" si="13"/>
        <v>100</v>
      </c>
      <c r="V32" s="1572" t="s">
        <v>8</v>
      </c>
      <c r="W32" s="1573">
        <f t="shared" si="14"/>
        <v>100</v>
      </c>
      <c r="X32" s="1566"/>
      <c r="Y32" s="3438"/>
      <c r="Z32" s="1574" t="str">
        <f t="shared" si="15"/>
        <v>公共部分装修</v>
      </c>
      <c r="AA32" s="1575">
        <f t="shared" si="3"/>
        <v>1</v>
      </c>
      <c r="AB32" s="1575">
        <f t="shared" si="4"/>
        <v>1</v>
      </c>
      <c r="AC32" s="1575">
        <f t="shared" si="5"/>
        <v>1</v>
      </c>
    </row>
    <row r="33" spans="1:29" ht="15">
      <c r="A33" s="595"/>
      <c r="B33" s="530"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1"/>
      <c r="M33" s="2133"/>
      <c r="N33" s="2133"/>
      <c r="O33" s="2140"/>
      <c r="P33" s="3438"/>
      <c r="Q33" s="1571" t="str">
        <f t="shared" si="11"/>
        <v>成新度</v>
      </c>
      <c r="R33" s="1572" t="s">
        <v>8</v>
      </c>
      <c r="S33" s="1573" t="e">
        <f t="shared" si="12"/>
        <v>#N/A</v>
      </c>
      <c r="T33" s="1572" t="s">
        <v>8</v>
      </c>
      <c r="U33" s="1573" t="e">
        <f t="shared" si="13"/>
        <v>#N/A</v>
      </c>
      <c r="V33" s="1572" t="s">
        <v>8</v>
      </c>
      <c r="W33" s="1573" t="e">
        <f t="shared" si="14"/>
        <v>#N/A</v>
      </c>
      <c r="X33" s="1566"/>
      <c r="Y33" s="3438"/>
      <c r="Z33" s="1574" t="str">
        <f t="shared" si="15"/>
        <v>成新度</v>
      </c>
      <c r="AA33" s="1575" t="e">
        <f t="shared" si="3"/>
        <v>#N/A</v>
      </c>
      <c r="AB33" s="1575" t="e">
        <f t="shared" si="4"/>
        <v>#N/A</v>
      </c>
      <c r="AC33" s="1575" t="e">
        <f t="shared" si="5"/>
        <v>#N/A</v>
      </c>
    </row>
    <row r="34" spans="1:29" s="1219" customFormat="1" ht="15">
      <c r="A34" s="601"/>
      <c r="B34" s="530" t="s">
        <v>783</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38"/>
      <c r="Q34" s="1150" t="str">
        <f t="shared" si="11"/>
        <v>物业管理</v>
      </c>
      <c r="R34" s="1567" t="s">
        <v>8</v>
      </c>
      <c r="S34" s="1568">
        <f t="shared" si="12"/>
        <v>100</v>
      </c>
      <c r="T34" s="1567" t="s">
        <v>8</v>
      </c>
      <c r="U34" s="1568">
        <f t="shared" si="13"/>
        <v>100</v>
      </c>
      <c r="V34" s="1567" t="s">
        <v>8</v>
      </c>
      <c r="W34" s="1568">
        <f t="shared" si="14"/>
        <v>100</v>
      </c>
      <c r="X34" s="1569"/>
      <c r="Y34" s="3438"/>
      <c r="Z34" s="1149" t="str">
        <f t="shared" si="15"/>
        <v>物业管理</v>
      </c>
      <c r="AA34" s="1570">
        <f t="shared" si="3"/>
        <v>1</v>
      </c>
      <c r="AB34" s="1570">
        <f t="shared" si="4"/>
        <v>1</v>
      </c>
      <c r="AC34" s="1570">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38" t="s">
        <v>551</v>
      </c>
      <c r="Q35" s="1571" t="str">
        <f t="shared" si="11"/>
        <v>市政基础设施</v>
      </c>
      <c r="R35" s="1572" t="s">
        <v>8</v>
      </c>
      <c r="S35" s="1573">
        <f t="shared" si="12"/>
        <v>100</v>
      </c>
      <c r="T35" s="1572" t="s">
        <v>8</v>
      </c>
      <c r="U35" s="1573">
        <f t="shared" si="13"/>
        <v>100</v>
      </c>
      <c r="V35" s="1572" t="s">
        <v>8</v>
      </c>
      <c r="W35" s="1573">
        <f t="shared" si="14"/>
        <v>100</v>
      </c>
      <c r="X35" s="1566"/>
      <c r="Y35" s="3438" t="s">
        <v>551</v>
      </c>
      <c r="Z35" s="1574" t="str">
        <f t="shared" si="15"/>
        <v>市政基础设施</v>
      </c>
      <c r="AA35" s="1575">
        <f t="shared" si="3"/>
        <v>1</v>
      </c>
      <c r="AB35" s="1575">
        <f t="shared" si="4"/>
        <v>1</v>
      </c>
      <c r="AC35" s="1575">
        <f t="shared" si="5"/>
        <v>1</v>
      </c>
    </row>
    <row r="36" spans="1:29" ht="15">
      <c r="A36" s="595"/>
      <c r="B36" s="530"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38"/>
      <c r="Q36" s="1571" t="str">
        <f t="shared" si="11"/>
        <v>内部装修</v>
      </c>
      <c r="R36" s="1572" t="s">
        <v>8</v>
      </c>
      <c r="S36" s="1573">
        <f t="shared" si="12"/>
        <v>100</v>
      </c>
      <c r="T36" s="1572" t="s">
        <v>8</v>
      </c>
      <c r="U36" s="1573">
        <f t="shared" si="13"/>
        <v>100</v>
      </c>
      <c r="V36" s="1572" t="s">
        <v>8</v>
      </c>
      <c r="W36" s="1573">
        <f t="shared" si="14"/>
        <v>100</v>
      </c>
      <c r="X36" s="1566"/>
      <c r="Y36" s="3438"/>
      <c r="Z36" s="1574" t="str">
        <f t="shared" si="15"/>
        <v>内部装修</v>
      </c>
      <c r="AA36" s="1575">
        <f t="shared" si="3"/>
        <v>1</v>
      </c>
      <c r="AB36" s="1575">
        <f t="shared" si="4"/>
        <v>1</v>
      </c>
      <c r="AC36" s="1575">
        <f t="shared" si="5"/>
        <v>1</v>
      </c>
    </row>
    <row r="37" spans="1:29" ht="15">
      <c r="A37" s="595"/>
      <c r="B37" s="530"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38"/>
      <c r="Q37" s="1571" t="str">
        <f t="shared" si="11"/>
        <v>内部装修状况</v>
      </c>
      <c r="R37" s="1572" t="s">
        <v>8</v>
      </c>
      <c r="S37" s="1573">
        <f t="shared" si="12"/>
        <v>100</v>
      </c>
      <c r="T37" s="1572" t="s">
        <v>8</v>
      </c>
      <c r="U37" s="1573">
        <f t="shared" si="13"/>
        <v>100</v>
      </c>
      <c r="V37" s="1572" t="s">
        <v>8</v>
      </c>
      <c r="W37" s="1573">
        <f t="shared" si="14"/>
        <v>100</v>
      </c>
      <c r="X37" s="1566"/>
      <c r="Y37" s="3438"/>
      <c r="Z37" s="1574" t="str">
        <f t="shared" si="15"/>
        <v>内部装修状况</v>
      </c>
      <c r="AA37" s="1575">
        <f t="shared" si="3"/>
        <v>1</v>
      </c>
      <c r="AB37" s="1575">
        <f t="shared" si="4"/>
        <v>1</v>
      </c>
      <c r="AC37" s="1575">
        <f t="shared" si="5"/>
        <v>1</v>
      </c>
    </row>
    <row r="38" spans="1:29" s="1338"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39"/>
      <c r="M38" s="2170"/>
      <c r="N38" s="2170"/>
      <c r="O38" s="2142"/>
      <c r="P38" s="3438"/>
      <c r="Q38" s="1604">
        <f t="shared" si="11"/>
        <v>111</v>
      </c>
      <c r="R38" s="1576" t="s">
        <v>8</v>
      </c>
      <c r="S38" s="1577">
        <f t="shared" si="12"/>
        <v>100</v>
      </c>
      <c r="T38" s="1576" t="s">
        <v>8</v>
      </c>
      <c r="U38" s="1577">
        <f t="shared" si="13"/>
        <v>100</v>
      </c>
      <c r="V38" s="1576" t="s">
        <v>8</v>
      </c>
      <c r="W38" s="1577">
        <f t="shared" si="14"/>
        <v>100</v>
      </c>
      <c r="X38" s="1578"/>
      <c r="Y38" s="3438"/>
      <c r="Z38" s="1579">
        <f t="shared" si="15"/>
        <v>111</v>
      </c>
      <c r="AA38" s="1575">
        <f t="shared" si="3"/>
        <v>1</v>
      </c>
      <c r="AB38" s="1575">
        <f t="shared" si="4"/>
        <v>1</v>
      </c>
      <c r="AC38" s="1575">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1"/>
      <c r="M39" s="2133"/>
      <c r="N39" s="2133"/>
      <c r="O39" s="2140"/>
      <c r="P39" s="3438"/>
      <c r="Q39" s="1571">
        <f t="shared" si="11"/>
        <v>111</v>
      </c>
      <c r="R39" s="1572" t="s">
        <v>8</v>
      </c>
      <c r="S39" s="1573">
        <f t="shared" si="12"/>
        <v>100</v>
      </c>
      <c r="T39" s="1572" t="s">
        <v>8</v>
      </c>
      <c r="U39" s="1573">
        <f t="shared" si="13"/>
        <v>100</v>
      </c>
      <c r="V39" s="1572" t="s">
        <v>8</v>
      </c>
      <c r="W39" s="1573">
        <f t="shared" si="14"/>
        <v>100</v>
      </c>
      <c r="X39" s="1566"/>
      <c r="Y39" s="3438"/>
      <c r="Z39" s="1574">
        <f t="shared" si="15"/>
        <v>111</v>
      </c>
      <c r="AA39" s="1575">
        <f t="shared" si="3"/>
        <v>1</v>
      </c>
      <c r="AB39" s="1575">
        <f t="shared" si="4"/>
        <v>1</v>
      </c>
      <c r="AC39" s="1575">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1"/>
      <c r="M40" s="2133"/>
      <c r="N40" s="2133"/>
      <c r="O40" s="2140"/>
      <c r="P40" s="3513"/>
      <c r="Q40" s="1571">
        <f t="shared" si="11"/>
        <v>111</v>
      </c>
      <c r="R40" s="1572" t="s">
        <v>8</v>
      </c>
      <c r="S40" s="1573">
        <f t="shared" si="12"/>
        <v>100</v>
      </c>
      <c r="T40" s="1572" t="s">
        <v>8</v>
      </c>
      <c r="U40" s="1573">
        <f t="shared" si="13"/>
        <v>100</v>
      </c>
      <c r="V40" s="1572" t="s">
        <v>8</v>
      </c>
      <c r="W40" s="1573">
        <f t="shared" si="14"/>
        <v>100</v>
      </c>
      <c r="X40" s="1566"/>
      <c r="Y40" s="3513"/>
      <c r="Z40" s="1574">
        <f t="shared" si="15"/>
        <v>111</v>
      </c>
      <c r="AA40" s="1575">
        <f t="shared" si="3"/>
        <v>1</v>
      </c>
      <c r="AB40" s="1575">
        <f t="shared" si="4"/>
        <v>1</v>
      </c>
      <c r="AC40" s="1575">
        <f t="shared" si="5"/>
        <v>1</v>
      </c>
    </row>
    <row r="41" spans="1:29" ht="15">
      <c r="A41" s="608" t="s">
        <v>737</v>
      </c>
      <c r="B41" s="888"/>
      <c r="C41" s="2648" t="s">
        <v>1</v>
      </c>
      <c r="D41" s="2649"/>
      <c r="E41" s="2650"/>
      <c r="F41" s="2651"/>
      <c r="G41" s="2652"/>
      <c r="H41" s="2653"/>
      <c r="I41" s="2650"/>
      <c r="J41" s="2653"/>
      <c r="K41" s="1610"/>
      <c r="L41" s="2143"/>
      <c r="M41" s="2144"/>
      <c r="N41" s="2133"/>
      <c r="O41" s="2144"/>
      <c r="P41" s="3433" t="str">
        <f>A41</f>
        <v>成交单价（元/平方米）</v>
      </c>
      <c r="Q41" s="3433"/>
      <c r="R41" s="3512">
        <f>E41</f>
        <v>0</v>
      </c>
      <c r="S41" s="3512"/>
      <c r="T41" s="3512">
        <f>G41</f>
        <v>0</v>
      </c>
      <c r="U41" s="3512"/>
      <c r="V41" s="3512">
        <f>I41</f>
        <v>0</v>
      </c>
      <c r="W41" s="3512"/>
      <c r="X41" s="1558"/>
      <c r="Y41" s="1580"/>
      <c r="Z41" s="1558"/>
      <c r="AA41" s="1558"/>
      <c r="AB41" s="1558"/>
      <c r="AC41" s="1558"/>
    </row>
    <row r="42" spans="1:29" ht="15.75" thickBot="1">
      <c r="A42" s="616" t="s">
        <v>2766</v>
      </c>
      <c r="B42" s="889"/>
      <c r="C42" s="2654" t="e">
        <f>R43</f>
        <v>#DIV/0!</v>
      </c>
      <c r="D42" s="2655"/>
      <c r="E42" s="2656" t="e">
        <f>R42</f>
        <v>#DIV/0!</v>
      </c>
      <c r="F42" s="2656"/>
      <c r="G42" s="2654" t="e">
        <f>T42</f>
        <v>#DIV/0!</v>
      </c>
      <c r="H42" s="2655"/>
      <c r="I42" s="2656" t="e">
        <f>V42</f>
        <v>#DIV/0!</v>
      </c>
      <c r="J42" s="2655"/>
      <c r="K42" s="1611"/>
      <c r="L42" s="2143"/>
      <c r="M42" s="2144"/>
      <c r="N42" s="2133"/>
      <c r="O42" s="2144"/>
      <c r="P42" s="3433" t="str">
        <f>A42</f>
        <v>比较价格（元/平方米）</v>
      </c>
      <c r="Q42" s="3433"/>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8"/>
      <c r="Y42" s="1558"/>
      <c r="Z42" s="1558"/>
      <c r="AA42" s="1558"/>
      <c r="AB42" s="1558"/>
      <c r="AC42" s="1558"/>
    </row>
    <row r="43" spans="1:29" ht="15.75" thickBot="1">
      <c r="A43" s="622" t="s">
        <v>2925</v>
      </c>
      <c r="B43" s="623"/>
      <c r="C43" s="2657" t="e">
        <f>R43</f>
        <v>#DIV/0!</v>
      </c>
      <c r="D43" s="2657"/>
      <c r="E43" s="2657"/>
      <c r="F43" s="2657"/>
      <c r="G43" s="2657"/>
      <c r="H43" s="2657"/>
      <c r="I43" s="2657"/>
      <c r="J43" s="2657"/>
      <c r="K43" s="1612"/>
      <c r="L43" s="2143"/>
      <c r="M43" s="2144"/>
      <c r="N43" s="2144"/>
      <c r="O43" s="2144"/>
      <c r="P43" s="3454" t="str">
        <f>A43</f>
        <v>估价对象XX用房的比较价格（楼面单价，元/平方米）</v>
      </c>
      <c r="Q43" s="3455"/>
      <c r="R43" s="3511" t="e">
        <f>IF(F1="售价",ROUND(AVERAGE(R42:V42),0),ROUND(AVERAGE(R42:V42),1))</f>
        <v>#DIV/0!</v>
      </c>
      <c r="S43" s="3511"/>
      <c r="T43" s="3511"/>
      <c r="U43" s="3511"/>
      <c r="V43" s="3511"/>
      <c r="W43" s="351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6" t="s">
        <v>530</v>
      </c>
      <c r="B52" s="647"/>
      <c r="C52" s="2825" t="str">
        <f>YEAR(C7)&amp;"-"&amp;MONTH(C7)</f>
        <v>2017-10</v>
      </c>
      <c r="D52" s="2827">
        <f>EDATE(C52,-1)</f>
        <v>42979</v>
      </c>
      <c r="E52" s="2827">
        <f t="shared" ref="E52:O52" si="16">EDATE(D52,-1)</f>
        <v>42948</v>
      </c>
      <c r="F52" s="2827">
        <f t="shared" si="16"/>
        <v>42917</v>
      </c>
      <c r="G52" s="2827">
        <f t="shared" si="16"/>
        <v>42887</v>
      </c>
      <c r="H52" s="2827">
        <f t="shared" si="16"/>
        <v>42856</v>
      </c>
      <c r="I52" s="2827">
        <f t="shared" si="16"/>
        <v>42826</v>
      </c>
      <c r="J52" s="2827">
        <f t="shared" si="16"/>
        <v>42795</v>
      </c>
      <c r="K52" s="2827">
        <f t="shared" si="16"/>
        <v>42767</v>
      </c>
      <c r="L52" s="2827">
        <f t="shared" si="16"/>
        <v>42736</v>
      </c>
      <c r="M52" s="2827">
        <f t="shared" si="16"/>
        <v>42705</v>
      </c>
      <c r="N52" s="2827">
        <f t="shared" si="16"/>
        <v>42675</v>
      </c>
      <c r="O52" s="2827">
        <f t="shared" si="16"/>
        <v>42644</v>
      </c>
      <c r="P52" s="2159"/>
      <c r="Q52" s="2160"/>
      <c r="R52" s="2160"/>
      <c r="S52" s="2160"/>
      <c r="T52" s="2160"/>
      <c r="U52" s="2160"/>
      <c r="V52" s="2160"/>
      <c r="W52" s="2160"/>
      <c r="X52" s="2160"/>
      <c r="Y52" s="2160"/>
      <c r="Z52" s="2160"/>
      <c r="AA52" s="2160"/>
      <c r="AB52" s="2160"/>
      <c r="AC52" s="2160"/>
    </row>
    <row r="53" spans="1:29" s="1219"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19"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19"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19"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6" t="s">
        <v>2561</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18" t="s">
        <v>2562</v>
      </c>
      <c r="C76" s="2619" t="s">
        <v>2563</v>
      </c>
      <c r="D76" s="2619" t="s">
        <v>2564</v>
      </c>
      <c r="E76" s="2619" t="s">
        <v>2565</v>
      </c>
      <c r="F76" s="2619" t="s">
        <v>2566</v>
      </c>
      <c r="G76" s="2619" t="s">
        <v>2567</v>
      </c>
      <c r="H76" s="936"/>
      <c r="I76" s="936"/>
      <c r="J76" s="936"/>
      <c r="K76" s="936"/>
      <c r="L76" s="936"/>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19" customFormat="1" ht="15.75" thickTop="1">
      <c r="A80" s="710"/>
      <c r="B80" s="674">
        <f>B25</f>
        <v>111</v>
      </c>
      <c r="C80" s="689"/>
      <c r="D80" s="689"/>
      <c r="E80" s="689"/>
      <c r="F80" s="689"/>
      <c r="G80" s="689"/>
      <c r="H80" s="689"/>
      <c r="I80" s="689"/>
      <c r="J80" s="689"/>
      <c r="K80" s="689"/>
      <c r="L80" s="891"/>
      <c r="M80" s="892"/>
      <c r="N80" s="2161"/>
      <c r="O80" s="2161"/>
      <c r="P80" s="2164"/>
      <c r="Q80" s="2157"/>
      <c r="R80" s="1992"/>
      <c r="S80" s="1992"/>
      <c r="T80" s="1992"/>
      <c r="U80" s="1992"/>
      <c r="V80" s="1992"/>
      <c r="W80" s="1992"/>
      <c r="X80" s="1992"/>
      <c r="Y80" s="1992"/>
      <c r="Z80" s="1992"/>
      <c r="AA80" s="1992"/>
      <c r="AB80" s="1992"/>
      <c r="AC80" s="1992"/>
    </row>
    <row r="81" spans="1:29" s="1219"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19" customFormat="1" ht="15.75" thickTop="1">
      <c r="A82" s="710"/>
      <c r="B82" s="674">
        <f>B26</f>
        <v>111</v>
      </c>
      <c r="C82" s="689"/>
      <c r="D82" s="689"/>
      <c r="E82" s="689"/>
      <c r="F82" s="689"/>
      <c r="G82" s="689"/>
      <c r="H82" s="689"/>
      <c r="I82" s="689"/>
      <c r="J82" s="689"/>
      <c r="K82" s="689"/>
      <c r="L82" s="891"/>
      <c r="M82" s="892"/>
      <c r="N82" s="2161"/>
      <c r="O82" s="2161"/>
      <c r="P82" s="2164"/>
      <c r="Q82" s="2157"/>
      <c r="R82" s="1992"/>
      <c r="S82" s="1992"/>
      <c r="T82" s="1992"/>
      <c r="U82" s="1992"/>
      <c r="V82" s="1992"/>
      <c r="W82" s="1992"/>
      <c r="X82" s="1992"/>
      <c r="Y82" s="1992"/>
      <c r="Z82" s="1992"/>
      <c r="AA82" s="1992"/>
      <c r="AB82" s="1992"/>
      <c r="AC82" s="1992"/>
    </row>
    <row r="83" spans="1:29" s="1219"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8"/>
      <c r="B84" s="674">
        <f>B27</f>
        <v>111</v>
      </c>
      <c r="C84" s="689"/>
      <c r="D84" s="689"/>
      <c r="E84" s="689"/>
      <c r="F84" s="689"/>
      <c r="G84" s="689"/>
      <c r="H84" s="689"/>
      <c r="I84" s="689"/>
      <c r="J84" s="689"/>
      <c r="K84" s="689"/>
      <c r="L84" s="891"/>
      <c r="M84" s="8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4"/>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5">
        <v>0.5</v>
      </c>
      <c r="D98" s="895">
        <v>0.6</v>
      </c>
      <c r="E98" s="895">
        <v>0.7</v>
      </c>
      <c r="F98" s="895">
        <v>0.8</v>
      </c>
      <c r="G98" s="895">
        <v>0.9</v>
      </c>
      <c r="H98" s="895">
        <v>1.0001</v>
      </c>
      <c r="I98" s="906"/>
      <c r="J98" s="906"/>
      <c r="K98" s="907"/>
      <c r="L98" s="908"/>
      <c r="M98" s="909"/>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6" t="s">
        <v>2560</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4"/>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IF(B37="元/平方米",C39,ROUND(B2*10000/D3,0))</f>
        <v>#DIV/0!</v>
      </c>
      <c r="C3" s="853" t="s">
        <v>797</v>
      </c>
      <c r="D3" s="852">
        <f>SUMIF('数据-汇总表'!$C19:$C33,D1,'数据-汇总表'!$E19:$E33)</f>
        <v>0</v>
      </c>
      <c r="E3" s="1848" t="s">
        <v>2077</v>
      </c>
      <c r="F3" s="852">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39" t="s">
        <v>799</v>
      </c>
      <c r="D4" s="3440"/>
      <c r="E4" s="3439" t="s">
        <v>800</v>
      </c>
      <c r="F4" s="3440"/>
      <c r="G4" s="3439" t="s">
        <v>801</v>
      </c>
      <c r="H4" s="3440"/>
      <c r="I4" s="3439" t="s">
        <v>802</v>
      </c>
      <c r="J4" s="3440"/>
      <c r="K4" s="517" t="s">
        <v>803</v>
      </c>
      <c r="L4" s="2132"/>
      <c r="M4" s="2133"/>
      <c r="N4" s="2133"/>
      <c r="O4" s="2133"/>
      <c r="P4" s="3441" t="s">
        <v>804</v>
      </c>
      <c r="Q4" s="3442"/>
      <c r="R4" s="3427" t="s">
        <v>800</v>
      </c>
      <c r="S4" s="3428"/>
      <c r="T4" s="3427" t="s">
        <v>801</v>
      </c>
      <c r="U4" s="3428"/>
      <c r="V4" s="3447" t="s">
        <v>802</v>
      </c>
      <c r="W4" s="3447"/>
      <c r="X4" s="1566"/>
      <c r="Y4" s="3427" t="s">
        <v>804</v>
      </c>
      <c r="Z4" s="3428"/>
      <c r="AA4" s="3422" t="s">
        <v>800</v>
      </c>
      <c r="AB4" s="3423" t="s">
        <v>801</v>
      </c>
      <c r="AC4" s="3422" t="s">
        <v>802</v>
      </c>
    </row>
    <row r="5" spans="1:29" ht="15">
      <c r="A5" s="518"/>
      <c r="B5" s="519"/>
      <c r="C5" s="3467" t="s">
        <v>2919</v>
      </c>
      <c r="D5" s="3451"/>
      <c r="E5" s="3467" t="s">
        <v>2920</v>
      </c>
      <c r="F5" s="3451"/>
      <c r="G5" s="3467" t="s">
        <v>2921</v>
      </c>
      <c r="H5" s="3451"/>
      <c r="I5" s="3467" t="s">
        <v>2922</v>
      </c>
      <c r="J5" s="3451"/>
      <c r="K5" s="517"/>
      <c r="L5" s="2132"/>
      <c r="M5" s="2133"/>
      <c r="N5" s="2133"/>
      <c r="O5" s="2133"/>
      <c r="P5" s="3443"/>
      <c r="Q5" s="3444"/>
      <c r="R5" s="3429"/>
      <c r="S5" s="3430"/>
      <c r="T5" s="3429"/>
      <c r="U5" s="3430"/>
      <c r="V5" s="3447"/>
      <c r="W5" s="3447"/>
      <c r="X5" s="1566"/>
      <c r="Y5" s="3429"/>
      <c r="Z5" s="3430"/>
      <c r="AA5" s="3423"/>
      <c r="AB5" s="3423"/>
      <c r="AC5" s="3423"/>
    </row>
    <row r="6" spans="1:29" ht="15.75" thickBot="1">
      <c r="A6" s="520"/>
      <c r="B6" s="521"/>
      <c r="C6" s="3448" t="s">
        <v>2923</v>
      </c>
      <c r="D6" s="3449"/>
      <c r="E6" s="3541" t="s">
        <v>2923</v>
      </c>
      <c r="F6" s="3453"/>
      <c r="G6" s="3448" t="s">
        <v>2923</v>
      </c>
      <c r="H6" s="3449"/>
      <c r="I6" s="3448" t="s">
        <v>2923</v>
      </c>
      <c r="J6" s="3449"/>
      <c r="K6" s="517" t="s">
        <v>529</v>
      </c>
      <c r="L6" s="2132"/>
      <c r="M6" s="2133"/>
      <c r="N6" s="2133"/>
      <c r="O6" s="2133"/>
      <c r="P6" s="3445"/>
      <c r="Q6" s="3446"/>
      <c r="R6" s="3429"/>
      <c r="S6" s="3430"/>
      <c r="T6" s="3431"/>
      <c r="U6" s="3432"/>
      <c r="V6" s="3447"/>
      <c r="W6" s="3447"/>
      <c r="X6" s="1566"/>
      <c r="Y6" s="3431"/>
      <c r="Z6" s="3432"/>
      <c r="AA6" s="3424"/>
      <c r="AB6" s="3424"/>
      <c r="AC6" s="3424"/>
    </row>
    <row r="7" spans="1:29" s="1219" customFormat="1" ht="15.75" thickBot="1">
      <c r="A7" s="2934"/>
      <c r="B7" s="2941" t="s">
        <v>530</v>
      </c>
      <c r="C7" s="522">
        <f>'数据-取费表'!B2</f>
        <v>43031</v>
      </c>
      <c r="D7" s="523">
        <v>100</v>
      </c>
      <c r="E7" s="524"/>
      <c r="F7" s="525">
        <f>SUMIF(48:48,YEAR(E7)&amp;"-"&amp;MONTH(E7),49:49)</f>
        <v>0</v>
      </c>
      <c r="G7" s="526"/>
      <c r="H7" s="523">
        <f>SUMIF(48:48,YEAR(G7)&amp;"-"&amp;MONTH(G7),49:49)</f>
        <v>0</v>
      </c>
      <c r="I7" s="526"/>
      <c r="J7" s="523">
        <f>SUMIF(48:48,YEAR(I7)&amp;"-"&amp;MONTH(I7),49:49)</f>
        <v>0</v>
      </c>
      <c r="K7" s="527"/>
      <c r="L7" s="2134"/>
      <c r="M7" s="2135"/>
      <c r="N7" s="2135"/>
      <c r="O7" s="2135"/>
      <c r="P7" s="3425" t="s">
        <v>531</v>
      </c>
      <c r="Q7" s="3434"/>
      <c r="R7" s="1567" t="s">
        <v>8</v>
      </c>
      <c r="S7" s="1568">
        <f t="shared" ref="S7:S14" si="0">F7</f>
        <v>0</v>
      </c>
      <c r="T7" s="1567" t="s">
        <v>8</v>
      </c>
      <c r="U7" s="1568">
        <f t="shared" ref="U7:U14" si="1">H7</f>
        <v>0</v>
      </c>
      <c r="V7" s="1567" t="s">
        <v>8</v>
      </c>
      <c r="W7" s="1568">
        <f t="shared" ref="W7:W14" si="2">J7</f>
        <v>0</v>
      </c>
      <c r="X7" s="1569"/>
      <c r="Y7" s="3425" t="s">
        <v>531</v>
      </c>
      <c r="Z7" s="3426"/>
      <c r="AA7" s="1570" t="e">
        <f>D7/F7</f>
        <v>#DIV/0!</v>
      </c>
      <c r="AB7" s="1570" t="e">
        <f>D7/H7</f>
        <v>#DIV/0!</v>
      </c>
      <c r="AC7" s="1570" t="e">
        <f>D7/J7</f>
        <v>#DIV/0!</v>
      </c>
    </row>
    <row r="8" spans="1:29" s="1219" customFormat="1" ht="15.75" thickBot="1">
      <c r="A8" s="2935"/>
      <c r="B8" s="2942" t="s">
        <v>532</v>
      </c>
      <c r="C8" s="528" t="s">
        <v>577</v>
      </c>
      <c r="D8" s="523">
        <v>100</v>
      </c>
      <c r="E8" s="528"/>
      <c r="F8" s="525">
        <f>SUMIF(51:51,E8,52:52)-SUMIF(51:51,C8,52:52)+100</f>
        <v>0</v>
      </c>
      <c r="G8" s="528"/>
      <c r="H8" s="523">
        <f>SUMIF(51:51,G8,52:52)-SUMIF(51:51,C8,52:52)+100</f>
        <v>0</v>
      </c>
      <c r="I8" s="528"/>
      <c r="J8" s="523">
        <f>SUMIF(51:51,I8,52:52)-SUMIF(51:51,C8,52:52)+100</f>
        <v>0</v>
      </c>
      <c r="K8" s="527"/>
      <c r="L8" s="2134"/>
      <c r="M8" s="2135"/>
      <c r="N8" s="2135"/>
      <c r="O8" s="2135"/>
      <c r="P8" s="3425" t="s">
        <v>534</v>
      </c>
      <c r="Q8" s="3426"/>
      <c r="R8" s="1567" t="s">
        <v>8</v>
      </c>
      <c r="S8" s="1568">
        <f t="shared" si="0"/>
        <v>0</v>
      </c>
      <c r="T8" s="1567" t="s">
        <v>8</v>
      </c>
      <c r="U8" s="1568">
        <f t="shared" si="1"/>
        <v>0</v>
      </c>
      <c r="V8" s="1567" t="s">
        <v>8</v>
      </c>
      <c r="W8" s="1568">
        <f t="shared" si="2"/>
        <v>0</v>
      </c>
      <c r="X8" s="1569"/>
      <c r="Y8" s="3425" t="s">
        <v>534</v>
      </c>
      <c r="Z8" s="3426"/>
      <c r="AA8" s="1570" t="e">
        <f t="shared" ref="AA8:AA36" si="3">D8/F8</f>
        <v>#DIV/0!</v>
      </c>
      <c r="AB8" s="1570" t="e">
        <f t="shared" ref="AB8:AB36" si="4">D8/H8</f>
        <v>#DIV/0!</v>
      </c>
      <c r="AC8" s="1570" t="e">
        <f t="shared" ref="AC8:AC36" si="5">D8/J8</f>
        <v>#DIV/0!</v>
      </c>
    </row>
    <row r="9" spans="1:29" s="1219" customFormat="1" ht="15">
      <c r="A9" s="2936"/>
      <c r="B9" s="2943" t="s">
        <v>2762</v>
      </c>
      <c r="C9" s="858"/>
      <c r="D9" s="254">
        <v>100</v>
      </c>
      <c r="E9" s="861"/>
      <c r="F9" s="254">
        <f>SUMIF(53:53,E9,54:54)-SUMIF(53:53,C9,54:54)+100</f>
        <v>100</v>
      </c>
      <c r="G9" s="859"/>
      <c r="H9" s="254">
        <f>SUMIF(53:53,G9,54:54)-SUMIF(53:53,C9,54:54)+100</f>
        <v>100</v>
      </c>
      <c r="I9" s="859"/>
      <c r="J9" s="254">
        <f>SUMIF(53:53,I9,54:54)-SUMIF(53:53,C9,54:54)+100</f>
        <v>100</v>
      </c>
      <c r="K9" s="527"/>
      <c r="L9" s="2134"/>
      <c r="M9" s="2135"/>
      <c r="N9" s="2135"/>
      <c r="O9" s="2136"/>
      <c r="P9" s="3433" t="s">
        <v>536</v>
      </c>
      <c r="Q9" s="1150" t="str">
        <f t="shared" ref="Q9:Q14" si="6">B9</f>
        <v>用途</v>
      </c>
      <c r="R9" s="1567" t="s">
        <v>8</v>
      </c>
      <c r="S9" s="1568">
        <f t="shared" si="0"/>
        <v>100</v>
      </c>
      <c r="T9" s="1567" t="s">
        <v>8</v>
      </c>
      <c r="U9" s="1568">
        <f t="shared" si="1"/>
        <v>100</v>
      </c>
      <c r="V9" s="1567" t="s">
        <v>8</v>
      </c>
      <c r="W9" s="1568">
        <f t="shared" si="2"/>
        <v>100</v>
      </c>
      <c r="X9" s="1569"/>
      <c r="Y9" s="3388"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SUMIF(55:55,E10,56:56)-SUMIF(55:55,C10,56:56)+100</f>
        <v>100</v>
      </c>
      <c r="G10" s="863"/>
      <c r="H10" s="255">
        <f>SUMIF(55:55,G10,56:56)-SUMIF(55:55,C10,56:56)+100</f>
        <v>100</v>
      </c>
      <c r="I10" s="862"/>
      <c r="J10" s="255">
        <f>SUMIF(55:55,I10,56:56)-SUMIF(55:55,C10,56:56)+100</f>
        <v>100</v>
      </c>
      <c r="K10" s="585"/>
      <c r="L10" s="2137"/>
      <c r="M10" s="2177"/>
      <c r="N10" s="2177"/>
      <c r="O10" s="2138"/>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39"/>
      <c r="B11" s="2945">
        <v>111</v>
      </c>
      <c r="C11" s="531"/>
      <c r="D11" s="255">
        <v>100</v>
      </c>
      <c r="E11" s="531"/>
      <c r="F11" s="255">
        <f>SUMIF(57:57,E11,58:58)-SUMIF(57:57,C11,58:58)+100</f>
        <v>100</v>
      </c>
      <c r="G11" s="531"/>
      <c r="H11" s="255">
        <f>SUMIF(57:57,G11,58:58)-SUMIF(57:57,C11,58:58)+100</f>
        <v>100</v>
      </c>
      <c r="I11" s="531"/>
      <c r="J11" s="255">
        <f>SUMIF(57:57,I11,58:58)-SUMIF(57:57,C11,58:58)+100</f>
        <v>100</v>
      </c>
      <c r="K11" s="582"/>
      <c r="L11" s="2139"/>
      <c r="M11" s="2133"/>
      <c r="N11" s="2133"/>
      <c r="O11" s="2140"/>
      <c r="P11" s="3433"/>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939"/>
      <c r="B12" s="2945">
        <v>111</v>
      </c>
      <c r="C12" s="531"/>
      <c r="D12" s="539">
        <v>100</v>
      </c>
      <c r="E12" s="531"/>
      <c r="F12" s="255">
        <f>SUMIF(59:59,E12,60:60)-SUMIF(59:59,C12,60:60)+100</f>
        <v>100</v>
      </c>
      <c r="G12" s="531"/>
      <c r="H12" s="255">
        <f>SUMIF(59:59,G12,60:60)-SUMIF(59:59,C12,60:60)+100</f>
        <v>100</v>
      </c>
      <c r="I12" s="531"/>
      <c r="J12" s="255">
        <f>SUMIF(59:59,I12,60:60)-SUMIF(59:59,C12,60:60)+100</f>
        <v>100</v>
      </c>
      <c r="K12" s="582"/>
      <c r="L12" s="2134"/>
      <c r="M12" s="2135"/>
      <c r="N12" s="2135"/>
      <c r="O12" s="2136"/>
      <c r="P12" s="3433"/>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940"/>
      <c r="B13" s="2946">
        <v>111</v>
      </c>
      <c r="C13" s="540"/>
      <c r="D13" s="541">
        <v>100</v>
      </c>
      <c r="E13" s="531"/>
      <c r="F13" s="255">
        <f>SUMIF(61:61,E13,62:62)-SUMIF(61:61,C13,62:62)+100</f>
        <v>100</v>
      </c>
      <c r="G13" s="531"/>
      <c r="H13" s="541">
        <f>SUMIF(61:61,G13,62:62)-SUMIF(61:61,C13,62:62)+100</f>
        <v>100</v>
      </c>
      <c r="I13" s="531"/>
      <c r="J13" s="541">
        <f>SUMIF(61:61,I13,62:62)-SUMIF(61:61,C13,62:62)+100</f>
        <v>100</v>
      </c>
      <c r="K13" s="582"/>
      <c r="L13" s="2141"/>
      <c r="M13" s="2133"/>
      <c r="N13" s="2133"/>
      <c r="O13" s="2140"/>
      <c r="P13" s="3433"/>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932" t="s">
        <v>2760</v>
      </c>
      <c r="B14" s="548" t="s">
        <v>544</v>
      </c>
      <c r="C14" s="922" t="str">
        <f>IF(B1="工业",估价对象房地状况!G4,估价对象房地状况!C6)</f>
        <v>咨询对象本身所属项目较大，本地块周边道路尚未建设完善，综合评价交通便捷度较差。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1"/>
      <c r="M14" s="2133"/>
      <c r="N14" s="2133"/>
      <c r="O14" s="2140"/>
      <c r="P14" s="3435" t="s">
        <v>541</v>
      </c>
      <c r="Q14" s="1571" t="str">
        <f t="shared" si="6"/>
        <v>交通便捷度</v>
      </c>
      <c r="R14" s="1572" t="s">
        <v>8</v>
      </c>
      <c r="S14" s="1573">
        <f t="shared" si="0"/>
        <v>100</v>
      </c>
      <c r="T14" s="1572" t="s">
        <v>8</v>
      </c>
      <c r="U14" s="1573">
        <f t="shared" si="1"/>
        <v>100</v>
      </c>
      <c r="V14" s="1572" t="s">
        <v>8</v>
      </c>
      <c r="W14" s="1573">
        <f t="shared" si="2"/>
        <v>100</v>
      </c>
      <c r="X14" s="1566"/>
      <c r="Y14" s="3435" t="s">
        <v>541</v>
      </c>
      <c r="Z14" s="1574" t="str">
        <f t="shared" si="7"/>
        <v>交通便捷度</v>
      </c>
      <c r="AA14" s="1575">
        <f t="shared" si="3"/>
        <v>1</v>
      </c>
      <c r="AB14" s="1575">
        <f t="shared" si="4"/>
        <v>1</v>
      </c>
      <c r="AC14" s="1575">
        <f t="shared" si="5"/>
        <v>1</v>
      </c>
    </row>
    <row r="15" spans="1:29" ht="15">
      <c r="A15" s="518"/>
      <c r="B15" s="925"/>
      <c r="C15" s="577"/>
      <c r="D15" s="556"/>
      <c r="E15" s="577"/>
      <c r="F15" s="558"/>
      <c r="G15" s="577"/>
      <c r="H15" s="560"/>
      <c r="I15" s="577"/>
      <c r="J15" s="556"/>
      <c r="K15" s="900"/>
      <c r="L15" s="2141"/>
      <c r="M15" s="2133"/>
      <c r="N15" s="2133"/>
      <c r="O15" s="2140"/>
      <c r="P15" s="3436"/>
      <c r="Q15" s="1571"/>
      <c r="R15" s="1572"/>
      <c r="S15" s="1573"/>
      <c r="T15" s="1572"/>
      <c r="U15" s="1573"/>
      <c r="V15" s="1572"/>
      <c r="W15" s="1573"/>
      <c r="X15" s="1566"/>
      <c r="Y15" s="3436"/>
      <c r="Z15" s="1574"/>
      <c r="AA15" s="1575">
        <v>1</v>
      </c>
      <c r="AB15" s="1575">
        <v>1</v>
      </c>
      <c r="AC15" s="1575">
        <v>1</v>
      </c>
    </row>
    <row r="16" spans="1:29" ht="85.5">
      <c r="A16" s="518"/>
      <c r="B16" s="2624" t="s">
        <v>2550</v>
      </c>
      <c r="C16" s="873" t="str">
        <f>IF(B1="工业",估价对象房地状况!G5,估价对象房地状况!C7)</f>
        <v>咨询对象本身所属项目较大，公共配套设施尚未建设，综合评价公共配套设施较差。</v>
      </c>
      <c r="D16" s="566">
        <v>100</v>
      </c>
      <c r="E16" s="573"/>
      <c r="F16" s="572">
        <f>SUMIF(65:65,E17,66:66)-SUMIF(65:65,C17,66:66)+100</f>
        <v>100</v>
      </c>
      <c r="G16" s="573"/>
      <c r="H16" s="566">
        <f>SUMIF(65:65,G17,66:66)-SUMIF(65:65,C17,66:66)+100</f>
        <v>100</v>
      </c>
      <c r="I16" s="571"/>
      <c r="J16" s="566">
        <f>SUMIF(65:65,I17,66:66)-SUMIF(65:65,C17,66:66)+100</f>
        <v>100</v>
      </c>
      <c r="K16" s="899"/>
      <c r="L16" s="2141"/>
      <c r="M16" s="2133"/>
      <c r="N16" s="2133"/>
      <c r="O16" s="2140"/>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18"/>
      <c r="B17" s="567"/>
      <c r="C17" s="874"/>
      <c r="D17" s="556"/>
      <c r="E17" s="577"/>
      <c r="F17" s="558"/>
      <c r="G17" s="577"/>
      <c r="H17" s="556"/>
      <c r="I17" s="577"/>
      <c r="J17" s="556"/>
      <c r="K17" s="900"/>
      <c r="L17" s="2141"/>
      <c r="M17" s="2133"/>
      <c r="N17" s="2133"/>
      <c r="O17" s="2140"/>
      <c r="P17" s="3436"/>
      <c r="Q17" s="1571"/>
      <c r="R17" s="1572"/>
      <c r="S17" s="1573"/>
      <c r="T17" s="1572"/>
      <c r="U17" s="1573"/>
      <c r="V17" s="1572"/>
      <c r="W17" s="1573"/>
      <c r="X17" s="1566"/>
      <c r="Y17" s="3436"/>
      <c r="Z17" s="1574"/>
      <c r="AA17" s="1575">
        <v>1</v>
      </c>
      <c r="AB17" s="1575">
        <v>1</v>
      </c>
      <c r="AC17" s="1575">
        <v>1</v>
      </c>
    </row>
    <row r="18" spans="1:29" ht="15">
      <c r="A18" s="518"/>
      <c r="B18" s="2612" t="s">
        <v>2562</v>
      </c>
      <c r="C18" s="873" t="str">
        <f>IF(B1="工业",估价对象房地状况!G6,估价对象房地状况!C8)</f>
        <v xml:space="preserve"> </v>
      </c>
      <c r="D18" s="560">
        <v>100</v>
      </c>
      <c r="E18" s="573"/>
      <c r="F18" s="572">
        <f>SUMIF(67:67,E19,68:68)-SUMIF(67:67,C19,68:68)+100</f>
        <v>100</v>
      </c>
      <c r="G18" s="573"/>
      <c r="H18" s="566">
        <f>SUMIF(67:67,G19,68:68)-SUMIF(67:67,C19,68:68)+100</f>
        <v>100</v>
      </c>
      <c r="I18" s="571"/>
      <c r="J18" s="566">
        <f>SUMIF(67:67,I19,68:68)-SUMIF(67:67,C19,68:68)+100</f>
        <v>100</v>
      </c>
      <c r="K18" s="899"/>
      <c r="L18" s="2141"/>
      <c r="M18" s="2133"/>
      <c r="N18" s="2133"/>
      <c r="O18" s="2140"/>
      <c r="P18" s="3436"/>
      <c r="Q18" s="2600" t="str">
        <f>B18</f>
        <v>基础设施水平</v>
      </c>
      <c r="R18" s="1572" t="s">
        <v>8</v>
      </c>
      <c r="S18" s="1573">
        <f>F18</f>
        <v>100</v>
      </c>
      <c r="T18" s="1572" t="s">
        <v>8</v>
      </c>
      <c r="U18" s="1573">
        <f>H18</f>
        <v>100</v>
      </c>
      <c r="V18" s="1572" t="s">
        <v>8</v>
      </c>
      <c r="W18" s="1573">
        <f>J18</f>
        <v>100</v>
      </c>
      <c r="X18" s="2602"/>
      <c r="Y18" s="3436"/>
      <c r="Z18" s="2601" t="str">
        <f>Q18</f>
        <v>基础设施水平</v>
      </c>
      <c r="AA18" s="1575">
        <f t="shared" ref="AA18" si="8">D18/F18</f>
        <v>1</v>
      </c>
      <c r="AB18" s="1575">
        <f t="shared" ref="AB18" si="9">D18/H18</f>
        <v>1</v>
      </c>
      <c r="AC18" s="1575">
        <f t="shared" ref="AC18" si="10">D18/J18</f>
        <v>1</v>
      </c>
    </row>
    <row r="19" spans="1:29" ht="15">
      <c r="A19" s="518"/>
      <c r="B19" s="579"/>
      <c r="C19" s="874"/>
      <c r="D19" s="560"/>
      <c r="E19" s="577"/>
      <c r="F19" s="558"/>
      <c r="G19" s="577"/>
      <c r="H19" s="556"/>
      <c r="I19" s="577"/>
      <c r="J19" s="556"/>
      <c r="K19" s="2623"/>
      <c r="L19" s="2141"/>
      <c r="M19" s="2133"/>
      <c r="N19" s="2133"/>
      <c r="O19" s="2140"/>
      <c r="P19" s="3436"/>
      <c r="Q19" s="2600"/>
      <c r="R19" s="1572"/>
      <c r="S19" s="1573"/>
      <c r="T19" s="1572"/>
      <c r="U19" s="1573"/>
      <c r="V19" s="1572"/>
      <c r="W19" s="1573"/>
      <c r="X19" s="2602"/>
      <c r="Y19" s="3436"/>
      <c r="Z19" s="2601"/>
      <c r="AA19" s="1575">
        <v>1</v>
      </c>
      <c r="AB19" s="1575">
        <v>1</v>
      </c>
      <c r="AC19" s="1575">
        <v>1</v>
      </c>
    </row>
    <row r="20" spans="1:29" ht="85.5">
      <c r="A20" s="518"/>
      <c r="B20" s="561" t="s">
        <v>805</v>
      </c>
      <c r="C20" s="873" t="str">
        <f>IF(B1="工业",估价对象房地状况!G7,估价对象房地状况!C9)</f>
        <v>咨询对象本身所属项目较大，周边尚无自然及人文环境，综合评价自然及人文环境较差。</v>
      </c>
      <c r="D20" s="566">
        <v>100</v>
      </c>
      <c r="E20" s="563"/>
      <c r="F20" s="564">
        <f>SUMIF(69:69,E21,70:70)-SUMIF(69:69,C21,70:70)+100</f>
        <v>100</v>
      </c>
      <c r="G20" s="565"/>
      <c r="H20" s="560">
        <f>SUMIF(69:69,G21,70:70)-SUMIF(69:69,C21,70:70)+100</f>
        <v>100</v>
      </c>
      <c r="I20" s="563"/>
      <c r="J20" s="560">
        <f>SUMIF(69:69,I21,70:70)-SUMIF(69:69,C21,70:70)+100</f>
        <v>100</v>
      </c>
      <c r="K20" s="899"/>
      <c r="L20" s="2141"/>
      <c r="M20" s="2133"/>
      <c r="N20" s="2133"/>
      <c r="O20" s="2140"/>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18"/>
      <c r="B21" s="567"/>
      <c r="C21" s="577"/>
      <c r="D21" s="556"/>
      <c r="E21" s="577"/>
      <c r="F21" s="558"/>
      <c r="G21" s="577"/>
      <c r="H21" s="556"/>
      <c r="I21" s="577"/>
      <c r="J21" s="556"/>
      <c r="K21" s="900"/>
      <c r="L21" s="2141"/>
      <c r="M21" s="2133"/>
      <c r="N21" s="2133"/>
      <c r="O21" s="2140"/>
      <c r="P21" s="3436"/>
      <c r="Q21" s="1571"/>
      <c r="R21" s="1572"/>
      <c r="S21" s="1573"/>
      <c r="T21" s="1572"/>
      <c r="U21" s="1573"/>
      <c r="V21" s="1572"/>
      <c r="W21" s="1573"/>
      <c r="X21" s="1566"/>
      <c r="Y21" s="3436"/>
      <c r="Z21" s="1574"/>
      <c r="AA21" s="1575">
        <v>1</v>
      </c>
      <c r="AB21" s="1575">
        <v>1</v>
      </c>
      <c r="AC21" s="1575">
        <v>1</v>
      </c>
    </row>
    <row r="22" spans="1:29" ht="15">
      <c r="A22" s="518"/>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8"/>
      <c r="B23" s="926">
        <v>111</v>
      </c>
      <c r="C23" s="531"/>
      <c r="D23" s="541">
        <v>100</v>
      </c>
      <c r="E23" s="531"/>
      <c r="F23" s="576">
        <f>SUMIF(73:73,E23,74:74)-SUMIF(73:73,C23,74:74)+100</f>
        <v>100</v>
      </c>
      <c r="G23" s="531"/>
      <c r="H23" s="541">
        <f>SUMIF(73:73,G23,74:74)-SUMIF(73:73,C23,74:74)+100</f>
        <v>100</v>
      </c>
      <c r="I23" s="531"/>
      <c r="J23" s="541">
        <f>SUMIF(73:73,I23,74:74)-SUMIF(73:73,C23,74:74)+100</f>
        <v>100</v>
      </c>
      <c r="K23" s="582"/>
      <c r="L23" s="2141"/>
      <c r="M23" s="2133"/>
      <c r="N23" s="2133"/>
      <c r="O23" s="2140"/>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18"/>
      <c r="B24" s="926">
        <v>111</v>
      </c>
      <c r="C24" s="531"/>
      <c r="D24" s="541">
        <v>100</v>
      </c>
      <c r="E24" s="531"/>
      <c r="F24" s="576">
        <f>SUMIF(75:75,E24,76:76)-SUMIF(75:75,C24,76:76)+100</f>
        <v>100</v>
      </c>
      <c r="G24" s="531"/>
      <c r="H24" s="541">
        <f>SUMIF(75:75,G24,76:76)-SUMIF(75:75,C24,76:76)+100</f>
        <v>100</v>
      </c>
      <c r="I24" s="531"/>
      <c r="J24" s="541">
        <f>SUMIF(75:75,I24,76:76)-SUMIF(75:75,C24,76:76)+100</f>
        <v>100</v>
      </c>
      <c r="K24" s="582"/>
      <c r="L24" s="2141"/>
      <c r="M24" s="2133"/>
      <c r="N24" s="2133"/>
      <c r="O24" s="2140"/>
      <c r="P24" s="3436"/>
      <c r="Q24" s="1571">
        <f t="shared" ref="Q24:Q36"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4"/>
      <c r="M25" s="2135"/>
      <c r="N25" s="2135"/>
      <c r="O25" s="2136"/>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30" t="s">
        <v>2761</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37"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8" t="s">
        <v>551</v>
      </c>
      <c r="Z26" s="1574" t="str">
        <f t="shared" ref="Z26:Z36" si="15">Q26</f>
        <v>配套类型</v>
      </c>
      <c r="AA26" s="1575">
        <f t="shared" si="3"/>
        <v>1</v>
      </c>
      <c r="AB26" s="1575">
        <f t="shared" si="4"/>
        <v>1</v>
      </c>
      <c r="AC26" s="1575">
        <f t="shared" si="5"/>
        <v>1</v>
      </c>
    </row>
    <row r="27" spans="1:29" s="1338" customFormat="1" ht="15">
      <c r="A27" s="930"/>
      <c r="B27" s="583" t="s">
        <v>808</v>
      </c>
      <c r="C27" s="931"/>
      <c r="D27" s="255">
        <v>100</v>
      </c>
      <c r="E27" s="931"/>
      <c r="F27" s="576">
        <f>SUMIF(81:81,E27,82:82)-SUMIF(81:81,C27,82:82)+100</f>
        <v>100</v>
      </c>
      <c r="G27" s="931"/>
      <c r="H27" s="541">
        <f>SUMIF(81:81,G27,82:82)-SUMIF(81:81,C27,82:82)+100</f>
        <v>100</v>
      </c>
      <c r="I27" s="931"/>
      <c r="J27" s="541">
        <f>SUMIF(81:81,I27,82:82)-SUMIF(81:81,C27,82:82)+100</f>
        <v>100</v>
      </c>
      <c r="K27" s="582"/>
      <c r="L27" s="2139"/>
      <c r="M27" s="2170"/>
      <c r="N27" s="2170"/>
      <c r="O27" s="2142"/>
      <c r="P27" s="3438"/>
      <c r="Q27" s="1604" t="str">
        <f t="shared" si="11"/>
        <v>项目停车位配比</v>
      </c>
      <c r="R27" s="1576" t="s">
        <v>8</v>
      </c>
      <c r="S27" s="1577">
        <f t="shared" si="12"/>
        <v>100</v>
      </c>
      <c r="T27" s="1576" t="s">
        <v>8</v>
      </c>
      <c r="U27" s="1577">
        <f t="shared" si="13"/>
        <v>100</v>
      </c>
      <c r="V27" s="1576" t="s">
        <v>8</v>
      </c>
      <c r="W27" s="1577">
        <f t="shared" si="14"/>
        <v>100</v>
      </c>
      <c r="X27" s="1578"/>
      <c r="Y27" s="3438"/>
      <c r="Z27" s="1579" t="str">
        <f t="shared" si="15"/>
        <v>项目停车位配比</v>
      </c>
      <c r="AA27" s="1575">
        <f t="shared" si="3"/>
        <v>1</v>
      </c>
      <c r="AB27" s="1575">
        <f t="shared" si="4"/>
        <v>1</v>
      </c>
      <c r="AC27" s="1575">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38"/>
      <c r="Q28" s="1571" t="str">
        <f t="shared" si="11"/>
        <v>公共部分装修</v>
      </c>
      <c r="R28" s="1572" t="s">
        <v>8</v>
      </c>
      <c r="S28" s="1573">
        <f t="shared" si="12"/>
        <v>100</v>
      </c>
      <c r="T28" s="1572" t="s">
        <v>8</v>
      </c>
      <c r="U28" s="1573">
        <f t="shared" si="13"/>
        <v>100</v>
      </c>
      <c r="V28" s="1572" t="s">
        <v>8</v>
      </c>
      <c r="W28" s="1573">
        <f t="shared" si="14"/>
        <v>100</v>
      </c>
      <c r="X28" s="1566"/>
      <c r="Y28" s="3438"/>
      <c r="Z28" s="1574" t="str">
        <f t="shared" si="15"/>
        <v>公共部分装修</v>
      </c>
      <c r="AA28" s="1575">
        <f t="shared" si="3"/>
        <v>1</v>
      </c>
      <c r="AB28" s="1575">
        <f t="shared" si="4"/>
        <v>1</v>
      </c>
      <c r="AC28" s="1575">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1"/>
      <c r="M29" s="2133"/>
      <c r="N29" s="2133"/>
      <c r="O29" s="2140"/>
      <c r="P29" s="3438"/>
      <c r="Q29" s="1571" t="str">
        <f t="shared" si="11"/>
        <v>成新率</v>
      </c>
      <c r="R29" s="1572" t="s">
        <v>8</v>
      </c>
      <c r="S29" s="1573" t="e">
        <f t="shared" si="12"/>
        <v>#N/A</v>
      </c>
      <c r="T29" s="1572" t="s">
        <v>8</v>
      </c>
      <c r="U29" s="1573" t="e">
        <f t="shared" si="13"/>
        <v>#N/A</v>
      </c>
      <c r="V29" s="1572" t="s">
        <v>8</v>
      </c>
      <c r="W29" s="1573" t="e">
        <f t="shared" si="14"/>
        <v>#N/A</v>
      </c>
      <c r="X29" s="1566"/>
      <c r="Y29" s="3438"/>
      <c r="Z29" s="1574" t="str">
        <f t="shared" si="15"/>
        <v>成新率</v>
      </c>
      <c r="AA29" s="1575" t="e">
        <f t="shared" si="3"/>
        <v>#N/A</v>
      </c>
      <c r="AB29" s="1575" t="e">
        <f t="shared" si="4"/>
        <v>#N/A</v>
      </c>
      <c r="AC29" s="1575"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1"/>
      <c r="M30" s="2133"/>
      <c r="N30" s="2133"/>
      <c r="O30" s="2140"/>
      <c r="P30" s="3438"/>
      <c r="Q30" s="1571" t="str">
        <f t="shared" si="11"/>
        <v>物业等级</v>
      </c>
      <c r="R30" s="1572" t="s">
        <v>8</v>
      </c>
      <c r="S30" s="1573">
        <f t="shared" si="12"/>
        <v>100</v>
      </c>
      <c r="T30" s="1572" t="s">
        <v>8</v>
      </c>
      <c r="U30" s="1573">
        <f t="shared" si="13"/>
        <v>100</v>
      </c>
      <c r="V30" s="1572" t="s">
        <v>8</v>
      </c>
      <c r="W30" s="1573">
        <f t="shared" si="14"/>
        <v>100</v>
      </c>
      <c r="X30" s="1566"/>
      <c r="Y30" s="3438"/>
      <c r="Z30" s="1574" t="str">
        <f t="shared" si="15"/>
        <v>物业等级</v>
      </c>
      <c r="AA30" s="1575">
        <f t="shared" si="3"/>
        <v>1</v>
      </c>
      <c r="AB30" s="1575">
        <f t="shared" si="4"/>
        <v>1</v>
      </c>
      <c r="AC30" s="1575">
        <f t="shared" si="5"/>
        <v>1</v>
      </c>
    </row>
    <row r="31" spans="1:29" s="1219" customFormat="1" ht="15">
      <c r="A31" s="934"/>
      <c r="B31" s="583" t="s">
        <v>812</v>
      </c>
      <c r="C31" s="881"/>
      <c r="D31" s="255">
        <v>100</v>
      </c>
      <c r="E31" s="881"/>
      <c r="F31" s="576" t="e">
        <f>LOOKUP(E31,91:91,92:92)-LOOKUP(C31,91:91,92:92)+100</f>
        <v>#N/A</v>
      </c>
      <c r="G31" s="881"/>
      <c r="H31" s="541" t="e">
        <f>LOOKUP(G31,91:91,92:92)-LOOKUP(C31,91:91,92:92)+100</f>
        <v>#N/A</v>
      </c>
      <c r="I31" s="881"/>
      <c r="J31" s="541" t="e">
        <f>LOOKUP(I31,91:91,92:92)-LOOKUP(C31,91:91,92:92)+100</f>
        <v>#N/A</v>
      </c>
      <c r="K31" s="585"/>
      <c r="L31" s="2134"/>
      <c r="M31" s="2135"/>
      <c r="N31" s="2135"/>
      <c r="O31" s="2136"/>
      <c r="P31" s="3438"/>
      <c r="Q31" s="1150" t="str">
        <f t="shared" si="11"/>
        <v>停车位面积</v>
      </c>
      <c r="R31" s="1567" t="s">
        <v>8</v>
      </c>
      <c r="S31" s="1568" t="e">
        <f t="shared" si="12"/>
        <v>#N/A</v>
      </c>
      <c r="T31" s="1567" t="s">
        <v>8</v>
      </c>
      <c r="U31" s="1568" t="e">
        <f t="shared" si="13"/>
        <v>#N/A</v>
      </c>
      <c r="V31" s="1567" t="s">
        <v>8</v>
      </c>
      <c r="W31" s="1568" t="e">
        <f t="shared" si="14"/>
        <v>#N/A</v>
      </c>
      <c r="X31" s="1569"/>
      <c r="Y31" s="3438"/>
      <c r="Z31" s="1149" t="str">
        <f t="shared" si="15"/>
        <v>停车位面积</v>
      </c>
      <c r="AA31" s="1570" t="e">
        <f t="shared" si="3"/>
        <v>#N/A</v>
      </c>
      <c r="AB31" s="1570" t="e">
        <f t="shared" si="4"/>
        <v>#N/A</v>
      </c>
      <c r="AC31" s="1570"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38" t="s">
        <v>551</v>
      </c>
      <c r="Q32" s="1571" t="str">
        <f t="shared" si="11"/>
        <v>车位类型</v>
      </c>
      <c r="R32" s="1572" t="s">
        <v>8</v>
      </c>
      <c r="S32" s="1573">
        <f t="shared" si="12"/>
        <v>100</v>
      </c>
      <c r="T32" s="1572" t="s">
        <v>8</v>
      </c>
      <c r="U32" s="1573">
        <f t="shared" si="13"/>
        <v>100</v>
      </c>
      <c r="V32" s="1572" t="s">
        <v>8</v>
      </c>
      <c r="W32" s="1573">
        <f t="shared" si="14"/>
        <v>100</v>
      </c>
      <c r="X32" s="1566"/>
      <c r="Y32" s="3438" t="s">
        <v>551</v>
      </c>
      <c r="Z32" s="1574" t="str">
        <f t="shared" si="15"/>
        <v>车位类型</v>
      </c>
      <c r="AA32" s="1575">
        <f t="shared" si="3"/>
        <v>1</v>
      </c>
      <c r="AB32" s="1575">
        <f t="shared" si="4"/>
        <v>1</v>
      </c>
      <c r="AC32" s="1575">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38"/>
      <c r="Q33" s="1571" t="str">
        <f t="shared" si="11"/>
        <v>是否直接入户</v>
      </c>
      <c r="R33" s="1572" t="s">
        <v>8</v>
      </c>
      <c r="S33" s="1573">
        <f t="shared" si="12"/>
        <v>100</v>
      </c>
      <c r="T33" s="1572" t="s">
        <v>8</v>
      </c>
      <c r="U33" s="1573">
        <f t="shared" si="13"/>
        <v>100</v>
      </c>
      <c r="V33" s="1572" t="s">
        <v>8</v>
      </c>
      <c r="W33" s="1573">
        <f t="shared" si="14"/>
        <v>100</v>
      </c>
      <c r="X33" s="1566"/>
      <c r="Y33" s="3438"/>
      <c r="Z33" s="1574" t="str">
        <f t="shared" si="15"/>
        <v>是否直接入户</v>
      </c>
      <c r="AA33" s="1575">
        <f t="shared" si="3"/>
        <v>1</v>
      </c>
      <c r="AB33" s="1575">
        <f t="shared" si="4"/>
        <v>1</v>
      </c>
      <c r="AC33" s="1575">
        <f t="shared" si="5"/>
        <v>1</v>
      </c>
    </row>
    <row r="34" spans="1:29" ht="15">
      <c r="A34" s="932"/>
      <c r="B34" s="926">
        <v>111</v>
      </c>
      <c r="C34" s="531"/>
      <c r="D34" s="541">
        <v>100</v>
      </c>
      <c r="E34" s="531"/>
      <c r="F34" s="576">
        <f>SUMIF(97:97,E34,98:98)-SUMIF(97:97,C34,98:98)+100</f>
        <v>100</v>
      </c>
      <c r="G34" s="531"/>
      <c r="H34" s="541">
        <f>SUMIF(97:97,G34,98:98)-SUMIF(97:97,C34,98:98)+100</f>
        <v>100</v>
      </c>
      <c r="I34" s="531"/>
      <c r="J34" s="541">
        <f>SUMIF(97:97,I34,98:98)-SUMIF(97:97,C34,98:98)+100</f>
        <v>100</v>
      </c>
      <c r="K34" s="582"/>
      <c r="L34" s="2141"/>
      <c r="M34" s="2133"/>
      <c r="N34" s="2133"/>
      <c r="O34" s="2140"/>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s="1338" customFormat="1" ht="15">
      <c r="A35" s="930"/>
      <c r="B35" s="926">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39"/>
      <c r="M35" s="2170"/>
      <c r="N35" s="2170"/>
      <c r="O35" s="2142"/>
      <c r="P35" s="3438"/>
      <c r="Q35" s="1604">
        <f t="shared" si="11"/>
        <v>111</v>
      </c>
      <c r="R35" s="1576" t="s">
        <v>8</v>
      </c>
      <c r="S35" s="1577">
        <f t="shared" si="12"/>
        <v>100</v>
      </c>
      <c r="T35" s="1576" t="s">
        <v>8</v>
      </c>
      <c r="U35" s="1577">
        <f t="shared" si="13"/>
        <v>100</v>
      </c>
      <c r="V35" s="1576" t="s">
        <v>8</v>
      </c>
      <c r="W35" s="1577">
        <f t="shared" si="14"/>
        <v>100</v>
      </c>
      <c r="X35" s="1578"/>
      <c r="Y35" s="3438"/>
      <c r="Z35" s="1579">
        <f t="shared" si="15"/>
        <v>111</v>
      </c>
      <c r="AA35" s="1575">
        <f t="shared" si="3"/>
        <v>1</v>
      </c>
      <c r="AB35" s="1575">
        <f t="shared" si="4"/>
        <v>1</v>
      </c>
      <c r="AC35" s="1575">
        <f t="shared" si="5"/>
        <v>1</v>
      </c>
    </row>
    <row r="36" spans="1:29" ht="15.75" thickBot="1">
      <c r="A36" s="935"/>
      <c r="B36" s="915">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1"/>
      <c r="M36" s="2133"/>
      <c r="N36" s="2133"/>
      <c r="O36" s="2140"/>
      <c r="P36" s="3438"/>
      <c r="Q36" s="1571">
        <f t="shared" si="11"/>
        <v>111</v>
      </c>
      <c r="R36" s="1572" t="s">
        <v>8</v>
      </c>
      <c r="S36" s="1573">
        <f t="shared" si="12"/>
        <v>100</v>
      </c>
      <c r="T36" s="1572" t="s">
        <v>8</v>
      </c>
      <c r="U36" s="1573">
        <f t="shared" si="13"/>
        <v>100</v>
      </c>
      <c r="V36" s="1572" t="s">
        <v>8</v>
      </c>
      <c r="W36" s="1573">
        <f t="shared" si="14"/>
        <v>100</v>
      </c>
      <c r="X36" s="1566"/>
      <c r="Y36" s="3438"/>
      <c r="Z36" s="1574">
        <f t="shared" si="15"/>
        <v>111</v>
      </c>
      <c r="AA36" s="1575">
        <f t="shared" si="3"/>
        <v>1</v>
      </c>
      <c r="AB36" s="1575">
        <f t="shared" si="4"/>
        <v>1</v>
      </c>
      <c r="AC36" s="1575">
        <f t="shared" si="5"/>
        <v>1</v>
      </c>
    </row>
    <row r="37" spans="1:29" ht="15">
      <c r="A37" s="1846" t="s">
        <v>2078</v>
      </c>
      <c r="B37" s="1847" t="s">
        <v>2079</v>
      </c>
      <c r="C37" s="2648" t="s">
        <v>1</v>
      </c>
      <c r="D37" s="2649"/>
      <c r="E37" s="2650"/>
      <c r="F37" s="2651"/>
      <c r="G37" s="2652"/>
      <c r="H37" s="2653"/>
      <c r="I37" s="2650"/>
      <c r="J37" s="2653"/>
      <c r="K37" s="1610"/>
      <c r="L37" s="2143"/>
      <c r="M37" s="2144"/>
      <c r="N37" s="2133"/>
      <c r="O37" s="2144"/>
      <c r="P37" s="3433" t="str">
        <f>A37</f>
        <v>成交单价</v>
      </c>
      <c r="Q37" s="3433"/>
      <c r="R37" s="3512">
        <f>E37</f>
        <v>0</v>
      </c>
      <c r="S37" s="3512"/>
      <c r="T37" s="3512">
        <f>G37</f>
        <v>0</v>
      </c>
      <c r="U37" s="3512"/>
      <c r="V37" s="3512">
        <f>I37</f>
        <v>0</v>
      </c>
      <c r="W37" s="3512"/>
      <c r="X37" s="1558"/>
      <c r="Y37" s="1580"/>
      <c r="Z37" s="1558"/>
      <c r="AA37" s="1558"/>
      <c r="AB37" s="1558"/>
      <c r="AC37" s="1558"/>
    </row>
    <row r="38" spans="1:29" ht="15.75" thickBot="1">
      <c r="A38" s="616" t="s">
        <v>2766</v>
      </c>
      <c r="B38" s="889"/>
      <c r="C38" s="2654" t="e">
        <f>R39</f>
        <v>#DIV/0!</v>
      </c>
      <c r="D38" s="2655"/>
      <c r="E38" s="2656" t="e">
        <f>R38</f>
        <v>#DIV/0!</v>
      </c>
      <c r="F38" s="2656"/>
      <c r="G38" s="2654" t="e">
        <f>T38</f>
        <v>#DIV/0!</v>
      </c>
      <c r="H38" s="2655"/>
      <c r="I38" s="2656" t="e">
        <f>V38</f>
        <v>#DIV/0!</v>
      </c>
      <c r="J38" s="2655"/>
      <c r="K38" s="1611"/>
      <c r="L38" s="2143"/>
      <c r="M38" s="2144"/>
      <c r="N38" s="2144"/>
      <c r="O38" s="2144"/>
      <c r="P38" s="3433" t="str">
        <f>A38</f>
        <v>比较价格（元/平方米）</v>
      </c>
      <c r="Q38" s="3433"/>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8"/>
      <c r="Y38" s="1558"/>
      <c r="Z38" s="1558"/>
      <c r="AA38" s="1558"/>
      <c r="AB38" s="1558"/>
      <c r="AC38" s="1558"/>
    </row>
    <row r="39" spans="1:29" ht="15.75" thickBot="1">
      <c r="A39" s="622" t="s">
        <v>2925</v>
      </c>
      <c r="B39" s="623"/>
      <c r="C39" s="2657" t="e">
        <f>R39</f>
        <v>#DIV/0!</v>
      </c>
      <c r="D39" s="2657"/>
      <c r="E39" s="2657"/>
      <c r="F39" s="2657"/>
      <c r="G39" s="2657"/>
      <c r="H39" s="2657"/>
      <c r="I39" s="2657"/>
      <c r="J39" s="2657"/>
      <c r="K39" s="1612"/>
      <c r="L39" s="2143"/>
      <c r="M39" s="2144"/>
      <c r="N39" s="2144"/>
      <c r="O39" s="2144"/>
      <c r="P39" s="3454" t="str">
        <f>A39</f>
        <v>估价对象XX用房的比较价格（楼面单价，元/平方米）</v>
      </c>
      <c r="Q39" s="3455"/>
      <c r="R39" s="3511" t="e">
        <f>IF(F1="售价",ROUND(AVERAGE(R38:V38),0),ROUND(AVERAGE(R38:V38),1))</f>
        <v>#DIV/0!</v>
      </c>
      <c r="S39" s="3511"/>
      <c r="T39" s="3511"/>
      <c r="U39" s="3511"/>
      <c r="V39" s="3511"/>
      <c r="W39" s="351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6" t="s">
        <v>530</v>
      </c>
      <c r="B48" s="647"/>
      <c r="C48" s="2825" t="str">
        <f>YEAR(C7)&amp;"-"&amp;MONTH(C7)</f>
        <v>2017-10</v>
      </c>
      <c r="D48" s="2827">
        <f>EDATE(C48,-1)</f>
        <v>42979</v>
      </c>
      <c r="E48" s="2827">
        <f t="shared" ref="E48:O48" si="16">EDATE(D48,-1)</f>
        <v>42948</v>
      </c>
      <c r="F48" s="2827">
        <f t="shared" si="16"/>
        <v>42917</v>
      </c>
      <c r="G48" s="2827">
        <f t="shared" si="16"/>
        <v>42887</v>
      </c>
      <c r="H48" s="2827">
        <f t="shared" si="16"/>
        <v>42856</v>
      </c>
      <c r="I48" s="2827">
        <f t="shared" si="16"/>
        <v>42826</v>
      </c>
      <c r="J48" s="2827">
        <f t="shared" si="16"/>
        <v>42795</v>
      </c>
      <c r="K48" s="2827">
        <f t="shared" si="16"/>
        <v>42767</v>
      </c>
      <c r="L48" s="2827">
        <f t="shared" si="16"/>
        <v>42736</v>
      </c>
      <c r="M48" s="2827">
        <f t="shared" si="16"/>
        <v>42705</v>
      </c>
      <c r="N48" s="2827">
        <f t="shared" si="16"/>
        <v>42675</v>
      </c>
      <c r="O48" s="2827">
        <f t="shared" si="16"/>
        <v>42644</v>
      </c>
      <c r="P48" s="2159"/>
      <c r="Q48" s="2160"/>
      <c r="R48" s="2160"/>
      <c r="S48" s="2160"/>
      <c r="T48" s="2160"/>
      <c r="U48" s="2160"/>
      <c r="V48" s="2160"/>
      <c r="W48" s="2160"/>
      <c r="X48" s="2160"/>
      <c r="Y48" s="2160"/>
      <c r="Z48" s="2160"/>
      <c r="AA48" s="2160"/>
      <c r="AB48" s="2160"/>
      <c r="AC48" s="2160"/>
    </row>
    <row r="49" spans="1:29" s="1219" customFormat="1" ht="15">
      <c r="A49" s="648"/>
      <c r="B49" s="649"/>
      <c r="C49" s="2826">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19"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19"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19"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6">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6" t="s">
        <v>2561</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18" t="s">
        <v>2562</v>
      </c>
      <c r="C67" s="2619" t="s">
        <v>2563</v>
      </c>
      <c r="D67" s="2619" t="s">
        <v>2564</v>
      </c>
      <c r="E67" s="2619" t="s">
        <v>2565</v>
      </c>
      <c r="F67" s="2619" t="s">
        <v>2566</v>
      </c>
      <c r="G67" s="2619" t="s">
        <v>2567</v>
      </c>
      <c r="H67" s="675"/>
      <c r="I67" s="675"/>
      <c r="J67" s="675"/>
      <c r="K67" s="675"/>
      <c r="L67" s="675"/>
      <c r="M67" s="2622"/>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19" customFormat="1" ht="15.75" thickTop="1">
      <c r="A73" s="710"/>
      <c r="B73" s="674">
        <f>B23</f>
        <v>111</v>
      </c>
      <c r="C73" s="542"/>
      <c r="D73" s="542"/>
      <c r="E73" s="542"/>
      <c r="F73" s="542"/>
      <c r="G73" s="689"/>
      <c r="H73" s="689"/>
      <c r="I73" s="689"/>
      <c r="J73" s="689"/>
      <c r="K73" s="689"/>
      <c r="L73" s="891"/>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19" customFormat="1" ht="15.75" thickTop="1">
      <c r="A75" s="710"/>
      <c r="B75" s="674">
        <f>B24</f>
        <v>111</v>
      </c>
      <c r="C75" s="542"/>
      <c r="D75" s="542"/>
      <c r="E75" s="542"/>
      <c r="F75" s="542"/>
      <c r="G75" s="689"/>
      <c r="H75" s="689"/>
      <c r="I75" s="689"/>
      <c r="J75" s="689"/>
      <c r="K75" s="689"/>
      <c r="L75" s="689"/>
      <c r="M75" s="892"/>
      <c r="N75" s="2161"/>
      <c r="O75" s="2161"/>
      <c r="P75" s="2164"/>
      <c r="Q75" s="2157"/>
      <c r="R75" s="1992"/>
      <c r="S75" s="1992"/>
      <c r="T75" s="1992"/>
      <c r="U75" s="1992"/>
      <c r="V75" s="1992"/>
      <c r="W75" s="1992"/>
      <c r="X75" s="1992"/>
      <c r="Y75" s="1992"/>
      <c r="Z75" s="1992"/>
      <c r="AA75" s="1992"/>
      <c r="AB75" s="1992"/>
      <c r="AC75" s="1992"/>
    </row>
    <row r="76" spans="1:29" s="1219"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7"/>
      <c r="D81" s="937"/>
      <c r="E81" s="937"/>
      <c r="F81" s="937"/>
      <c r="G81" s="937"/>
      <c r="H81" s="937"/>
      <c r="I81" s="937"/>
      <c r="J81" s="937"/>
      <c r="K81" s="938"/>
      <c r="L81" s="939"/>
      <c r="M81" s="940"/>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5">
        <v>0.5</v>
      </c>
      <c r="D86" s="895">
        <v>0.6</v>
      </c>
      <c r="E86" s="895">
        <v>0.7</v>
      </c>
      <c r="F86" s="895">
        <v>0.8</v>
      </c>
      <c r="G86" s="895">
        <v>0.9</v>
      </c>
      <c r="H86" s="895">
        <v>1.0001</v>
      </c>
      <c r="I86" s="906"/>
      <c r="J86" s="906"/>
      <c r="K86" s="907"/>
      <c r="L86" s="908"/>
      <c r="M86" s="909"/>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8">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8"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93.75">
      <c r="A7" s="2896" t="s">
        <v>2754</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8" t="s">
        <v>2755</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C37</f>
        <v>#DIV/0!</v>
      </c>
      <c r="C3" s="853" t="s">
        <v>797</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39" t="s">
        <v>799</v>
      </c>
      <c r="D4" s="3440"/>
      <c r="E4" s="3463" t="s">
        <v>800</v>
      </c>
      <c r="F4" s="3464"/>
      <c r="G4" s="3439" t="s">
        <v>801</v>
      </c>
      <c r="H4" s="3440"/>
      <c r="I4" s="3439" t="s">
        <v>802</v>
      </c>
      <c r="J4" s="3440"/>
      <c r="K4" s="517" t="s">
        <v>803</v>
      </c>
      <c r="L4" s="2132"/>
      <c r="M4" s="2133"/>
      <c r="N4" s="2133"/>
      <c r="O4" s="2133"/>
      <c r="P4" s="3441" t="s">
        <v>804</v>
      </c>
      <c r="Q4" s="3442"/>
      <c r="R4" s="3427" t="s">
        <v>800</v>
      </c>
      <c r="S4" s="3428"/>
      <c r="T4" s="3427" t="s">
        <v>801</v>
      </c>
      <c r="U4" s="3428"/>
      <c r="V4" s="3447" t="s">
        <v>802</v>
      </c>
      <c r="W4" s="3447"/>
      <c r="X4" s="1566"/>
      <c r="Y4" s="3427" t="s">
        <v>804</v>
      </c>
      <c r="Z4" s="3428"/>
      <c r="AA4" s="3422" t="s">
        <v>800</v>
      </c>
      <c r="AB4" s="3423" t="s">
        <v>801</v>
      </c>
      <c r="AC4" s="3422" t="s">
        <v>802</v>
      </c>
    </row>
    <row r="5" spans="1:29" ht="15">
      <c r="A5" s="518"/>
      <c r="B5" s="519"/>
      <c r="C5" s="3467" t="s">
        <v>2919</v>
      </c>
      <c r="D5" s="3451"/>
      <c r="E5" s="3465" t="s">
        <v>2920</v>
      </c>
      <c r="F5" s="3466"/>
      <c r="G5" s="3467" t="s">
        <v>2921</v>
      </c>
      <c r="H5" s="3451"/>
      <c r="I5" s="3467" t="s">
        <v>2922</v>
      </c>
      <c r="J5" s="3451"/>
      <c r="K5" s="517"/>
      <c r="L5" s="2132"/>
      <c r="M5" s="2133"/>
      <c r="N5" s="2133"/>
      <c r="O5" s="2133"/>
      <c r="P5" s="3443"/>
      <c r="Q5" s="3444"/>
      <c r="R5" s="3429"/>
      <c r="S5" s="3430"/>
      <c r="T5" s="3429"/>
      <c r="U5" s="3430"/>
      <c r="V5" s="3447"/>
      <c r="W5" s="3447"/>
      <c r="X5" s="1566"/>
      <c r="Y5" s="3429"/>
      <c r="Z5" s="3430"/>
      <c r="AA5" s="3423"/>
      <c r="AB5" s="3423"/>
      <c r="AC5" s="3423"/>
    </row>
    <row r="6" spans="1:29" ht="15.75" thickBot="1">
      <c r="A6" s="520"/>
      <c r="B6" s="521"/>
      <c r="C6" s="3448" t="s">
        <v>2923</v>
      </c>
      <c r="D6" s="3449"/>
      <c r="E6" s="3468" t="s">
        <v>2923</v>
      </c>
      <c r="F6" s="3469"/>
      <c r="G6" s="3448" t="s">
        <v>2923</v>
      </c>
      <c r="H6" s="3449"/>
      <c r="I6" s="3448" t="s">
        <v>2923</v>
      </c>
      <c r="J6" s="3449"/>
      <c r="K6" s="517" t="s">
        <v>529</v>
      </c>
      <c r="L6" s="2132"/>
      <c r="M6" s="2133"/>
      <c r="N6" s="2133"/>
      <c r="O6" s="2133"/>
      <c r="P6" s="3445"/>
      <c r="Q6" s="3446"/>
      <c r="R6" s="3429"/>
      <c r="S6" s="3430"/>
      <c r="T6" s="3431"/>
      <c r="U6" s="3432"/>
      <c r="V6" s="3447"/>
      <c r="W6" s="3447"/>
      <c r="X6" s="1566"/>
      <c r="Y6" s="3431"/>
      <c r="Z6" s="3432"/>
      <c r="AA6" s="3424"/>
      <c r="AB6" s="3424"/>
      <c r="AC6" s="3424"/>
    </row>
    <row r="7" spans="1:29" s="1219" customFormat="1" ht="15.75" thickBot="1">
      <c r="A7" s="2934"/>
      <c r="B7" s="2941" t="s">
        <v>530</v>
      </c>
      <c r="C7" s="522">
        <f>'数据-取费表'!B2</f>
        <v>43031</v>
      </c>
      <c r="D7" s="523">
        <v>100</v>
      </c>
      <c r="E7" s="524"/>
      <c r="F7" s="525">
        <f>SUMIF(46:46,YEAR(E7)&amp;"-"&amp;MONTH(E7),47:47)</f>
        <v>0</v>
      </c>
      <c r="G7" s="526"/>
      <c r="H7" s="523">
        <f>SUMIF(46:46,YEAR(G7)&amp;"-"&amp;MONTH(G7),47:47)</f>
        <v>0</v>
      </c>
      <c r="I7" s="526"/>
      <c r="J7" s="523">
        <f>SUMIF(46:46,YEAR(I7)&amp;"-"&amp;MONTH(I7),47:47)</f>
        <v>0</v>
      </c>
      <c r="K7" s="527"/>
      <c r="L7" s="2134"/>
      <c r="M7" s="2135"/>
      <c r="N7" s="2135"/>
      <c r="O7" s="2135"/>
      <c r="P7" s="3425" t="s">
        <v>531</v>
      </c>
      <c r="Q7" s="3434"/>
      <c r="R7" s="1567" t="s">
        <v>8</v>
      </c>
      <c r="S7" s="1568">
        <f t="shared" ref="S7:S14" si="0">F7</f>
        <v>0</v>
      </c>
      <c r="T7" s="1567" t="s">
        <v>8</v>
      </c>
      <c r="U7" s="1568">
        <f t="shared" ref="U7:U14" si="1">H7</f>
        <v>0</v>
      </c>
      <c r="V7" s="1567" t="s">
        <v>8</v>
      </c>
      <c r="W7" s="1568">
        <f t="shared" ref="W7:W14" si="2">J7</f>
        <v>0</v>
      </c>
      <c r="X7" s="1569"/>
      <c r="Y7" s="3425" t="s">
        <v>531</v>
      </c>
      <c r="Z7" s="3426"/>
      <c r="AA7" s="1570" t="e">
        <f>D7/F7</f>
        <v>#DIV/0!</v>
      </c>
      <c r="AB7" s="1570" t="e">
        <f>D7/H7</f>
        <v>#DIV/0!</v>
      </c>
      <c r="AC7" s="1570" t="e">
        <f>D7/J7</f>
        <v>#DIV/0!</v>
      </c>
    </row>
    <row r="8" spans="1:29" s="1219" customFormat="1" ht="15.75" thickBot="1">
      <c r="A8" s="2935"/>
      <c r="B8" s="2942" t="s">
        <v>532</v>
      </c>
      <c r="C8" s="528" t="s">
        <v>577</v>
      </c>
      <c r="D8" s="523">
        <v>100</v>
      </c>
      <c r="E8" s="528"/>
      <c r="F8" s="525">
        <f>SUMIF(49:49,E8,50:50)-SUMIF(49:49,C8,50:50)+100</f>
        <v>0</v>
      </c>
      <c r="G8" s="528"/>
      <c r="H8" s="523">
        <f>SUMIF(49:49,G8,50:50)-SUMIF(49:49,C8,50:50)+100</f>
        <v>0</v>
      </c>
      <c r="I8" s="528"/>
      <c r="J8" s="523">
        <f>SUMIF(49:49,I8,50:50)-SUMIF(49:49,C8,50:50)+100</f>
        <v>0</v>
      </c>
      <c r="K8" s="527"/>
      <c r="L8" s="2134"/>
      <c r="M8" s="2135"/>
      <c r="N8" s="2135"/>
      <c r="O8" s="2135"/>
      <c r="P8" s="3425" t="s">
        <v>534</v>
      </c>
      <c r="Q8" s="3426"/>
      <c r="R8" s="1567" t="s">
        <v>8</v>
      </c>
      <c r="S8" s="1568">
        <f t="shared" si="0"/>
        <v>0</v>
      </c>
      <c r="T8" s="1567" t="s">
        <v>8</v>
      </c>
      <c r="U8" s="1568">
        <f t="shared" si="1"/>
        <v>0</v>
      </c>
      <c r="V8" s="1567" t="s">
        <v>8</v>
      </c>
      <c r="W8" s="1568">
        <f t="shared" si="2"/>
        <v>0</v>
      </c>
      <c r="X8" s="1569"/>
      <c r="Y8" s="3425" t="s">
        <v>534</v>
      </c>
      <c r="Z8" s="3426"/>
      <c r="AA8" s="1570" t="e">
        <f t="shared" ref="AA8:AA34" si="3">D8/F8</f>
        <v>#DIV/0!</v>
      </c>
      <c r="AB8" s="1570" t="e">
        <f t="shared" ref="AB8:AB34" si="4">D8/H8</f>
        <v>#DIV/0!</v>
      </c>
      <c r="AC8" s="1570" t="e">
        <f t="shared" ref="AC8:AC34" si="5">D8/J8</f>
        <v>#DIV/0!</v>
      </c>
    </row>
    <row r="9" spans="1:29" s="1219" customFormat="1" ht="15">
      <c r="A9" s="2936"/>
      <c r="B9" s="2943" t="s">
        <v>2762</v>
      </c>
      <c r="C9" s="858"/>
      <c r="D9" s="254">
        <v>100</v>
      </c>
      <c r="E9" s="861"/>
      <c r="F9" s="254">
        <f>SUMIF(51:51,E9,52:52)-SUMIF(51:51,C9,52:52)+100</f>
        <v>100</v>
      </c>
      <c r="G9" s="861"/>
      <c r="H9" s="254">
        <f>SUMIF(51:51,G9,52:52)-SUMIF(51:51,C9,52:52)+100</f>
        <v>100</v>
      </c>
      <c r="I9" s="861"/>
      <c r="J9" s="254">
        <f>SUMIF(51:51,I9,52:52)-SUMIF(51:51,C9,52:52)+100</f>
        <v>100</v>
      </c>
      <c r="K9" s="527"/>
      <c r="L9" s="2134"/>
      <c r="M9" s="2135"/>
      <c r="N9" s="2135"/>
      <c r="O9" s="2136"/>
      <c r="P9" s="3433" t="s">
        <v>536</v>
      </c>
      <c r="Q9" s="1150" t="str">
        <f t="shared" ref="Q9:Q14" si="6">B9</f>
        <v>用途</v>
      </c>
      <c r="R9" s="1567" t="s">
        <v>8</v>
      </c>
      <c r="S9" s="1568">
        <f t="shared" si="0"/>
        <v>100</v>
      </c>
      <c r="T9" s="1567" t="s">
        <v>8</v>
      </c>
      <c r="U9" s="1568">
        <f t="shared" si="1"/>
        <v>100</v>
      </c>
      <c r="V9" s="1567" t="s">
        <v>8</v>
      </c>
      <c r="W9" s="1568">
        <f t="shared" si="2"/>
        <v>100</v>
      </c>
      <c r="X9" s="1569"/>
      <c r="Y9" s="3388"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SUMIF(53:53,E10,54:54)-SUMIF(53:53,C10,54:54)+100</f>
        <v>100</v>
      </c>
      <c r="G10" s="863"/>
      <c r="H10" s="255">
        <f>SUMIF(53:53,G10,54:54)-SUMIF(53:53,C10,54:54)+100</f>
        <v>100</v>
      </c>
      <c r="I10" s="862"/>
      <c r="J10" s="255">
        <f>SUMIF(53:53,I10,54:54)-SUMIF(53:53,C10,54:54)+100</f>
        <v>100</v>
      </c>
      <c r="K10" s="585"/>
      <c r="L10" s="2137"/>
      <c r="M10" s="2177"/>
      <c r="N10" s="2177"/>
      <c r="O10" s="2138"/>
      <c r="P10" s="3433"/>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939"/>
      <c r="B11" s="2945">
        <v>111</v>
      </c>
      <c r="C11" s="531"/>
      <c r="D11" s="255">
        <v>100</v>
      </c>
      <c r="E11" s="881"/>
      <c r="F11" s="255">
        <f>SUMIF(55:55,E11,56:56)-SUMIF(55:55,C11,56:56)+100</f>
        <v>100</v>
      </c>
      <c r="G11" s="881"/>
      <c r="H11" s="255">
        <f>SUMIF(55:55,G11,56:56)-SUMIF(55:55,C11,56:56)+100</f>
        <v>100</v>
      </c>
      <c r="I11" s="881"/>
      <c r="J11" s="255">
        <f>SUMIF(55:55,I11,56:56)-SUMIF(55:55,C11,56:56)+100</f>
        <v>100</v>
      </c>
      <c r="K11" s="582"/>
      <c r="L11" s="2139"/>
      <c r="M11" s="2133"/>
      <c r="N11" s="2133"/>
      <c r="O11" s="2140"/>
      <c r="P11" s="3433"/>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939"/>
      <c r="B12" s="2945">
        <v>111</v>
      </c>
      <c r="C12" s="531"/>
      <c r="D12" s="539">
        <v>100</v>
      </c>
      <c r="E12" s="881"/>
      <c r="F12" s="255">
        <f>SUMIF(57:57,E12,58:58)-SUMIF(57:57,C12,58:58)+100</f>
        <v>100</v>
      </c>
      <c r="G12" s="881"/>
      <c r="H12" s="255">
        <f>SUMIF(57:57,G12,58:58)-SUMIF(57:57,C12,58:58)+100</f>
        <v>100</v>
      </c>
      <c r="I12" s="881"/>
      <c r="J12" s="255">
        <f>SUMIF(57:57,I12,58:58)-SUMIF(57:57,C12,58:58)+100</f>
        <v>100</v>
      </c>
      <c r="K12" s="582"/>
      <c r="L12" s="2134"/>
      <c r="M12" s="2135"/>
      <c r="N12" s="2135"/>
      <c r="O12" s="2136"/>
      <c r="P12" s="3433"/>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940"/>
      <c r="B13" s="2946">
        <v>111</v>
      </c>
      <c r="C13" s="540"/>
      <c r="D13" s="541">
        <v>100</v>
      </c>
      <c r="E13" s="881"/>
      <c r="F13" s="255">
        <f>SUMIF(59:59,E13,60:60)-SUMIF(59:59,C13,60:60)+100</f>
        <v>100</v>
      </c>
      <c r="G13" s="881"/>
      <c r="H13" s="541">
        <f>SUMIF(59:59,G13,60:60)-SUMIF(59:59,C13,60:60)+100</f>
        <v>100</v>
      </c>
      <c r="I13" s="881"/>
      <c r="J13" s="541">
        <f>SUMIF(59:59,I13,60:60)-SUMIF(59:59,C13,60:60)+100</f>
        <v>100</v>
      </c>
      <c r="K13" s="582"/>
      <c r="L13" s="2141"/>
      <c r="M13" s="2133"/>
      <c r="N13" s="2133"/>
      <c r="O13" s="2140"/>
      <c r="P13" s="3433"/>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932" t="s">
        <v>2760</v>
      </c>
      <c r="B14" s="166" t="s">
        <v>544</v>
      </c>
      <c r="C14" s="922" t="str">
        <f>IF(B1="工业",估价对象房地状况!G4,估价对象房地状况!C6)</f>
        <v>咨询对象本身所属项目较大，本地块周边道路尚未建设完善，综合评价交通便捷度较差。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1"/>
      <c r="M14" s="2133"/>
      <c r="N14" s="2133"/>
      <c r="O14" s="2140"/>
      <c r="P14" s="3435" t="s">
        <v>541</v>
      </c>
      <c r="Q14" s="1571" t="str">
        <f t="shared" si="6"/>
        <v>交通便捷度</v>
      </c>
      <c r="R14" s="1572" t="s">
        <v>8</v>
      </c>
      <c r="S14" s="1573">
        <f t="shared" si="0"/>
        <v>100</v>
      </c>
      <c r="T14" s="1572" t="s">
        <v>8</v>
      </c>
      <c r="U14" s="1573">
        <f t="shared" si="1"/>
        <v>100</v>
      </c>
      <c r="V14" s="1572" t="s">
        <v>8</v>
      </c>
      <c r="W14" s="1573">
        <f t="shared" si="2"/>
        <v>100</v>
      </c>
      <c r="X14" s="1566"/>
      <c r="Y14" s="3435" t="s">
        <v>541</v>
      </c>
      <c r="Z14" s="1574" t="str">
        <f t="shared" si="7"/>
        <v>交通便捷度</v>
      </c>
      <c r="AA14" s="1575">
        <f t="shared" si="3"/>
        <v>1</v>
      </c>
      <c r="AB14" s="1575">
        <f t="shared" si="4"/>
        <v>1</v>
      </c>
      <c r="AC14" s="1575">
        <f t="shared" si="5"/>
        <v>1</v>
      </c>
    </row>
    <row r="15" spans="1:29" ht="15">
      <c r="A15" s="533"/>
      <c r="B15" s="870"/>
      <c r="C15" s="577"/>
      <c r="D15" s="556"/>
      <c r="E15" s="577"/>
      <c r="F15" s="558"/>
      <c r="G15" s="577"/>
      <c r="H15" s="560"/>
      <c r="I15" s="577"/>
      <c r="J15" s="556"/>
      <c r="K15" s="900"/>
      <c r="L15" s="2141"/>
      <c r="M15" s="2133"/>
      <c r="N15" s="2133"/>
      <c r="O15" s="2140"/>
      <c r="P15" s="3436"/>
      <c r="Q15" s="1571"/>
      <c r="R15" s="1572"/>
      <c r="S15" s="1573"/>
      <c r="T15" s="1572"/>
      <c r="U15" s="1573"/>
      <c r="V15" s="1572"/>
      <c r="W15" s="1573"/>
      <c r="X15" s="1566"/>
      <c r="Y15" s="3436"/>
      <c r="Z15" s="1574"/>
      <c r="AA15" s="1575">
        <v>1</v>
      </c>
      <c r="AB15" s="1575">
        <v>1</v>
      </c>
      <c r="AC15" s="1575">
        <v>1</v>
      </c>
    </row>
    <row r="16" spans="1:29" ht="85.5">
      <c r="A16" s="533"/>
      <c r="B16" s="2624" t="s">
        <v>2550</v>
      </c>
      <c r="C16" s="873" t="str">
        <f>IF(B1="工业",估价对象房地状况!G5,估价对象房地状况!C7)</f>
        <v>咨询对象本身所属项目较大，公共配套设施尚未建设，综合评价公共配套设施较差。</v>
      </c>
      <c r="D16" s="566">
        <v>100</v>
      </c>
      <c r="E16" s="571"/>
      <c r="F16" s="572">
        <f>SUMIF(63:63,E17,64:64)-SUMIF(63:63,C17,64:64)+100</f>
        <v>100</v>
      </c>
      <c r="G16" s="573"/>
      <c r="H16" s="566">
        <f>SUMIF(63:63,G17,64:64)-SUMIF(63:63,C17,64:64)+100</f>
        <v>100</v>
      </c>
      <c r="I16" s="571"/>
      <c r="J16" s="566">
        <f>SUMIF(63:63,I17,64:64)-SUMIF(63:63,C17,64:64)+100</f>
        <v>100</v>
      </c>
      <c r="K16" s="899"/>
      <c r="L16" s="2141"/>
      <c r="M16" s="2133"/>
      <c r="N16" s="2133"/>
      <c r="O16" s="2140"/>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33"/>
      <c r="B17" s="567"/>
      <c r="C17" s="874"/>
      <c r="D17" s="556"/>
      <c r="E17" s="577"/>
      <c r="F17" s="558"/>
      <c r="G17" s="577"/>
      <c r="H17" s="556"/>
      <c r="I17" s="577"/>
      <c r="J17" s="556"/>
      <c r="K17" s="900"/>
      <c r="L17" s="2141"/>
      <c r="M17" s="2133"/>
      <c r="N17" s="2133"/>
      <c r="O17" s="2140"/>
      <c r="P17" s="3436"/>
      <c r="Q17" s="1571"/>
      <c r="R17" s="1572"/>
      <c r="S17" s="1573"/>
      <c r="T17" s="1572"/>
      <c r="U17" s="1573"/>
      <c r="V17" s="1572"/>
      <c r="W17" s="1573"/>
      <c r="X17" s="1566"/>
      <c r="Y17" s="3436"/>
      <c r="Z17" s="1574"/>
      <c r="AA17" s="1575">
        <v>1</v>
      </c>
      <c r="AB17" s="1575">
        <v>1</v>
      </c>
      <c r="AC17" s="1575">
        <v>1</v>
      </c>
    </row>
    <row r="18" spans="1:29" ht="15">
      <c r="A18" s="533"/>
      <c r="B18" s="2612" t="s">
        <v>2562</v>
      </c>
      <c r="C18" s="873" t="str">
        <f>IF(B1="工业",估价对象房地状况!G6,估价对象房地状况!C8)</f>
        <v xml:space="preserve"> </v>
      </c>
      <c r="D18" s="560">
        <v>100</v>
      </c>
      <c r="E18" s="563"/>
      <c r="F18" s="564">
        <f>SUMIF(65:65,E19,66:66)-SUMIF(65:65,C19,66:66)+100</f>
        <v>100</v>
      </c>
      <c r="G18" s="565"/>
      <c r="H18" s="566">
        <f>SUMIF(65:65,G19,66:66)-SUMIF(65:65,C19,66:66)+100</f>
        <v>100</v>
      </c>
      <c r="I18" s="571"/>
      <c r="J18" s="566">
        <f>SUMIF(65:65,I19,66:66)-SUMIF(65:65,C19,66:66)+100</f>
        <v>100</v>
      </c>
      <c r="K18" s="899"/>
      <c r="L18" s="2141"/>
      <c r="M18" s="2133"/>
      <c r="N18" s="2133"/>
      <c r="O18" s="2140"/>
      <c r="P18" s="3436"/>
      <c r="Q18" s="2600" t="str">
        <f>B18</f>
        <v>基础设施水平</v>
      </c>
      <c r="R18" s="1572" t="s">
        <v>8</v>
      </c>
      <c r="S18" s="1573">
        <f>F18</f>
        <v>100</v>
      </c>
      <c r="T18" s="1572" t="s">
        <v>8</v>
      </c>
      <c r="U18" s="1573">
        <f>H18</f>
        <v>100</v>
      </c>
      <c r="V18" s="1572" t="s">
        <v>8</v>
      </c>
      <c r="W18" s="1573">
        <f>J18</f>
        <v>100</v>
      </c>
      <c r="X18" s="2602"/>
      <c r="Y18" s="3436"/>
      <c r="Z18" s="2601" t="str">
        <f>Q18</f>
        <v>基础设施水平</v>
      </c>
      <c r="AA18" s="1575">
        <f t="shared" ref="AA18" si="8">D18/F18</f>
        <v>1</v>
      </c>
      <c r="AB18" s="1575">
        <f t="shared" ref="AB18" si="9">D18/H18</f>
        <v>1</v>
      </c>
      <c r="AC18" s="1575">
        <f t="shared" ref="AC18" si="10">D18/J18</f>
        <v>1</v>
      </c>
    </row>
    <row r="19" spans="1:29" ht="15">
      <c r="A19" s="533"/>
      <c r="B19" s="579"/>
      <c r="C19" s="874"/>
      <c r="D19" s="560"/>
      <c r="E19" s="874"/>
      <c r="F19" s="564"/>
      <c r="G19" s="874"/>
      <c r="H19" s="556"/>
      <c r="I19" s="577"/>
      <c r="J19" s="556"/>
      <c r="K19" s="2623"/>
      <c r="L19" s="2141"/>
      <c r="M19" s="2133"/>
      <c r="N19" s="2133"/>
      <c r="O19" s="2140"/>
      <c r="P19" s="3436"/>
      <c r="Q19" s="2600"/>
      <c r="R19" s="1572"/>
      <c r="S19" s="1573"/>
      <c r="T19" s="1572"/>
      <c r="U19" s="1573"/>
      <c r="V19" s="1572"/>
      <c r="W19" s="1573"/>
      <c r="X19" s="2602"/>
      <c r="Y19" s="3436"/>
      <c r="Z19" s="2601"/>
      <c r="AA19" s="1575">
        <v>1</v>
      </c>
      <c r="AB19" s="1575">
        <v>1</v>
      </c>
      <c r="AC19" s="1575">
        <v>1</v>
      </c>
    </row>
    <row r="20" spans="1:29" ht="85.5">
      <c r="A20" s="533"/>
      <c r="B20" s="872" t="s">
        <v>805</v>
      </c>
      <c r="C20" s="873" t="str">
        <f>IF(B1="工业",估价对象房地状况!G7,估价对象房地状况!C9)</f>
        <v>咨询对象本身所属项目较大，周边尚无自然及人文环境，综合评价自然及人文环境较差。</v>
      </c>
      <c r="D20" s="566">
        <v>100</v>
      </c>
      <c r="E20" s="571"/>
      <c r="F20" s="572">
        <f>SUMIF(67:67,E21,68:68)-SUMIF(67:67,C21,68:68)+100</f>
        <v>100</v>
      </c>
      <c r="G20" s="573"/>
      <c r="H20" s="560">
        <f>SUMIF(67:67,G21,68:68)-SUMIF(67:67,C21,68:68)+100</f>
        <v>100</v>
      </c>
      <c r="I20" s="563"/>
      <c r="J20" s="560">
        <f>SUMIF(67:67,I21,68:68)-SUMIF(67:67,C21,68:68)+100</f>
        <v>100</v>
      </c>
      <c r="K20" s="899"/>
      <c r="L20" s="2141"/>
      <c r="M20" s="2133"/>
      <c r="N20" s="2133"/>
      <c r="O20" s="2140"/>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33"/>
      <c r="B21" s="596"/>
      <c r="C21" s="577"/>
      <c r="D21" s="556"/>
      <c r="E21" s="577"/>
      <c r="F21" s="558"/>
      <c r="G21" s="577"/>
      <c r="H21" s="556"/>
      <c r="I21" s="577"/>
      <c r="J21" s="556"/>
      <c r="K21" s="900"/>
      <c r="L21" s="2141"/>
      <c r="M21" s="2133"/>
      <c r="N21" s="2133"/>
      <c r="O21" s="2140"/>
      <c r="P21" s="3436"/>
      <c r="Q21" s="1571"/>
      <c r="R21" s="1572"/>
      <c r="S21" s="1573"/>
      <c r="T21" s="1572"/>
      <c r="U21" s="1573"/>
      <c r="V21" s="1572"/>
      <c r="W21" s="1573"/>
      <c r="X21" s="1566"/>
      <c r="Y21" s="3436"/>
      <c r="Z21" s="1574"/>
      <c r="AA21" s="1575">
        <v>1</v>
      </c>
      <c r="AB21" s="1575">
        <v>1</v>
      </c>
      <c r="AC21" s="1575">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36"/>
      <c r="Q24" s="1571">
        <f t="shared" ref="Q24:Q34"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4"/>
      <c r="M25" s="2135"/>
      <c r="N25" s="2135"/>
      <c r="O25" s="2136"/>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30" t="s">
        <v>2761</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1"/>
      <c r="M26" s="2133"/>
      <c r="N26" s="2133"/>
      <c r="O26" s="2140"/>
      <c r="P26" s="3437"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8" t="s">
        <v>822</v>
      </c>
      <c r="Z26" s="1574" t="str">
        <f t="shared" ref="Z26:Z34" si="15">Q26</f>
        <v>公共部分装修</v>
      </c>
      <c r="AA26" s="1575">
        <f t="shared" si="3"/>
        <v>1</v>
      </c>
      <c r="AB26" s="1575">
        <f t="shared" si="4"/>
        <v>1</v>
      </c>
      <c r="AC26" s="1575">
        <f t="shared" si="5"/>
        <v>1</v>
      </c>
    </row>
    <row r="27" spans="1:29" s="1338" customFormat="1" ht="15">
      <c r="A27" s="604"/>
      <c r="B27" s="530" t="s">
        <v>810</v>
      </c>
      <c r="C27" s="884"/>
      <c r="D27" s="255">
        <v>100</v>
      </c>
      <c r="E27" s="885"/>
      <c r="F27" s="576" t="e">
        <f>LOOKUP(E27,80:80,81:81)-LOOKUP(C27,80:80,81:81)+100</f>
        <v>#N/A</v>
      </c>
      <c r="G27" s="886"/>
      <c r="H27" s="541" t="e">
        <f>LOOKUP(G27,80:80,81:81)-LOOKUP(C27,80:80,81:81)+100</f>
        <v>#N/A</v>
      </c>
      <c r="I27" s="886"/>
      <c r="J27" s="541" t="e">
        <f>LOOKUP(I27,80:80,81:81)-LOOKUP(C27,80:80,81:81)+100</f>
        <v>#N/A</v>
      </c>
      <c r="K27" s="585"/>
      <c r="L27" s="2139"/>
      <c r="M27" s="2170"/>
      <c r="N27" s="2170"/>
      <c r="O27" s="2142"/>
      <c r="P27" s="3438"/>
      <c r="Q27" s="1604" t="str">
        <f t="shared" si="11"/>
        <v>成新率</v>
      </c>
      <c r="R27" s="1576" t="s">
        <v>8</v>
      </c>
      <c r="S27" s="1577" t="e">
        <f t="shared" si="12"/>
        <v>#N/A</v>
      </c>
      <c r="T27" s="1576" t="s">
        <v>8</v>
      </c>
      <c r="U27" s="1577" t="e">
        <f t="shared" si="13"/>
        <v>#N/A</v>
      </c>
      <c r="V27" s="1576" t="s">
        <v>8</v>
      </c>
      <c r="W27" s="1577" t="e">
        <f t="shared" si="14"/>
        <v>#N/A</v>
      </c>
      <c r="X27" s="1578"/>
      <c r="Y27" s="3438"/>
      <c r="Z27" s="1579" t="str">
        <f t="shared" si="15"/>
        <v>成新率</v>
      </c>
      <c r="AA27" s="1575" t="e">
        <f t="shared" si="3"/>
        <v>#N/A</v>
      </c>
      <c r="AB27" s="1575" t="e">
        <f t="shared" si="4"/>
        <v>#N/A</v>
      </c>
      <c r="AC27" s="1575" t="e">
        <f t="shared" si="5"/>
        <v>#N/A</v>
      </c>
    </row>
    <row r="28" spans="1:29" ht="15">
      <c r="A28" s="595"/>
      <c r="B28" s="530"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38"/>
      <c r="Q28" s="1571" t="str">
        <f t="shared" si="11"/>
        <v>物业等级</v>
      </c>
      <c r="R28" s="1572" t="s">
        <v>8</v>
      </c>
      <c r="S28" s="1573">
        <f t="shared" si="12"/>
        <v>100</v>
      </c>
      <c r="T28" s="1572" t="s">
        <v>8</v>
      </c>
      <c r="U28" s="1573">
        <f t="shared" si="13"/>
        <v>100</v>
      </c>
      <c r="V28" s="1572" t="s">
        <v>8</v>
      </c>
      <c r="W28" s="1573">
        <f t="shared" si="14"/>
        <v>100</v>
      </c>
      <c r="X28" s="1566"/>
      <c r="Y28" s="3438"/>
      <c r="Z28" s="1574" t="str">
        <f t="shared" si="15"/>
        <v>物业等级</v>
      </c>
      <c r="AA28" s="1575">
        <f t="shared" si="3"/>
        <v>1</v>
      </c>
      <c r="AB28" s="1575">
        <f t="shared" si="4"/>
        <v>1</v>
      </c>
      <c r="AC28" s="1575">
        <f t="shared" si="5"/>
        <v>1</v>
      </c>
    </row>
    <row r="29" spans="1:29" ht="15">
      <c r="A29" s="595"/>
      <c r="B29" s="530" t="s">
        <v>823</v>
      </c>
      <c r="C29" s="933"/>
      <c r="D29" s="541">
        <v>100</v>
      </c>
      <c r="E29" s="933"/>
      <c r="F29" s="576">
        <f>SUMIF(84:84,E29,85:85)-SUMIF(84:84,C29,85:85)+100</f>
        <v>100</v>
      </c>
      <c r="G29" s="933"/>
      <c r="H29" s="541">
        <f>SUMIF(84:84,G29,85:85)-SUMIF(84:84,C29,85:85)+100</f>
        <v>100</v>
      </c>
      <c r="I29" s="933"/>
      <c r="J29" s="541">
        <f>SUMIF(84:84,I29,85:85)-SUMIF(84:84,C29,85:85)+100</f>
        <v>100</v>
      </c>
      <c r="K29" s="585"/>
      <c r="L29" s="2141"/>
      <c r="M29" s="2133"/>
      <c r="N29" s="2133"/>
      <c r="O29" s="2140"/>
      <c r="P29" s="3438"/>
      <c r="Q29" s="1571" t="str">
        <f t="shared" si="11"/>
        <v>有无电梯</v>
      </c>
      <c r="R29" s="1572" t="s">
        <v>8</v>
      </c>
      <c r="S29" s="1573">
        <f t="shared" si="12"/>
        <v>100</v>
      </c>
      <c r="T29" s="1572" t="s">
        <v>8</v>
      </c>
      <c r="U29" s="1573">
        <f t="shared" si="13"/>
        <v>100</v>
      </c>
      <c r="V29" s="1572" t="s">
        <v>8</v>
      </c>
      <c r="W29" s="1573">
        <f t="shared" si="14"/>
        <v>100</v>
      </c>
      <c r="X29" s="1566"/>
      <c r="Y29" s="3438"/>
      <c r="Z29" s="1574" t="str">
        <f t="shared" si="15"/>
        <v>有无电梯</v>
      </c>
      <c r="AA29" s="1575">
        <f t="shared" si="3"/>
        <v>1</v>
      </c>
      <c r="AB29" s="1575">
        <f t="shared" si="4"/>
        <v>1</v>
      </c>
      <c r="AC29" s="1575">
        <f t="shared" si="5"/>
        <v>1</v>
      </c>
    </row>
    <row r="30" spans="1:29" ht="15">
      <c r="A30" s="595"/>
      <c r="B30" s="530"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1"/>
      <c r="M30" s="2133"/>
      <c r="N30" s="2133"/>
      <c r="O30" s="2140"/>
      <c r="P30" s="3438"/>
      <c r="Q30" s="1571" t="str">
        <f t="shared" si="11"/>
        <v>建筑面积</v>
      </c>
      <c r="R30" s="1572" t="s">
        <v>8</v>
      </c>
      <c r="S30" s="1573" t="e">
        <f t="shared" si="12"/>
        <v>#N/A</v>
      </c>
      <c r="T30" s="1572" t="s">
        <v>8</v>
      </c>
      <c r="U30" s="1573" t="e">
        <f t="shared" si="13"/>
        <v>#N/A</v>
      </c>
      <c r="V30" s="1572" t="s">
        <v>8</v>
      </c>
      <c r="W30" s="1573" t="e">
        <f t="shared" si="14"/>
        <v>#N/A</v>
      </c>
      <c r="X30" s="1566"/>
      <c r="Y30" s="3438"/>
      <c r="Z30" s="1574" t="str">
        <f t="shared" si="15"/>
        <v>建筑面积</v>
      </c>
      <c r="AA30" s="1575" t="e">
        <f t="shared" si="3"/>
        <v>#N/A</v>
      </c>
      <c r="AB30" s="1575" t="e">
        <f t="shared" si="4"/>
        <v>#N/A</v>
      </c>
      <c r="AC30" s="1575" t="e">
        <f t="shared" si="5"/>
        <v>#N/A</v>
      </c>
    </row>
    <row r="31" spans="1:29" s="1219" customFormat="1" ht="15">
      <c r="A31" s="601"/>
      <c r="B31" s="530" t="s">
        <v>825</v>
      </c>
      <c r="C31" s="933"/>
      <c r="D31" s="255">
        <v>100</v>
      </c>
      <c r="E31" s="933"/>
      <c r="F31" s="576">
        <f>SUMIF(89:89,E31,90:90)-SUMIF(89:89,C31,90:90)+100</f>
        <v>100</v>
      </c>
      <c r="G31" s="933"/>
      <c r="H31" s="541">
        <f>SUMIF(89:89,G31,90:90)-SUMIF(89:89,C31,90:90)+100</f>
        <v>100</v>
      </c>
      <c r="I31" s="933"/>
      <c r="J31" s="541">
        <f>SUMIF(89:89,I31,90:90)-SUMIF(89:89,C31,90:90)+100</f>
        <v>100</v>
      </c>
      <c r="K31" s="585"/>
      <c r="L31" s="2134"/>
      <c r="M31" s="2135"/>
      <c r="N31" s="2135"/>
      <c r="O31" s="2136"/>
      <c r="P31" s="3438"/>
      <c r="Q31" s="1150" t="str">
        <f t="shared" si="11"/>
        <v>是否封闭</v>
      </c>
      <c r="R31" s="1567" t="s">
        <v>8</v>
      </c>
      <c r="S31" s="1568">
        <f t="shared" si="12"/>
        <v>100</v>
      </c>
      <c r="T31" s="1567" t="s">
        <v>8</v>
      </c>
      <c r="U31" s="1568">
        <f t="shared" si="13"/>
        <v>100</v>
      </c>
      <c r="V31" s="1567" t="s">
        <v>8</v>
      </c>
      <c r="W31" s="1568">
        <f t="shared" si="14"/>
        <v>100</v>
      </c>
      <c r="X31" s="1569"/>
      <c r="Y31" s="3438"/>
      <c r="Z31" s="1149" t="str">
        <f t="shared" si="15"/>
        <v>是否封闭</v>
      </c>
      <c r="AA31" s="1570">
        <f t="shared" si="3"/>
        <v>1</v>
      </c>
      <c r="AB31" s="1570">
        <f t="shared" si="4"/>
        <v>1</v>
      </c>
      <c r="AC31" s="1570">
        <f t="shared" si="5"/>
        <v>1</v>
      </c>
    </row>
    <row r="32" spans="1:29" ht="15">
      <c r="A32" s="595"/>
      <c r="B32" s="538">
        <v>111</v>
      </c>
      <c r="C32" s="531"/>
      <c r="D32" s="541">
        <v>100</v>
      </c>
      <c r="E32" s="881"/>
      <c r="F32" s="576">
        <f>SUMIF(91:91,E32,92:92)-SUMIF(91:91,C32,92:92)+100</f>
        <v>100</v>
      </c>
      <c r="G32" s="881"/>
      <c r="H32" s="541">
        <f>SUMIF(91:91,G32,92:92)-SUMIF(91:91,C32,92:92)+100</f>
        <v>100</v>
      </c>
      <c r="I32" s="881"/>
      <c r="J32" s="541">
        <f>SUMIF(91:91,I32,92:92)-SUMIF(91:91,C32,92:92)+100</f>
        <v>100</v>
      </c>
      <c r="K32" s="582"/>
      <c r="L32" s="2141"/>
      <c r="M32" s="2133"/>
      <c r="N32" s="2133"/>
      <c r="O32" s="2140"/>
      <c r="P32" s="3438" t="s">
        <v>551</v>
      </c>
      <c r="Q32" s="1571">
        <f t="shared" si="11"/>
        <v>111</v>
      </c>
      <c r="R32" s="1572" t="s">
        <v>8</v>
      </c>
      <c r="S32" s="1573">
        <f t="shared" si="12"/>
        <v>100</v>
      </c>
      <c r="T32" s="1572" t="s">
        <v>8</v>
      </c>
      <c r="U32" s="1573">
        <f t="shared" si="13"/>
        <v>100</v>
      </c>
      <c r="V32" s="1572" t="s">
        <v>8</v>
      </c>
      <c r="W32" s="1573">
        <f t="shared" si="14"/>
        <v>100</v>
      </c>
      <c r="X32" s="1566"/>
      <c r="Y32" s="3438" t="s">
        <v>551</v>
      </c>
      <c r="Z32" s="1574">
        <f t="shared" si="15"/>
        <v>111</v>
      </c>
      <c r="AA32" s="1575">
        <f t="shared" si="3"/>
        <v>1</v>
      </c>
      <c r="AB32" s="1575">
        <f t="shared" si="4"/>
        <v>1</v>
      </c>
      <c r="AC32" s="1575">
        <f t="shared" si="5"/>
        <v>1</v>
      </c>
    </row>
    <row r="33" spans="1:29" ht="15">
      <c r="A33" s="595"/>
      <c r="B33" s="538">
        <v>111</v>
      </c>
      <c r="C33" s="531"/>
      <c r="D33" s="541">
        <v>100</v>
      </c>
      <c r="E33" s="881"/>
      <c r="F33" s="576">
        <f>SUMIF(93:93,E33,94:94)-SUMIF(93:93,C33,94:94)+100</f>
        <v>100</v>
      </c>
      <c r="G33" s="881"/>
      <c r="H33" s="541">
        <f>SUMIF(93:93,G33,94:94)-SUMIF(93:93,C33,94:94)+100</f>
        <v>100</v>
      </c>
      <c r="I33" s="881"/>
      <c r="J33" s="541">
        <f>SUMIF(93:93,I33,94:94)-SUMIF(93:93,C33,94:94)+100</f>
        <v>100</v>
      </c>
      <c r="K33" s="582"/>
      <c r="L33" s="2141"/>
      <c r="M33" s="2133"/>
      <c r="N33" s="2133"/>
      <c r="O33" s="2140"/>
      <c r="P33" s="3438"/>
      <c r="Q33" s="1571">
        <f t="shared" si="11"/>
        <v>111</v>
      </c>
      <c r="R33" s="1572" t="s">
        <v>8</v>
      </c>
      <c r="S33" s="1573">
        <f t="shared" si="12"/>
        <v>100</v>
      </c>
      <c r="T33" s="1572" t="s">
        <v>8</v>
      </c>
      <c r="U33" s="1573">
        <f t="shared" si="13"/>
        <v>100</v>
      </c>
      <c r="V33" s="1572" t="s">
        <v>8</v>
      </c>
      <c r="W33" s="1573">
        <f t="shared" si="14"/>
        <v>100</v>
      </c>
      <c r="X33" s="1566"/>
      <c r="Y33" s="3438"/>
      <c r="Z33" s="1574">
        <f t="shared" si="15"/>
        <v>111</v>
      </c>
      <c r="AA33" s="1575">
        <f t="shared" si="3"/>
        <v>1</v>
      </c>
      <c r="AB33" s="1575">
        <f t="shared" si="4"/>
        <v>1</v>
      </c>
      <c r="AC33" s="1575">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1"/>
      <c r="M34" s="2133"/>
      <c r="N34" s="2133"/>
      <c r="O34" s="2140"/>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ht="15">
      <c r="A35" s="608" t="s">
        <v>737</v>
      </c>
      <c r="B35" s="888"/>
      <c r="C35" s="2648" t="s">
        <v>1</v>
      </c>
      <c r="D35" s="2649"/>
      <c r="E35" s="2650"/>
      <c r="F35" s="2651"/>
      <c r="G35" s="2652"/>
      <c r="H35" s="2653"/>
      <c r="I35" s="2650"/>
      <c r="J35" s="2653"/>
      <c r="K35" s="1610"/>
      <c r="L35" s="2143"/>
      <c r="M35" s="2144"/>
      <c r="N35" s="2133"/>
      <c r="O35" s="2144"/>
      <c r="P35" s="3433" t="str">
        <f>A35</f>
        <v>成交单价（元/平方米）</v>
      </c>
      <c r="Q35" s="3433"/>
      <c r="R35" s="3512">
        <f>E35</f>
        <v>0</v>
      </c>
      <c r="S35" s="3512"/>
      <c r="T35" s="3512">
        <f>G35</f>
        <v>0</v>
      </c>
      <c r="U35" s="3512"/>
      <c r="V35" s="3512">
        <f>I35</f>
        <v>0</v>
      </c>
      <c r="W35" s="3512"/>
      <c r="X35" s="1558"/>
      <c r="Y35" s="1580"/>
      <c r="Z35" s="1558"/>
      <c r="AA35" s="1558"/>
      <c r="AB35" s="1558"/>
      <c r="AC35" s="1558"/>
    </row>
    <row r="36" spans="1:29" ht="15.75" thickBot="1">
      <c r="A36" s="616" t="s">
        <v>2766</v>
      </c>
      <c r="B36" s="889"/>
      <c r="C36" s="2654" t="e">
        <f>R37</f>
        <v>#DIV/0!</v>
      </c>
      <c r="D36" s="2655"/>
      <c r="E36" s="2656" t="e">
        <f>R36</f>
        <v>#DIV/0!</v>
      </c>
      <c r="F36" s="2656"/>
      <c r="G36" s="2654" t="e">
        <f>T36</f>
        <v>#DIV/0!</v>
      </c>
      <c r="H36" s="2655"/>
      <c r="I36" s="2656" t="e">
        <f>V36</f>
        <v>#DIV/0!</v>
      </c>
      <c r="J36" s="2655"/>
      <c r="K36" s="1611"/>
      <c r="L36" s="2143"/>
      <c r="M36" s="2144"/>
      <c r="N36" s="2133"/>
      <c r="O36" s="2144"/>
      <c r="P36" s="3433" t="str">
        <f>A36</f>
        <v>比较价格（元/平方米）</v>
      </c>
      <c r="Q36" s="3433"/>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8"/>
      <c r="Y36" s="1558"/>
      <c r="Z36" s="1558"/>
      <c r="AA36" s="1558"/>
      <c r="AB36" s="1558"/>
      <c r="AC36" s="1558"/>
    </row>
    <row r="37" spans="1:29" ht="15.75" thickBot="1">
      <c r="A37" s="622" t="s">
        <v>2925</v>
      </c>
      <c r="B37" s="623"/>
      <c r="C37" s="2657" t="e">
        <f>R37</f>
        <v>#DIV/0!</v>
      </c>
      <c r="D37" s="2657"/>
      <c r="E37" s="2657"/>
      <c r="F37" s="2657"/>
      <c r="G37" s="2657"/>
      <c r="H37" s="2657"/>
      <c r="I37" s="2657"/>
      <c r="J37" s="2657"/>
      <c r="K37" s="1612"/>
      <c r="L37" s="2143"/>
      <c r="M37" s="2144"/>
      <c r="N37" s="2144"/>
      <c r="O37" s="2144"/>
      <c r="P37" s="3454" t="str">
        <f>A37</f>
        <v>估价对象XX用房的比较价格（楼面单价，元/平方米）</v>
      </c>
      <c r="Q37" s="3455"/>
      <c r="R37" s="3511" t="e">
        <f>IF(F1="售价",ROUND(AVERAGE(R36:V36),0),ROUND(AVERAGE(R36:V36),1))</f>
        <v>#DIV/0!</v>
      </c>
      <c r="S37" s="3511"/>
      <c r="T37" s="3511"/>
      <c r="U37" s="3511"/>
      <c r="V37" s="3511"/>
      <c r="W37" s="351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6" t="s">
        <v>530</v>
      </c>
      <c r="B46" s="647"/>
      <c r="C46" s="2825" t="str">
        <f>YEAR(C7)&amp;"-"&amp;MONTH(C7)</f>
        <v>2017-10</v>
      </c>
      <c r="D46" s="2827">
        <f>EDATE(C46,-1)</f>
        <v>42979</v>
      </c>
      <c r="E46" s="2827">
        <f t="shared" ref="E46:O46" si="16">EDATE(D46,-1)</f>
        <v>42948</v>
      </c>
      <c r="F46" s="2827">
        <f t="shared" si="16"/>
        <v>42917</v>
      </c>
      <c r="G46" s="2827">
        <f t="shared" si="16"/>
        <v>42887</v>
      </c>
      <c r="H46" s="2827">
        <f t="shared" si="16"/>
        <v>42856</v>
      </c>
      <c r="I46" s="2827">
        <f t="shared" si="16"/>
        <v>42826</v>
      </c>
      <c r="J46" s="2827">
        <f t="shared" si="16"/>
        <v>42795</v>
      </c>
      <c r="K46" s="2827">
        <f t="shared" si="16"/>
        <v>42767</v>
      </c>
      <c r="L46" s="2827">
        <f t="shared" si="16"/>
        <v>42736</v>
      </c>
      <c r="M46" s="2827">
        <f t="shared" si="16"/>
        <v>42705</v>
      </c>
      <c r="N46" s="2827">
        <f t="shared" si="16"/>
        <v>42675</v>
      </c>
      <c r="O46" s="2827">
        <f t="shared" si="16"/>
        <v>42644</v>
      </c>
      <c r="P46" s="2159"/>
      <c r="Q46" s="2160"/>
      <c r="R46" s="2160"/>
      <c r="S46" s="2160"/>
      <c r="T46" s="2160"/>
      <c r="U46" s="2160"/>
      <c r="V46" s="2160"/>
      <c r="W46" s="2160"/>
      <c r="X46" s="2160"/>
      <c r="Y46" s="2160"/>
      <c r="Z46" s="2160"/>
      <c r="AA46" s="2160"/>
      <c r="AB46" s="2160"/>
      <c r="AC46" s="2160"/>
    </row>
    <row r="47" spans="1:29" s="1219"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19"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19"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19"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6">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6" t="s">
        <v>2561</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18" t="s">
        <v>2562</v>
      </c>
      <c r="C65" s="2619" t="s">
        <v>2563</v>
      </c>
      <c r="D65" s="2619" t="s">
        <v>2564</v>
      </c>
      <c r="E65" s="2619" t="s">
        <v>2565</v>
      </c>
      <c r="F65" s="2619" t="s">
        <v>2566</v>
      </c>
      <c r="G65" s="2619" t="s">
        <v>2567</v>
      </c>
      <c r="H65" s="675"/>
      <c r="I65" s="675"/>
      <c r="J65" s="675"/>
      <c r="K65" s="675"/>
      <c r="L65" s="675"/>
      <c r="M65" s="2622"/>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19" customFormat="1" ht="15.75" thickTop="1">
      <c r="A71" s="710"/>
      <c r="B71" s="674">
        <f>B23</f>
        <v>111</v>
      </c>
      <c r="C71" s="542"/>
      <c r="D71" s="542"/>
      <c r="E71" s="542"/>
      <c r="F71" s="542"/>
      <c r="G71" s="689"/>
      <c r="H71" s="689"/>
      <c r="I71" s="689"/>
      <c r="J71" s="689"/>
      <c r="K71" s="689"/>
      <c r="L71" s="891"/>
      <c r="M71" s="892"/>
      <c r="N71" s="2161"/>
      <c r="O71" s="2161"/>
      <c r="P71" s="2164"/>
      <c r="Q71" s="2157"/>
      <c r="R71" s="1992"/>
      <c r="S71" s="1992"/>
      <c r="T71" s="1992"/>
      <c r="U71" s="1992"/>
      <c r="V71" s="1992"/>
      <c r="W71" s="1992"/>
      <c r="X71" s="1992"/>
      <c r="Y71" s="1992"/>
      <c r="Z71" s="1992"/>
      <c r="AA71" s="1992"/>
      <c r="AB71" s="1992"/>
      <c r="AC71" s="1992"/>
    </row>
    <row r="72" spans="1:29" s="1219"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19" customFormat="1" ht="15.75" thickTop="1">
      <c r="A73" s="710"/>
      <c r="B73" s="674">
        <f>B24</f>
        <v>111</v>
      </c>
      <c r="C73" s="542"/>
      <c r="D73" s="542"/>
      <c r="E73" s="542"/>
      <c r="F73" s="542"/>
      <c r="G73" s="689"/>
      <c r="H73" s="689"/>
      <c r="I73" s="689"/>
      <c r="J73" s="689"/>
      <c r="K73" s="689"/>
      <c r="L73" s="689"/>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5">
        <v>0.5</v>
      </c>
      <c r="D80" s="895">
        <v>0.6</v>
      </c>
      <c r="E80" s="895">
        <v>0.7</v>
      </c>
      <c r="F80" s="895">
        <v>0.8</v>
      </c>
      <c r="G80" s="895">
        <v>0.9</v>
      </c>
      <c r="H80" s="895">
        <v>1.0001</v>
      </c>
      <c r="I80" s="936"/>
      <c r="J80" s="936"/>
      <c r="K80" s="946"/>
      <c r="L80" s="947"/>
      <c r="M80" s="948"/>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8" customFormat="1" ht="15" thickTop="1">
      <c r="A89" s="729"/>
      <c r="B89" s="674" t="s">
        <v>828</v>
      </c>
      <c r="C89" s="689"/>
      <c r="D89" s="689"/>
      <c r="E89" s="689"/>
      <c r="F89" s="689"/>
      <c r="G89" s="689"/>
      <c r="H89" s="689"/>
      <c r="I89" s="689"/>
      <c r="J89" s="689"/>
      <c r="K89" s="689"/>
      <c r="L89" s="689"/>
      <c r="M89" s="892"/>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8">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A10" zoomScale="90" zoomScaleNormal="90" workbookViewId="0">
      <selection activeCell="T44" sqref="T44"/>
    </sheetView>
  </sheetViews>
  <sheetFormatPr defaultRowHeight="12.75"/>
  <cols>
    <col min="1" max="1" width="7.875" style="1249" customWidth="1"/>
    <col min="2" max="2" width="9.25" style="1217" customWidth="1"/>
    <col min="3" max="3" width="3.625" style="1217" customWidth="1"/>
    <col min="4" max="4" width="11.125" style="1217" customWidth="1"/>
    <col min="5" max="5" width="5" style="1217" customWidth="1"/>
    <col min="6" max="6" width="5.375" style="1217" customWidth="1"/>
    <col min="7" max="7" width="5" style="1217" customWidth="1"/>
    <col min="8" max="8" width="9" style="1217"/>
    <col min="9" max="9" width="5" style="1217" customWidth="1"/>
    <col min="10" max="10" width="6.375" style="1217" customWidth="1"/>
    <col min="11" max="11" width="5" style="1217" customWidth="1"/>
    <col min="12" max="12" width="9" style="1217"/>
    <col min="13" max="13" width="5" style="1217" customWidth="1"/>
    <col min="14" max="14" width="7" style="1217" customWidth="1"/>
    <col min="15" max="15" width="5" style="1217" customWidth="1"/>
    <col min="16" max="16" width="0" style="1217" hidden="1" customWidth="1"/>
    <col min="17" max="17" width="5" style="1217" hidden="1" customWidth="1"/>
    <col min="18" max="18" width="9" style="1615"/>
    <col min="19" max="19" width="9" style="1249"/>
    <col min="20" max="20" width="16.375" style="257" customWidth="1"/>
    <col min="21" max="35" width="9" style="257"/>
    <col min="36" max="16384" width="9" style="1249"/>
  </cols>
  <sheetData>
    <row r="1" spans="1:45" s="257" customFormat="1" ht="14.25" customHeight="1" thickBot="1">
      <c r="A1" s="368"/>
      <c r="B1" s="2233" t="s">
        <v>2304</v>
      </c>
      <c r="C1" s="3545" t="s">
        <v>2305</v>
      </c>
      <c r="D1" s="3546"/>
      <c r="E1" s="3546"/>
      <c r="F1" s="3546"/>
      <c r="G1" s="3546"/>
      <c r="H1" s="3546"/>
      <c r="I1" s="3546"/>
      <c r="J1" s="3546"/>
      <c r="K1" s="3546"/>
      <c r="L1" s="3546"/>
      <c r="M1" s="3546"/>
      <c r="N1" s="3546"/>
      <c r="O1" s="3546"/>
      <c r="P1" s="3546"/>
      <c r="Q1" s="3546"/>
      <c r="R1" s="3546"/>
      <c r="S1" s="3547"/>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76.5">
      <c r="A2" s="2234"/>
      <c r="B2" s="950" t="s">
        <v>2307</v>
      </c>
      <c r="C2" s="951" t="str">
        <f t="shared" ref="C2:L2" si="0">C3&amp;"(含)"&amp;"-"&amp;D3</f>
        <v>0(含)-10000000000</v>
      </c>
      <c r="D2" s="952" t="str">
        <f t="shared" si="0"/>
        <v>10000000000(含)-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5" t="str">
        <f>S3&amp;"(含)"&amp;"-"</f>
        <v>(含)-</v>
      </c>
      <c r="T2" s="953"/>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4"/>
      <c r="C3" s="955">
        <v>0</v>
      </c>
      <c r="D3" s="955">
        <v>10000000000</v>
      </c>
      <c r="E3" s="955"/>
      <c r="F3" s="955"/>
      <c r="G3" s="955"/>
      <c r="H3" s="955"/>
      <c r="I3" s="955"/>
      <c r="J3" s="955"/>
      <c r="K3" s="955"/>
      <c r="L3" s="955"/>
      <c r="M3" s="955"/>
      <c r="N3" s="955"/>
      <c r="O3" s="956"/>
      <c r="P3" s="956"/>
      <c r="Q3" s="956"/>
      <c r="R3" s="956"/>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70" customFormat="1" ht="13.5" thickBot="1">
      <c r="A4" s="2240"/>
      <c r="B4" s="2241"/>
      <c r="C4" s="2242">
        <v>100</v>
      </c>
      <c r="D4" s="2242">
        <v>100</v>
      </c>
      <c r="E4" s="2242">
        <v>100</v>
      </c>
      <c r="F4" s="2242"/>
      <c r="G4" s="2242"/>
      <c r="H4" s="2242"/>
      <c r="I4" s="2242"/>
      <c r="J4" s="2242"/>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1" customFormat="1" ht="51">
      <c r="A5" s="2248"/>
      <c r="B5" s="3170" t="s">
        <v>3067</v>
      </c>
      <c r="C5" s="2249" t="str">
        <f>'比较法-住宅、综合'!C81</f>
        <v>0（含）-1</v>
      </c>
      <c r="D5" s="2249" t="str">
        <f>'比较法-住宅、综合'!D81</f>
        <v>1（含）-2</v>
      </c>
      <c r="E5" s="2249" t="str">
        <f>'比较法-住宅、综合'!E81</f>
        <v>2（含）-3</v>
      </c>
      <c r="F5" s="2249" t="str">
        <f>'比较法-住宅、综合'!F81</f>
        <v>3（含）-4</v>
      </c>
      <c r="G5" s="2249" t="str">
        <f>'比较法-住宅、综合'!G81</f>
        <v>4（含）-5</v>
      </c>
      <c r="H5" s="2249" t="str">
        <f>'比较法-住宅、综合'!H81</f>
        <v>5（含）-</v>
      </c>
      <c r="I5" s="2249" t="str">
        <f>'比较法-住宅、综合'!I81</f>
        <v>（含）-</v>
      </c>
      <c r="J5" s="2249" t="str">
        <f>'比较法-住宅、综合'!J81</f>
        <v>（含）-</v>
      </c>
      <c r="K5" s="2250"/>
      <c r="L5" s="2251"/>
      <c r="M5" s="2252"/>
      <c r="N5" s="2252"/>
      <c r="O5" s="2250"/>
      <c r="P5" s="2250"/>
      <c r="Q5" s="2250"/>
      <c r="R5" s="2250"/>
      <c r="S5" s="2253"/>
      <c r="T5" s="2254">
        <f>'比较法-住宅、综合'!K13</f>
        <v>2</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1" customFormat="1" ht="13.5" thickBot="1">
      <c r="A6" s="2248"/>
      <c r="B6" s="1963"/>
      <c r="C6" s="1967">
        <v>100</v>
      </c>
      <c r="D6" s="1968">
        <f>C6-$T5</f>
        <v>98</v>
      </c>
      <c r="E6" s="1968">
        <f t="shared" ref="E6:S6" si="7">D6-$T5</f>
        <v>96</v>
      </c>
      <c r="F6" s="1968">
        <f t="shared" si="7"/>
        <v>94</v>
      </c>
      <c r="G6" s="1968">
        <f t="shared" si="7"/>
        <v>92</v>
      </c>
      <c r="H6" s="1968">
        <f t="shared" si="7"/>
        <v>90</v>
      </c>
      <c r="I6" s="1968">
        <f t="shared" si="7"/>
        <v>88</v>
      </c>
      <c r="J6" s="1968">
        <f t="shared" si="7"/>
        <v>86</v>
      </c>
      <c r="K6" s="1968">
        <f t="shared" si="7"/>
        <v>84</v>
      </c>
      <c r="L6" s="1968">
        <f t="shared" si="7"/>
        <v>82</v>
      </c>
      <c r="M6" s="1968">
        <f t="shared" si="7"/>
        <v>80</v>
      </c>
      <c r="N6" s="1968">
        <f t="shared" si="7"/>
        <v>78</v>
      </c>
      <c r="O6" s="1968">
        <f t="shared" si="7"/>
        <v>76</v>
      </c>
      <c r="P6" s="1968">
        <f t="shared" si="7"/>
        <v>74</v>
      </c>
      <c r="Q6" s="1968">
        <f t="shared" si="7"/>
        <v>72</v>
      </c>
      <c r="R6" s="1968">
        <f t="shared" si="7"/>
        <v>70</v>
      </c>
      <c r="S6" s="1968">
        <f t="shared" si="7"/>
        <v>68</v>
      </c>
      <c r="T6" s="1966"/>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1" customFormat="1">
      <c r="A7" s="2248"/>
      <c r="B7" s="3171" t="s">
        <v>3068</v>
      </c>
      <c r="C7" s="3172" t="s">
        <v>3073</v>
      </c>
      <c r="D7" s="3173" t="s">
        <v>3074</v>
      </c>
      <c r="E7" s="1961"/>
      <c r="F7" s="1961"/>
      <c r="G7" s="1961"/>
      <c r="H7" s="1961"/>
      <c r="I7" s="1961"/>
      <c r="J7" s="1961"/>
      <c r="K7" s="1961"/>
      <c r="L7" s="1961"/>
      <c r="M7" s="2256"/>
      <c r="N7" s="2257"/>
      <c r="O7" s="2258"/>
      <c r="P7" s="2259"/>
      <c r="Q7" s="2260"/>
      <c r="R7" s="2261"/>
      <c r="S7" s="2262"/>
      <c r="T7" s="958">
        <v>5</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1" customFormat="1" ht="13.5" thickBot="1">
      <c r="A8" s="2248"/>
      <c r="B8" s="1963"/>
      <c r="C8" s="1967">
        <v>100</v>
      </c>
      <c r="D8" s="1968">
        <f>C8-$T7</f>
        <v>95</v>
      </c>
      <c r="E8" s="1968">
        <f t="shared" ref="E8:S8" si="8">D8-$T7</f>
        <v>90</v>
      </c>
      <c r="F8" s="1968">
        <f t="shared" si="8"/>
        <v>85</v>
      </c>
      <c r="G8" s="1968">
        <f t="shared" si="8"/>
        <v>80</v>
      </c>
      <c r="H8" s="1968">
        <f t="shared" si="8"/>
        <v>75</v>
      </c>
      <c r="I8" s="1968">
        <f t="shared" si="8"/>
        <v>70</v>
      </c>
      <c r="J8" s="1968">
        <f t="shared" si="8"/>
        <v>65</v>
      </c>
      <c r="K8" s="1968">
        <f t="shared" si="8"/>
        <v>60</v>
      </c>
      <c r="L8" s="1968">
        <f t="shared" si="8"/>
        <v>55</v>
      </c>
      <c r="M8" s="1968">
        <f t="shared" si="8"/>
        <v>50</v>
      </c>
      <c r="N8" s="1968">
        <f t="shared" si="8"/>
        <v>45</v>
      </c>
      <c r="O8" s="1968">
        <f t="shared" si="8"/>
        <v>40</v>
      </c>
      <c r="P8" s="1968">
        <f t="shared" si="8"/>
        <v>35</v>
      </c>
      <c r="Q8" s="1968">
        <f t="shared" si="8"/>
        <v>30</v>
      </c>
      <c r="R8" s="1968">
        <f t="shared" si="8"/>
        <v>25</v>
      </c>
      <c r="S8" s="1968">
        <f t="shared" si="8"/>
        <v>20</v>
      </c>
      <c r="T8" s="1966"/>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1" customFormat="1" ht="48">
      <c r="A9" s="2248"/>
      <c r="B9" s="3171" t="s">
        <v>3069</v>
      </c>
      <c r="C9" s="3172" t="s">
        <v>3075</v>
      </c>
      <c r="D9" s="3173" t="s">
        <v>3076</v>
      </c>
      <c r="E9" s="3173" t="s">
        <v>3077</v>
      </c>
      <c r="F9" s="3173" t="s">
        <v>3078</v>
      </c>
      <c r="G9" s="1961"/>
      <c r="H9" s="1961"/>
      <c r="I9" s="1961"/>
      <c r="J9" s="1961"/>
      <c r="K9" s="1961"/>
      <c r="L9" s="1962"/>
      <c r="M9" s="2256"/>
      <c r="N9" s="2257"/>
      <c r="O9" s="2258"/>
      <c r="P9" s="2259"/>
      <c r="Q9" s="2260"/>
      <c r="R9" s="2261"/>
      <c r="S9" s="2262"/>
      <c r="T9" s="958">
        <f>'比较法-住宅、综合'!K33</f>
        <v>0</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1" customFormat="1" ht="13.5" thickBot="1">
      <c r="A10" s="2248"/>
      <c r="B10" s="311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1" customFormat="1">
      <c r="A11" s="2248"/>
      <c r="B11" s="3170" t="s">
        <v>3070</v>
      </c>
      <c r="C11" s="2249" t="s">
        <v>3080</v>
      </c>
      <c r="D11" s="3174" t="s">
        <v>3081</v>
      </c>
      <c r="E11" s="3174" t="s">
        <v>3083</v>
      </c>
      <c r="F11" s="3174" t="s">
        <v>3085</v>
      </c>
      <c r="G11" s="3174" t="s">
        <v>3087</v>
      </c>
      <c r="H11" s="3174" t="s">
        <v>3089</v>
      </c>
      <c r="I11" s="3174" t="s">
        <v>3090</v>
      </c>
      <c r="J11" s="3174"/>
      <c r="K11" s="3174"/>
      <c r="L11" s="3174"/>
      <c r="M11" s="2252"/>
      <c r="N11" s="2265"/>
      <c r="O11" s="2266"/>
      <c r="P11" s="2267"/>
      <c r="Q11" s="2268"/>
      <c r="R11" s="2269"/>
      <c r="S11" s="2270"/>
      <c r="T11" s="2254">
        <f>'比较法-住宅、综合'!D120-'比较法-住宅、综合'!C120</f>
        <v>1</v>
      </c>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1" customFormat="1" ht="13.5" thickBot="1">
      <c r="A12" s="2248"/>
      <c r="B12" s="1963"/>
      <c r="C12" s="1967">
        <v>100</v>
      </c>
      <c r="D12" s="1968">
        <f>C12-$T11</f>
        <v>99</v>
      </c>
      <c r="E12" s="1968">
        <f t="shared" ref="E12:S12" si="10">D12-$T11</f>
        <v>98</v>
      </c>
      <c r="F12" s="1968">
        <f t="shared" si="10"/>
        <v>97</v>
      </c>
      <c r="G12" s="1968">
        <f t="shared" si="10"/>
        <v>96</v>
      </c>
      <c r="H12" s="1968">
        <f t="shared" si="10"/>
        <v>95</v>
      </c>
      <c r="I12" s="1968">
        <f t="shared" si="10"/>
        <v>94</v>
      </c>
      <c r="J12" s="1968">
        <f t="shared" si="10"/>
        <v>93</v>
      </c>
      <c r="K12" s="1968">
        <f t="shared" si="10"/>
        <v>92</v>
      </c>
      <c r="L12" s="1968">
        <f t="shared" si="10"/>
        <v>91</v>
      </c>
      <c r="M12" s="1968">
        <f t="shared" si="10"/>
        <v>90</v>
      </c>
      <c r="N12" s="1968">
        <f t="shared" si="10"/>
        <v>89</v>
      </c>
      <c r="O12" s="1968">
        <f t="shared" si="10"/>
        <v>88</v>
      </c>
      <c r="P12" s="1968">
        <f t="shared" si="10"/>
        <v>87</v>
      </c>
      <c r="Q12" s="1968">
        <f t="shared" si="10"/>
        <v>86</v>
      </c>
      <c r="R12" s="1968">
        <f t="shared" si="10"/>
        <v>85</v>
      </c>
      <c r="S12" s="1968">
        <f t="shared" si="10"/>
        <v>84</v>
      </c>
      <c r="T12" s="1966"/>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1" customFormat="1" ht="25.5">
      <c r="A13" s="2248"/>
      <c r="B13" s="3170" t="s">
        <v>3071</v>
      </c>
      <c r="C13" s="2249" t="str">
        <f>'比较法-住宅、综合'!C121</f>
        <v>规则</v>
      </c>
      <c r="D13" s="2249" t="str">
        <f>'比较法-住宅、综合'!D121</f>
        <v>较规则</v>
      </c>
      <c r="E13" s="2249" t="str">
        <f>'比较法-住宅、综合'!E121</f>
        <v>一般</v>
      </c>
      <c r="F13" s="2249" t="str">
        <f>'比较法-住宅、综合'!F121</f>
        <v>较不规则</v>
      </c>
      <c r="G13" s="2249" t="str">
        <f>'比较法-住宅、综合'!G121</f>
        <v>不规则</v>
      </c>
      <c r="H13" s="2249">
        <f>'比较法-住宅、综合'!H121</f>
        <v>0</v>
      </c>
      <c r="I13" s="2249">
        <f>'比较法-住宅、综合'!I121</f>
        <v>0</v>
      </c>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1" customFormat="1" ht="13.5" thickBot="1">
      <c r="A14" s="2248"/>
      <c r="B14" s="1963"/>
      <c r="C14" s="1964">
        <f>'比较法-住宅、综合'!C122</f>
        <v>100</v>
      </c>
      <c r="D14" s="1964">
        <f>'比较法-住宅、综合'!D122</f>
        <v>99</v>
      </c>
      <c r="E14" s="1964">
        <f>'比较法-住宅、综合'!E122</f>
        <v>98</v>
      </c>
      <c r="F14" s="1964">
        <f>'比较法-住宅、综合'!F122</f>
        <v>97</v>
      </c>
      <c r="G14" s="1964">
        <f>'比较法-住宅、综合'!G122</f>
        <v>96</v>
      </c>
      <c r="H14" s="1965"/>
      <c r="I14" s="1965"/>
      <c r="J14" s="1965"/>
      <c r="K14" s="1965"/>
      <c r="L14" s="1965"/>
      <c r="M14" s="2272"/>
      <c r="N14" s="2272"/>
      <c r="O14" s="1965"/>
      <c r="P14" s="1965"/>
      <c r="Q14" s="1965"/>
      <c r="R14" s="1965"/>
      <c r="S14" s="2273"/>
      <c r="T14" s="1966"/>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1" customFormat="1" ht="25.5">
      <c r="A15" s="2248"/>
      <c r="B15" s="3170" t="s">
        <v>3072</v>
      </c>
      <c r="C15" s="2249" t="str">
        <f>'比较法-住宅、综合'!C125</f>
        <v>七通</v>
      </c>
      <c r="D15" s="2249" t="str">
        <f>'比较法-住宅、综合'!D125</f>
        <v>六通</v>
      </c>
      <c r="E15" s="2249" t="str">
        <f>'比较法-住宅、综合'!E125</f>
        <v>五通</v>
      </c>
      <c r="F15" s="2249" t="str">
        <f>'比较法-住宅、综合'!F125</f>
        <v>四通</v>
      </c>
      <c r="G15" s="2249" t="str">
        <f>'比较法-住宅、综合'!G125</f>
        <v>三通</v>
      </c>
      <c r="H15" s="2249" t="str">
        <f>'比较法-住宅、综合'!H125</f>
        <v>二通</v>
      </c>
      <c r="I15" s="2249" t="str">
        <f>'比较法-住宅、综合'!I125</f>
        <v>一通</v>
      </c>
      <c r="J15" s="2249" t="str">
        <f>'比较法-住宅、综合'!J125</f>
        <v>不通</v>
      </c>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1" customFormat="1" ht="13.5" thickBot="1">
      <c r="A16" s="2248"/>
      <c r="B16" s="2241"/>
      <c r="C16" s="2242">
        <f>'比较法-住宅、综合'!C126</f>
        <v>100</v>
      </c>
      <c r="D16" s="2242">
        <f>'比较法-住宅、综合'!D126</f>
        <v>99</v>
      </c>
      <c r="E16" s="2242">
        <f>'比较法-住宅、综合'!E126</f>
        <v>98</v>
      </c>
      <c r="F16" s="2242">
        <f>'比较法-住宅、综合'!F126</f>
        <v>97</v>
      </c>
      <c r="G16" s="2242">
        <f>'比较法-住宅、综合'!G126</f>
        <v>96</v>
      </c>
      <c r="H16" s="2242">
        <f>'比较法-住宅、综合'!H126</f>
        <v>95</v>
      </c>
      <c r="I16" s="2242">
        <f>'比较法-住宅、综合'!I126</f>
        <v>94</v>
      </c>
      <c r="J16" s="2242">
        <f>'比较法-住宅、综合'!J126</f>
        <v>93</v>
      </c>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9"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6"/>
      <c r="AS17" s="2236"/>
    </row>
    <row r="18" spans="1:45" s="1969"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4"/>
      <c r="B19" s="949"/>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6">
        <f ca="1">S22</f>
        <v>299455</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6">
        <f ca="1">R22</f>
        <v>1262</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2373191.1799999997</v>
      </c>
      <c r="C22" s="3542" t="s">
        <v>20</v>
      </c>
      <c r="D22" s="3543"/>
      <c r="E22" s="3543"/>
      <c r="F22" s="3543"/>
      <c r="G22" s="3543"/>
      <c r="H22" s="3543"/>
      <c r="I22" s="3543"/>
      <c r="J22" s="3543"/>
      <c r="K22" s="3543"/>
      <c r="L22" s="3543"/>
      <c r="M22" s="3543"/>
      <c r="N22" s="3543"/>
      <c r="O22" s="3543"/>
      <c r="P22" s="3543"/>
      <c r="Q22" s="3544"/>
      <c r="R22" s="493">
        <f ca="1">ROUND(S22*10000/B22,0)</f>
        <v>1262</v>
      </c>
      <c r="S22" s="53">
        <f ca="1">SUM(S24:S10000)</f>
        <v>299455</v>
      </c>
      <c r="T22" s="257">
        <v>666.67</v>
      </c>
    </row>
    <row r="23" spans="1:45" s="1613" customFormat="1" ht="48">
      <c r="A23" s="17" t="s">
        <v>832</v>
      </c>
      <c r="B23" s="17" t="s">
        <v>833</v>
      </c>
      <c r="C23" s="17" t="s">
        <v>834</v>
      </c>
      <c r="D23" s="17" t="str">
        <f>B5</f>
        <v>容积率</v>
      </c>
      <c r="E23" s="17" t="s">
        <v>834</v>
      </c>
      <c r="F23" s="17" t="str">
        <f>B7</f>
        <v>配建</v>
      </c>
      <c r="G23" s="17" t="s">
        <v>834</v>
      </c>
      <c r="H23" s="17" t="str">
        <f>B9</f>
        <v>临街状况</v>
      </c>
      <c r="I23" s="17" t="s">
        <v>834</v>
      </c>
      <c r="J23" s="17" t="str">
        <f>B11</f>
        <v>宗地面积</v>
      </c>
      <c r="K23" s="17" t="s">
        <v>834</v>
      </c>
      <c r="L23" s="17" t="str">
        <f>B13</f>
        <v>宗地形状</v>
      </c>
      <c r="M23" s="17" t="s">
        <v>834</v>
      </c>
      <c r="N23" s="17" t="str">
        <f>B15</f>
        <v>开发程度</v>
      </c>
      <c r="O23" s="17" t="s">
        <v>834</v>
      </c>
      <c r="P23" s="17" t="str">
        <f>B17</f>
        <v>楼层</v>
      </c>
      <c r="Q23" s="17" t="s">
        <v>834</v>
      </c>
      <c r="R23" s="494" t="s">
        <v>835</v>
      </c>
      <c r="S23" s="17" t="s">
        <v>836</v>
      </c>
      <c r="T23" s="18"/>
      <c r="U23" s="3175" t="s">
        <v>3091</v>
      </c>
      <c r="V23" s="3175" t="s">
        <v>3092</v>
      </c>
      <c r="W23" s="3175" t="s">
        <v>3093</v>
      </c>
      <c r="X23" s="3175" t="s">
        <v>3094</v>
      </c>
      <c r="Y23" s="18"/>
      <c r="Z23" s="18"/>
      <c r="AA23" s="18"/>
      <c r="AB23" s="18"/>
      <c r="AC23" s="18"/>
      <c r="AD23" s="18"/>
      <c r="AE23" s="18"/>
      <c r="AF23" s="18"/>
      <c r="AG23" s="18"/>
      <c r="AH23" s="18"/>
      <c r="AI23" s="18"/>
    </row>
    <row r="24" spans="1:45" s="1614" customFormat="1">
      <c r="A24" s="960" t="s">
        <v>837</v>
      </c>
      <c r="B24" s="960">
        <f>'数据-汇总表'!E3</f>
        <v>457656.17999999993</v>
      </c>
      <c r="C24" s="961">
        <v>1</v>
      </c>
      <c r="D24" s="962" t="s">
        <v>3095</v>
      </c>
      <c r="E24" s="961">
        <v>1</v>
      </c>
      <c r="F24" s="962" t="s">
        <v>2978</v>
      </c>
      <c r="G24" s="961">
        <v>1</v>
      </c>
      <c r="H24" s="962" t="s">
        <v>3029</v>
      </c>
      <c r="I24" s="961">
        <v>1</v>
      </c>
      <c r="J24" s="962" t="s">
        <v>3084</v>
      </c>
      <c r="K24" s="961">
        <v>1</v>
      </c>
      <c r="L24" s="962" t="s">
        <v>3008</v>
      </c>
      <c r="M24" s="961">
        <v>1</v>
      </c>
      <c r="N24" s="962" t="s">
        <v>3028</v>
      </c>
      <c r="O24" s="961">
        <v>1</v>
      </c>
      <c r="P24" s="962"/>
      <c r="Q24" s="961">
        <v>1</v>
      </c>
      <c r="R24" s="963">
        <f ca="1">结果表!G20</f>
        <v>1266</v>
      </c>
      <c r="S24" s="961">
        <f t="shared" ref="S24:S54" ca="1" si="11">ROUND(R24*B24/10000,0)</f>
        <v>57939</v>
      </c>
      <c r="T24" s="1972" t="s">
        <v>3096</v>
      </c>
      <c r="U24" s="1972">
        <f>'数据-汇总表'!D3</f>
        <v>158684</v>
      </c>
      <c r="V24" s="1972">
        <f>'数据-汇总表'!I7</f>
        <v>2.1</v>
      </c>
      <c r="W24" s="1972">
        <f t="shared" ref="W24:W29" si="12">ROUND(U24*V24,0)</f>
        <v>333236</v>
      </c>
      <c r="X24" s="1972">
        <f t="shared" ref="X24:X32" si="13">ROUND(U24/$T$22,2)</f>
        <v>238.02</v>
      </c>
      <c r="Y24" s="1972"/>
      <c r="Z24" s="1972"/>
      <c r="AA24" s="1972"/>
      <c r="AB24" s="1972"/>
      <c r="AC24" s="1972"/>
      <c r="AD24" s="1972"/>
      <c r="AE24" s="1972"/>
      <c r="AF24" s="1972"/>
      <c r="AG24" s="1972"/>
      <c r="AH24" s="1972"/>
      <c r="AI24" s="1972"/>
    </row>
    <row r="25" spans="1:45">
      <c r="A25" s="964"/>
      <c r="B25" s="137">
        <f>W25</f>
        <v>46847</v>
      </c>
      <c r="C25" s="53">
        <f>IF(B25="",1,(LOOKUP(B25,$3:$3,$4:$4)-LOOKUP($B$24,$3:$3,$4:$4)+100)/100)</f>
        <v>1</v>
      </c>
      <c r="D25" s="962" t="s">
        <v>3095</v>
      </c>
      <c r="E25" s="53">
        <f>(SUMIF($5:$5,D25,$6:$6)-SUMIF($5:$5,$D$24,$6:$6)+100)/100</f>
        <v>1</v>
      </c>
      <c r="F25" s="962" t="s">
        <v>2978</v>
      </c>
      <c r="G25" s="53">
        <f>(SUMIF($7:$7,F25,$8:$8)-SUMIF($7:$7,$F$24,$8:$8)+100)/100</f>
        <v>1</v>
      </c>
      <c r="H25" s="962" t="s">
        <v>3029</v>
      </c>
      <c r="I25" s="53">
        <f>(SUMIF($9:$9,H25,$10:$10)-SUMIF($9:$9,$H$24,$10:$10)+100)/100</f>
        <v>1</v>
      </c>
      <c r="J25" s="962" t="s">
        <v>3082</v>
      </c>
      <c r="K25" s="53">
        <f>(SUMIF($11:$11,J25,$12:$12)-SUMIF($11:$11,$J$24,$12:$12)+100)/100</f>
        <v>1.01</v>
      </c>
      <c r="L25" s="962" t="s">
        <v>3006</v>
      </c>
      <c r="M25" s="53">
        <f>(SUMIF($13:$13,L25,$14:$14)-SUMIF($13:$13,$L$24,$14:$14)+100)/100</f>
        <v>1.01</v>
      </c>
      <c r="N25" s="962" t="s">
        <v>3028</v>
      </c>
      <c r="O25" s="53">
        <f>(SUMIF($15:$15,N25,$16:$16)-SUMIF($15:$15,$N$24,$16:$16)+100)/100</f>
        <v>1</v>
      </c>
      <c r="P25" s="962"/>
      <c r="Q25" s="53">
        <f>(SUMIF($17:$17,P25,$18:$18)-SUMIF($17:$17,$P$24,$18:$18)+100)/100</f>
        <v>1</v>
      </c>
      <c r="R25" s="493">
        <f ca="1">IF(B25="",0,ROUND($R$24*C25*E25*G25*I25*K25*M25*O25*Q25,0))</f>
        <v>1291</v>
      </c>
      <c r="S25" s="800">
        <f t="shared" ca="1" si="11"/>
        <v>6048</v>
      </c>
      <c r="T25" s="1972" t="s">
        <v>3097</v>
      </c>
      <c r="U25" s="257">
        <v>21294</v>
      </c>
      <c r="V25" s="257">
        <v>2.2000000000000002</v>
      </c>
      <c r="W25" s="1972">
        <f t="shared" si="12"/>
        <v>46847</v>
      </c>
      <c r="X25" s="1972">
        <f t="shared" si="13"/>
        <v>31.94</v>
      </c>
    </row>
    <row r="26" spans="1:45">
      <c r="A26" s="964"/>
      <c r="B26" s="137">
        <f t="shared" ref="B26" si="14">W26</f>
        <v>124740</v>
      </c>
      <c r="C26" s="53">
        <f t="shared" ref="C26:C89" si="15">IF(B26="",1,(LOOKUP(B26,$3:$3,$4:$4)-LOOKUP($B$24,$3:$3,$4:$4)+100)/100)</f>
        <v>1</v>
      </c>
      <c r="D26" s="962" t="s">
        <v>3095</v>
      </c>
      <c r="E26" s="53">
        <f t="shared" ref="E26:E89" si="16">(SUMIF($5:$5,D26,$6:$6)-SUMIF($5:$5,$D$24,$6:$6)+100)/100</f>
        <v>1</v>
      </c>
      <c r="F26" s="962" t="s">
        <v>2978</v>
      </c>
      <c r="G26" s="53">
        <f t="shared" ref="G26:G89" si="17">(SUMIF($7:$7,F26,$8:$8)-SUMIF($7:$7,$F$24,$8:$8)+100)/100</f>
        <v>1</v>
      </c>
      <c r="H26" s="962" t="s">
        <v>3029</v>
      </c>
      <c r="I26" s="53">
        <f t="shared" ref="I26:I89" si="18">(SUMIF($9:$9,H26,$10:$10)-SUMIF($9:$9,$H$24,$10:$10)+100)/100</f>
        <v>1</v>
      </c>
      <c r="J26" s="962" t="s">
        <v>3084</v>
      </c>
      <c r="K26" s="53">
        <f t="shared" ref="K26:K89" si="19">(SUMIF($11:$11,J26,$12:$12)-SUMIF($11:$11,$J$24,$12:$12)+100)/100</f>
        <v>1</v>
      </c>
      <c r="L26" s="962" t="s">
        <v>3008</v>
      </c>
      <c r="M26" s="53">
        <f t="shared" ref="M26:M89" si="20">(SUMIF($13:$13,L26,$14:$14)-SUMIF($13:$13,$L$24,$14:$14)+100)/100</f>
        <v>1</v>
      </c>
      <c r="N26" s="962" t="s">
        <v>3028</v>
      </c>
      <c r="O26" s="53">
        <f t="shared" ref="O26:O89" si="21">(SUMIF($15:$15,N26,$16:$16)-SUMIF($15:$15,$N$24,$16:$16)+100)/100</f>
        <v>1</v>
      </c>
      <c r="P26" s="962"/>
      <c r="Q26" s="53">
        <f t="shared" ref="Q26:Q89" si="22">(SUMIF($17:$17,P26,$18:$18)-SUMIF($17:$17,$P$24,$18:$18)+100)/100</f>
        <v>1</v>
      </c>
      <c r="R26" s="493">
        <f t="shared" ref="R26:R89" ca="1" si="23">IF(B26="",0,ROUND($R$24*C26*E26*G26*I26*K26*M26*O26*Q26,0))</f>
        <v>1266</v>
      </c>
      <c r="S26" s="800">
        <f t="shared" ca="1" si="11"/>
        <v>15792</v>
      </c>
      <c r="T26" s="1972" t="s">
        <v>3098</v>
      </c>
      <c r="U26" s="1972">
        <v>56700</v>
      </c>
      <c r="V26" s="1972">
        <f>V25</f>
        <v>2.2000000000000002</v>
      </c>
      <c r="W26" s="1972">
        <f t="shared" si="12"/>
        <v>124740</v>
      </c>
      <c r="X26" s="1972">
        <f t="shared" si="13"/>
        <v>85.05</v>
      </c>
    </row>
    <row r="27" spans="1:45">
      <c r="A27" s="964"/>
      <c r="B27" s="137">
        <f>W27</f>
        <v>86915</v>
      </c>
      <c r="C27" s="53">
        <f>IF(B27="",1,(LOOKUP(B27,$3:$3,$4:$4)-LOOKUP($B$24,$3:$3,$4:$4)+100)/100)</f>
        <v>1</v>
      </c>
      <c r="D27" s="962" t="s">
        <v>3095</v>
      </c>
      <c r="E27" s="53">
        <f t="shared" si="16"/>
        <v>1</v>
      </c>
      <c r="F27" s="962" t="s">
        <v>2978</v>
      </c>
      <c r="G27" s="53">
        <f t="shared" si="17"/>
        <v>1</v>
      </c>
      <c r="H27" s="962" t="s">
        <v>3029</v>
      </c>
      <c r="I27" s="53">
        <f t="shared" si="18"/>
        <v>1</v>
      </c>
      <c r="J27" s="962" t="s">
        <v>3082</v>
      </c>
      <c r="K27" s="53">
        <f t="shared" si="19"/>
        <v>1.01</v>
      </c>
      <c r="L27" s="962" t="s">
        <v>3008</v>
      </c>
      <c r="M27" s="53">
        <f t="shared" si="20"/>
        <v>1</v>
      </c>
      <c r="N27" s="962" t="s">
        <v>3028</v>
      </c>
      <c r="O27" s="53">
        <f t="shared" si="21"/>
        <v>1</v>
      </c>
      <c r="P27" s="962"/>
      <c r="Q27" s="53">
        <f t="shared" si="22"/>
        <v>1</v>
      </c>
      <c r="R27" s="493">
        <f ca="1">IF(B27="",0,ROUND($R$24*C27*E27*G27*I27*K27*M27*O27*Q27,0))</f>
        <v>1279</v>
      </c>
      <c r="S27" s="800">
        <f ca="1">ROUND(R27*B27/10000,0)</f>
        <v>11116</v>
      </c>
      <c r="T27" s="1972" t="s">
        <v>3099</v>
      </c>
      <c r="U27" s="257">
        <v>39507</v>
      </c>
      <c r="V27" s="257">
        <f>V25</f>
        <v>2.2000000000000002</v>
      </c>
      <c r="W27" s="1972">
        <f t="shared" si="12"/>
        <v>86915</v>
      </c>
      <c r="X27" s="1972">
        <f t="shared" si="13"/>
        <v>59.26</v>
      </c>
    </row>
    <row r="28" spans="1:45">
      <c r="A28" s="964"/>
      <c r="B28" s="137">
        <f t="shared" ref="B28:B36" si="24">W28</f>
        <v>247435</v>
      </c>
      <c r="C28" s="53">
        <f t="shared" si="15"/>
        <v>1</v>
      </c>
      <c r="D28" s="962" t="s">
        <v>3095</v>
      </c>
      <c r="E28" s="53">
        <f t="shared" si="16"/>
        <v>1</v>
      </c>
      <c r="F28" s="962" t="s">
        <v>2978</v>
      </c>
      <c r="G28" s="53">
        <f t="shared" si="17"/>
        <v>1</v>
      </c>
      <c r="H28" s="962" t="s">
        <v>3029</v>
      </c>
      <c r="I28" s="53">
        <f t="shared" si="18"/>
        <v>1</v>
      </c>
      <c r="J28" s="962" t="s">
        <v>3086</v>
      </c>
      <c r="K28" s="53">
        <f t="shared" si="19"/>
        <v>0.99</v>
      </c>
      <c r="L28" s="962" t="s">
        <v>3008</v>
      </c>
      <c r="M28" s="53">
        <f t="shared" si="20"/>
        <v>1</v>
      </c>
      <c r="N28" s="962" t="s">
        <v>3028</v>
      </c>
      <c r="O28" s="53">
        <f t="shared" si="21"/>
        <v>1</v>
      </c>
      <c r="P28" s="962"/>
      <c r="Q28" s="53">
        <f t="shared" si="22"/>
        <v>1</v>
      </c>
      <c r="R28" s="493">
        <f t="shared" ca="1" si="23"/>
        <v>1253</v>
      </c>
      <c r="S28" s="800">
        <f t="shared" ca="1" si="11"/>
        <v>31004</v>
      </c>
      <c r="T28" s="1972" t="s">
        <v>3100</v>
      </c>
      <c r="U28" s="1972">
        <v>117826</v>
      </c>
      <c r="V28" s="1972">
        <v>2.1</v>
      </c>
      <c r="W28" s="1972">
        <f t="shared" si="12"/>
        <v>247435</v>
      </c>
      <c r="X28" s="1972">
        <f t="shared" si="13"/>
        <v>176.74</v>
      </c>
    </row>
    <row r="29" spans="1:45">
      <c r="A29" s="964"/>
      <c r="B29" s="137">
        <f t="shared" si="24"/>
        <v>85802</v>
      </c>
      <c r="C29" s="53">
        <f t="shared" si="15"/>
        <v>1</v>
      </c>
      <c r="D29" s="962" t="s">
        <v>3095</v>
      </c>
      <c r="E29" s="53">
        <f t="shared" si="16"/>
        <v>1</v>
      </c>
      <c r="F29" s="962" t="s">
        <v>2978</v>
      </c>
      <c r="G29" s="53">
        <f t="shared" si="17"/>
        <v>1</v>
      </c>
      <c r="H29" s="962" t="s">
        <v>3029</v>
      </c>
      <c r="I29" s="53">
        <f t="shared" si="18"/>
        <v>1</v>
      </c>
      <c r="J29" s="962" t="s">
        <v>3084</v>
      </c>
      <c r="K29" s="53">
        <f t="shared" si="19"/>
        <v>1</v>
      </c>
      <c r="L29" s="962" t="s">
        <v>3008</v>
      </c>
      <c r="M29" s="53">
        <f t="shared" si="20"/>
        <v>1</v>
      </c>
      <c r="N29" s="962" t="s">
        <v>3028</v>
      </c>
      <c r="O29" s="53">
        <f t="shared" si="21"/>
        <v>1</v>
      </c>
      <c r="P29" s="962"/>
      <c r="Q29" s="53">
        <f t="shared" si="22"/>
        <v>1</v>
      </c>
      <c r="R29" s="493">
        <f t="shared" ca="1" si="23"/>
        <v>1266</v>
      </c>
      <c r="S29" s="800">
        <f t="shared" ca="1" si="11"/>
        <v>10863</v>
      </c>
      <c r="T29" s="1972" t="s">
        <v>3101</v>
      </c>
      <c r="U29" s="257">
        <v>40858</v>
      </c>
      <c r="V29" s="257">
        <f>V28</f>
        <v>2.1</v>
      </c>
      <c r="W29" s="1972">
        <f t="shared" si="12"/>
        <v>85802</v>
      </c>
      <c r="X29" s="1972">
        <f t="shared" si="13"/>
        <v>61.29</v>
      </c>
    </row>
    <row r="30" spans="1:45">
      <c r="A30" s="964"/>
      <c r="B30" s="137">
        <f t="shared" si="24"/>
        <v>210073</v>
      </c>
      <c r="C30" s="53">
        <f t="shared" si="15"/>
        <v>1</v>
      </c>
      <c r="D30" s="962" t="s">
        <v>3095</v>
      </c>
      <c r="E30" s="53">
        <f t="shared" si="16"/>
        <v>1</v>
      </c>
      <c r="F30" s="962" t="s">
        <v>2978</v>
      </c>
      <c r="G30" s="53">
        <f t="shared" si="17"/>
        <v>1</v>
      </c>
      <c r="H30" s="962" t="s">
        <v>3029</v>
      </c>
      <c r="I30" s="53">
        <f t="shared" si="18"/>
        <v>1</v>
      </c>
      <c r="J30" s="962" t="s">
        <v>3086</v>
      </c>
      <c r="K30" s="53">
        <f t="shared" si="19"/>
        <v>0.99</v>
      </c>
      <c r="L30" s="962" t="s">
        <v>3008</v>
      </c>
      <c r="M30" s="53">
        <f t="shared" si="20"/>
        <v>1</v>
      </c>
      <c r="N30" s="962" t="s">
        <v>3028</v>
      </c>
      <c r="O30" s="53">
        <f t="shared" si="21"/>
        <v>1</v>
      </c>
      <c r="P30" s="962"/>
      <c r="Q30" s="53">
        <f t="shared" si="22"/>
        <v>1</v>
      </c>
      <c r="R30" s="493">
        <f t="shared" ca="1" si="23"/>
        <v>1253</v>
      </c>
      <c r="S30" s="800">
        <f t="shared" ca="1" si="11"/>
        <v>26322</v>
      </c>
      <c r="T30" s="1972" t="s">
        <v>3102</v>
      </c>
      <c r="U30" s="257">
        <v>84029</v>
      </c>
      <c r="V30" s="257">
        <v>2.5</v>
      </c>
      <c r="W30" s="1972">
        <f t="shared" ref="W30:W36" si="25">ROUND(U30*V30,0)</f>
        <v>210073</v>
      </c>
      <c r="X30" s="257">
        <f t="shared" si="13"/>
        <v>126.04</v>
      </c>
    </row>
    <row r="31" spans="1:45">
      <c r="A31" s="964"/>
      <c r="B31" s="137">
        <f t="shared" si="24"/>
        <v>135633</v>
      </c>
      <c r="C31" s="53">
        <f t="shared" si="15"/>
        <v>1</v>
      </c>
      <c r="D31" s="962" t="s">
        <v>3095</v>
      </c>
      <c r="E31" s="53">
        <f t="shared" si="16"/>
        <v>1</v>
      </c>
      <c r="F31" s="962" t="s">
        <v>2978</v>
      </c>
      <c r="G31" s="53">
        <f t="shared" si="17"/>
        <v>1</v>
      </c>
      <c r="H31" s="962" t="s">
        <v>3029</v>
      </c>
      <c r="I31" s="53">
        <f t="shared" si="18"/>
        <v>1</v>
      </c>
      <c r="J31" s="962" t="s">
        <v>3084</v>
      </c>
      <c r="K31" s="53">
        <f t="shared" si="19"/>
        <v>1</v>
      </c>
      <c r="L31" s="962" t="s">
        <v>3008</v>
      </c>
      <c r="M31" s="53">
        <f t="shared" si="20"/>
        <v>1</v>
      </c>
      <c r="N31" s="962" t="s">
        <v>3028</v>
      </c>
      <c r="O31" s="53">
        <f t="shared" si="21"/>
        <v>1</v>
      </c>
      <c r="P31" s="962"/>
      <c r="Q31" s="53">
        <f t="shared" si="22"/>
        <v>1</v>
      </c>
      <c r="R31" s="493">
        <f t="shared" ca="1" si="23"/>
        <v>1266</v>
      </c>
      <c r="S31" s="800">
        <f t="shared" ca="1" si="11"/>
        <v>17171</v>
      </c>
      <c r="T31" s="1972" t="s">
        <v>3103</v>
      </c>
      <c r="U31" s="257">
        <v>54253.1</v>
      </c>
      <c r="V31" s="257">
        <f>V30</f>
        <v>2.5</v>
      </c>
      <c r="W31" s="1972">
        <f t="shared" si="25"/>
        <v>135633</v>
      </c>
      <c r="X31" s="257">
        <f t="shared" si="13"/>
        <v>81.38</v>
      </c>
    </row>
    <row r="32" spans="1:45">
      <c r="A32" s="964"/>
      <c r="B32" s="137">
        <f t="shared" si="24"/>
        <v>97740</v>
      </c>
      <c r="C32" s="53">
        <f t="shared" si="15"/>
        <v>1</v>
      </c>
      <c r="D32" s="962" t="s">
        <v>3095</v>
      </c>
      <c r="E32" s="53">
        <f t="shared" si="16"/>
        <v>1</v>
      </c>
      <c r="F32" s="962" t="s">
        <v>2978</v>
      </c>
      <c r="G32" s="53">
        <f t="shared" si="17"/>
        <v>1</v>
      </c>
      <c r="H32" s="962" t="s">
        <v>3029</v>
      </c>
      <c r="I32" s="53">
        <f t="shared" si="18"/>
        <v>1</v>
      </c>
      <c r="J32" s="962" t="s">
        <v>3082</v>
      </c>
      <c r="K32" s="53">
        <f t="shared" si="19"/>
        <v>1.01</v>
      </c>
      <c r="L32" s="962" t="s">
        <v>3008</v>
      </c>
      <c r="M32" s="53">
        <f t="shared" si="20"/>
        <v>1</v>
      </c>
      <c r="N32" s="962" t="s">
        <v>3028</v>
      </c>
      <c r="O32" s="53">
        <f t="shared" si="21"/>
        <v>1</v>
      </c>
      <c r="P32" s="962"/>
      <c r="Q32" s="53">
        <f t="shared" si="22"/>
        <v>1</v>
      </c>
      <c r="R32" s="493">
        <f t="shared" ca="1" si="23"/>
        <v>1279</v>
      </c>
      <c r="S32" s="800">
        <f t="shared" ca="1" si="11"/>
        <v>12501</v>
      </c>
      <c r="T32" s="1972" t="s">
        <v>3104</v>
      </c>
      <c r="U32" s="257">
        <v>39095.9</v>
      </c>
      <c r="V32" s="257">
        <f>V31</f>
        <v>2.5</v>
      </c>
      <c r="W32" s="1972">
        <f t="shared" si="25"/>
        <v>97740</v>
      </c>
      <c r="X32" s="257">
        <f t="shared" si="13"/>
        <v>58.64</v>
      </c>
    </row>
    <row r="33" spans="1:24">
      <c r="A33" s="964"/>
      <c r="B33" s="137">
        <f t="shared" si="24"/>
        <v>214739</v>
      </c>
      <c r="C33" s="53">
        <f t="shared" si="15"/>
        <v>1</v>
      </c>
      <c r="D33" s="962" t="s">
        <v>3095</v>
      </c>
      <c r="E33" s="53">
        <f t="shared" si="16"/>
        <v>1</v>
      </c>
      <c r="F33" s="962" t="s">
        <v>2978</v>
      </c>
      <c r="G33" s="53">
        <f t="shared" si="17"/>
        <v>1</v>
      </c>
      <c r="H33" s="962" t="s">
        <v>3029</v>
      </c>
      <c r="I33" s="53">
        <f t="shared" si="18"/>
        <v>1</v>
      </c>
      <c r="J33" s="962" t="s">
        <v>3086</v>
      </c>
      <c r="K33" s="53">
        <f t="shared" si="19"/>
        <v>0.99</v>
      </c>
      <c r="L33" s="962" t="s">
        <v>3004</v>
      </c>
      <c r="M33" s="53">
        <f t="shared" si="20"/>
        <v>1.02</v>
      </c>
      <c r="N33" s="962" t="s">
        <v>3028</v>
      </c>
      <c r="O33" s="53">
        <f t="shared" si="21"/>
        <v>1</v>
      </c>
      <c r="P33" s="962"/>
      <c r="Q33" s="53">
        <f t="shared" si="22"/>
        <v>1</v>
      </c>
      <c r="R33" s="493">
        <f t="shared" ca="1" si="23"/>
        <v>1278</v>
      </c>
      <c r="S33" s="800">
        <f t="shared" ca="1" si="11"/>
        <v>27444</v>
      </c>
      <c r="T33" s="1972" t="s">
        <v>3105</v>
      </c>
      <c r="U33" s="257">
        <v>85895.5</v>
      </c>
      <c r="V33" s="257">
        <v>2.5</v>
      </c>
      <c r="W33" s="1972">
        <f t="shared" si="25"/>
        <v>214739</v>
      </c>
      <c r="X33" s="257">
        <f t="shared" ref="X33:X36" si="26">ROUND(U33/$T$22,2)</f>
        <v>128.84</v>
      </c>
    </row>
    <row r="34" spans="1:24">
      <c r="A34" s="964"/>
      <c r="B34" s="137">
        <f t="shared" si="24"/>
        <v>2111</v>
      </c>
      <c r="C34" s="53">
        <f t="shared" si="15"/>
        <v>1</v>
      </c>
      <c r="D34" s="962" t="s">
        <v>3095</v>
      </c>
      <c r="E34" s="53">
        <f t="shared" si="16"/>
        <v>1</v>
      </c>
      <c r="F34" s="962" t="s">
        <v>2978</v>
      </c>
      <c r="G34" s="53">
        <f t="shared" si="17"/>
        <v>1</v>
      </c>
      <c r="H34" s="962" t="s">
        <v>3029</v>
      </c>
      <c r="I34" s="53">
        <f t="shared" si="18"/>
        <v>1</v>
      </c>
      <c r="J34" s="962" t="s">
        <v>3079</v>
      </c>
      <c r="K34" s="53">
        <f t="shared" si="19"/>
        <v>1.03</v>
      </c>
      <c r="L34" s="962" t="s">
        <v>3008</v>
      </c>
      <c r="M34" s="53">
        <f t="shared" si="20"/>
        <v>1</v>
      </c>
      <c r="N34" s="962" t="s">
        <v>3028</v>
      </c>
      <c r="O34" s="53">
        <f t="shared" si="21"/>
        <v>1</v>
      </c>
      <c r="P34" s="962"/>
      <c r="Q34" s="53">
        <f t="shared" si="22"/>
        <v>1</v>
      </c>
      <c r="R34" s="493">
        <f t="shared" ca="1" si="23"/>
        <v>1304</v>
      </c>
      <c r="S34" s="800">
        <f t="shared" ca="1" si="11"/>
        <v>275</v>
      </c>
      <c r="T34" s="1972" t="s">
        <v>3106</v>
      </c>
      <c r="U34" s="257">
        <v>844.5</v>
      </c>
      <c r="V34" s="257">
        <f>V33</f>
        <v>2.5</v>
      </c>
      <c r="W34" s="1972">
        <f t="shared" si="25"/>
        <v>2111</v>
      </c>
      <c r="X34" s="257">
        <f t="shared" si="26"/>
        <v>1.27</v>
      </c>
    </row>
    <row r="35" spans="1:24">
      <c r="A35" s="964"/>
      <c r="B35" s="137">
        <f t="shared" si="24"/>
        <v>407565</v>
      </c>
      <c r="C35" s="53">
        <f>IF(B35="",1,(LOOKUP(B35,$3:$3,$4:$4)-LOOKUP($B$24,$3:$3,$4:$4)+100)/100)</f>
        <v>1</v>
      </c>
      <c r="D35" s="962" t="s">
        <v>3095</v>
      </c>
      <c r="E35" s="53">
        <f t="shared" si="16"/>
        <v>1</v>
      </c>
      <c r="F35" s="962" t="s">
        <v>2978</v>
      </c>
      <c r="G35" s="53">
        <f t="shared" si="17"/>
        <v>1</v>
      </c>
      <c r="H35" s="962" t="s">
        <v>3029</v>
      </c>
      <c r="I35" s="53">
        <f t="shared" si="18"/>
        <v>1</v>
      </c>
      <c r="J35" s="962" t="s">
        <v>3088</v>
      </c>
      <c r="K35" s="53">
        <f t="shared" si="19"/>
        <v>0.98</v>
      </c>
      <c r="L35" s="962" t="s">
        <v>3008</v>
      </c>
      <c r="M35" s="53">
        <f t="shared" si="20"/>
        <v>1</v>
      </c>
      <c r="N35" s="962" t="s">
        <v>3028</v>
      </c>
      <c r="O35" s="53">
        <f t="shared" si="21"/>
        <v>1</v>
      </c>
      <c r="P35" s="962"/>
      <c r="Q35" s="53">
        <f t="shared" si="22"/>
        <v>1</v>
      </c>
      <c r="R35" s="493">
        <f ca="1">IF(B35="",0,ROUND($R$24*C35*E35*G35*I35*K35*M35*O35*Q35,0))</f>
        <v>1241</v>
      </c>
      <c r="S35" s="800">
        <f ca="1">ROUND(R35*B35/10000,0)</f>
        <v>50579</v>
      </c>
      <c r="T35" s="1972" t="s">
        <v>3107</v>
      </c>
      <c r="U35" s="257">
        <v>163026</v>
      </c>
      <c r="V35" s="257">
        <v>2.5</v>
      </c>
      <c r="W35" s="1972">
        <f t="shared" si="25"/>
        <v>407565</v>
      </c>
      <c r="X35" s="257">
        <f t="shared" si="26"/>
        <v>244.54</v>
      </c>
    </row>
    <row r="36" spans="1:24">
      <c r="A36" s="964"/>
      <c r="B36" s="137">
        <f t="shared" si="24"/>
        <v>255935</v>
      </c>
      <c r="C36" s="53">
        <f t="shared" si="15"/>
        <v>1</v>
      </c>
      <c r="D36" s="962" t="s">
        <v>3095</v>
      </c>
      <c r="E36" s="53">
        <f t="shared" si="16"/>
        <v>1</v>
      </c>
      <c r="F36" s="962" t="s">
        <v>2978</v>
      </c>
      <c r="G36" s="53">
        <f t="shared" si="17"/>
        <v>1</v>
      </c>
      <c r="H36" s="962" t="s">
        <v>3029</v>
      </c>
      <c r="I36" s="53">
        <f t="shared" si="18"/>
        <v>1</v>
      </c>
      <c r="J36" s="962" t="s">
        <v>3086</v>
      </c>
      <c r="K36" s="53">
        <f t="shared" si="19"/>
        <v>0.99</v>
      </c>
      <c r="L36" s="962" t="s">
        <v>3006</v>
      </c>
      <c r="M36" s="53">
        <f t="shared" si="20"/>
        <v>1.01</v>
      </c>
      <c r="N36" s="962" t="s">
        <v>3028</v>
      </c>
      <c r="O36" s="53">
        <f t="shared" si="21"/>
        <v>1</v>
      </c>
      <c r="P36" s="962"/>
      <c r="Q36" s="53">
        <f t="shared" si="22"/>
        <v>1</v>
      </c>
      <c r="R36" s="493">
        <f t="shared" ca="1" si="23"/>
        <v>1266</v>
      </c>
      <c r="S36" s="800">
        <f t="shared" ca="1" si="11"/>
        <v>32401</v>
      </c>
      <c r="T36" s="1972" t="s">
        <v>3108</v>
      </c>
      <c r="U36" s="257">
        <v>102374</v>
      </c>
      <c r="V36" s="257">
        <v>2.5</v>
      </c>
      <c r="W36" s="1972">
        <f t="shared" si="25"/>
        <v>255935</v>
      </c>
      <c r="X36" s="257">
        <f t="shared" si="26"/>
        <v>153.56</v>
      </c>
    </row>
    <row r="37" spans="1:24">
      <c r="A37" s="964"/>
      <c r="B37" s="137"/>
      <c r="C37" s="53">
        <f t="shared" si="15"/>
        <v>1</v>
      </c>
      <c r="D37" s="962"/>
      <c r="E37" s="53">
        <f t="shared" si="16"/>
        <v>0.04</v>
      </c>
      <c r="F37" s="962"/>
      <c r="G37" s="53">
        <f t="shared" si="17"/>
        <v>0</v>
      </c>
      <c r="H37" s="962"/>
      <c r="I37" s="53">
        <f t="shared" si="18"/>
        <v>0</v>
      </c>
      <c r="J37" s="962"/>
      <c r="K37" s="53">
        <f t="shared" si="19"/>
        <v>0.03</v>
      </c>
      <c r="L37" s="962"/>
      <c r="M37" s="53">
        <f t="shared" si="20"/>
        <v>0.03</v>
      </c>
      <c r="N37" s="962"/>
      <c r="O37" s="53">
        <f t="shared" si="21"/>
        <v>7.0000000000000007E-2</v>
      </c>
      <c r="P37" s="962"/>
      <c r="Q37" s="53">
        <f t="shared" si="22"/>
        <v>1</v>
      </c>
      <c r="R37" s="493">
        <f t="shared" si="23"/>
        <v>0</v>
      </c>
      <c r="S37" s="800">
        <f t="shared" si="11"/>
        <v>0</v>
      </c>
      <c r="W37" s="1972"/>
    </row>
    <row r="38" spans="1:24">
      <c r="A38" s="964"/>
      <c r="B38" s="137"/>
      <c r="C38" s="53">
        <f t="shared" si="15"/>
        <v>1</v>
      </c>
      <c r="D38" s="962"/>
      <c r="E38" s="53">
        <f t="shared" si="16"/>
        <v>0.04</v>
      </c>
      <c r="F38" s="962"/>
      <c r="G38" s="53">
        <f t="shared" si="17"/>
        <v>0</v>
      </c>
      <c r="H38" s="962"/>
      <c r="I38" s="53">
        <f t="shared" si="18"/>
        <v>0</v>
      </c>
      <c r="J38" s="962"/>
      <c r="K38" s="53">
        <f t="shared" si="19"/>
        <v>0.03</v>
      </c>
      <c r="L38" s="962"/>
      <c r="M38" s="53">
        <f t="shared" si="20"/>
        <v>0.03</v>
      </c>
      <c r="N38" s="962"/>
      <c r="O38" s="53">
        <f t="shared" si="21"/>
        <v>7.0000000000000007E-2</v>
      </c>
      <c r="P38" s="962"/>
      <c r="Q38" s="53">
        <f t="shared" si="22"/>
        <v>1</v>
      </c>
      <c r="R38" s="493">
        <f t="shared" si="23"/>
        <v>0</v>
      </c>
      <c r="S38" s="800">
        <f t="shared" si="11"/>
        <v>0</v>
      </c>
    </row>
    <row r="39" spans="1:24">
      <c r="A39" s="964"/>
      <c r="B39" s="137"/>
      <c r="C39" s="53">
        <f t="shared" si="15"/>
        <v>1</v>
      </c>
      <c r="D39" s="962"/>
      <c r="E39" s="53">
        <f t="shared" si="16"/>
        <v>0.04</v>
      </c>
      <c r="F39" s="962"/>
      <c r="G39" s="53">
        <f t="shared" si="17"/>
        <v>0</v>
      </c>
      <c r="H39" s="962"/>
      <c r="I39" s="53">
        <f t="shared" si="18"/>
        <v>0</v>
      </c>
      <c r="J39" s="962"/>
      <c r="K39" s="53">
        <f t="shared" si="19"/>
        <v>0.03</v>
      </c>
      <c r="L39" s="962"/>
      <c r="M39" s="53">
        <f t="shared" si="20"/>
        <v>0.03</v>
      </c>
      <c r="N39" s="962"/>
      <c r="O39" s="53">
        <f t="shared" si="21"/>
        <v>7.0000000000000007E-2</v>
      </c>
      <c r="P39" s="962"/>
      <c r="Q39" s="53">
        <f t="shared" si="22"/>
        <v>1</v>
      </c>
      <c r="R39" s="493">
        <f t="shared" si="23"/>
        <v>0</v>
      </c>
      <c r="S39" s="800">
        <f t="shared" si="11"/>
        <v>0</v>
      </c>
    </row>
    <row r="40" spans="1:24">
      <c r="A40" s="964"/>
      <c r="B40" s="137"/>
      <c r="C40" s="53">
        <f t="shared" si="15"/>
        <v>1</v>
      </c>
      <c r="D40" s="962"/>
      <c r="E40" s="53">
        <f t="shared" si="16"/>
        <v>0.04</v>
      </c>
      <c r="F40" s="962"/>
      <c r="G40" s="53">
        <f t="shared" si="17"/>
        <v>0</v>
      </c>
      <c r="H40" s="962"/>
      <c r="I40" s="53">
        <f t="shared" si="18"/>
        <v>0</v>
      </c>
      <c r="J40" s="962"/>
      <c r="K40" s="53">
        <f t="shared" si="19"/>
        <v>0.03</v>
      </c>
      <c r="L40" s="962"/>
      <c r="M40" s="53">
        <f t="shared" si="20"/>
        <v>0.03</v>
      </c>
      <c r="N40" s="962"/>
      <c r="O40" s="53">
        <f t="shared" si="21"/>
        <v>7.0000000000000007E-2</v>
      </c>
      <c r="P40" s="962"/>
      <c r="Q40" s="53">
        <f t="shared" si="22"/>
        <v>1</v>
      </c>
      <c r="R40" s="493">
        <f t="shared" si="23"/>
        <v>0</v>
      </c>
      <c r="S40" s="800">
        <f t="shared" si="11"/>
        <v>0</v>
      </c>
    </row>
    <row r="41" spans="1:24">
      <c r="A41" s="964"/>
      <c r="B41" s="137"/>
      <c r="C41" s="53">
        <f t="shared" si="15"/>
        <v>1</v>
      </c>
      <c r="D41" s="962"/>
      <c r="E41" s="53">
        <f t="shared" si="16"/>
        <v>0.04</v>
      </c>
      <c r="F41" s="962"/>
      <c r="G41" s="53">
        <f t="shared" si="17"/>
        <v>0</v>
      </c>
      <c r="H41" s="962"/>
      <c r="I41" s="53">
        <f t="shared" si="18"/>
        <v>0</v>
      </c>
      <c r="J41" s="962"/>
      <c r="K41" s="53">
        <f t="shared" si="19"/>
        <v>0.03</v>
      </c>
      <c r="L41" s="962"/>
      <c r="M41" s="53">
        <f t="shared" si="20"/>
        <v>0.03</v>
      </c>
      <c r="N41" s="962"/>
      <c r="O41" s="53">
        <f t="shared" si="21"/>
        <v>7.0000000000000007E-2</v>
      </c>
      <c r="P41" s="962"/>
      <c r="Q41" s="53">
        <f t="shared" si="22"/>
        <v>1</v>
      </c>
      <c r="R41" s="493">
        <f t="shared" si="23"/>
        <v>0</v>
      </c>
      <c r="S41" s="800">
        <f t="shared" si="11"/>
        <v>0</v>
      </c>
    </row>
    <row r="42" spans="1:24">
      <c r="A42" s="964"/>
      <c r="B42" s="137"/>
      <c r="C42" s="53">
        <f t="shared" si="15"/>
        <v>1</v>
      </c>
      <c r="D42" s="962"/>
      <c r="E42" s="53">
        <f t="shared" si="16"/>
        <v>0.04</v>
      </c>
      <c r="F42" s="962"/>
      <c r="G42" s="53">
        <f t="shared" si="17"/>
        <v>0</v>
      </c>
      <c r="H42" s="962"/>
      <c r="I42" s="53">
        <f t="shared" si="18"/>
        <v>0</v>
      </c>
      <c r="J42" s="962"/>
      <c r="K42" s="53">
        <f t="shared" si="19"/>
        <v>0.03</v>
      </c>
      <c r="L42" s="962"/>
      <c r="M42" s="53">
        <f t="shared" si="20"/>
        <v>0.03</v>
      </c>
      <c r="N42" s="962"/>
      <c r="O42" s="53">
        <f t="shared" si="21"/>
        <v>7.0000000000000007E-2</v>
      </c>
      <c r="P42" s="962"/>
      <c r="Q42" s="53">
        <f t="shared" si="22"/>
        <v>1</v>
      </c>
      <c r="R42" s="493">
        <f t="shared" si="23"/>
        <v>0</v>
      </c>
      <c r="S42" s="800">
        <f t="shared" si="11"/>
        <v>0</v>
      </c>
    </row>
    <row r="43" spans="1:24">
      <c r="A43" s="964"/>
      <c r="B43" s="137"/>
      <c r="C43" s="53">
        <f t="shared" si="15"/>
        <v>1</v>
      </c>
      <c r="D43" s="962"/>
      <c r="E43" s="53">
        <f t="shared" si="16"/>
        <v>0.04</v>
      </c>
      <c r="F43" s="962"/>
      <c r="G43" s="53">
        <f t="shared" si="17"/>
        <v>0</v>
      </c>
      <c r="H43" s="962"/>
      <c r="I43" s="53">
        <f t="shared" si="18"/>
        <v>0</v>
      </c>
      <c r="J43" s="962"/>
      <c r="K43" s="53">
        <f t="shared" si="19"/>
        <v>0.03</v>
      </c>
      <c r="L43" s="962"/>
      <c r="M43" s="53">
        <f t="shared" si="20"/>
        <v>0.03</v>
      </c>
      <c r="N43" s="962"/>
      <c r="O43" s="53">
        <f t="shared" si="21"/>
        <v>7.0000000000000007E-2</v>
      </c>
      <c r="P43" s="962"/>
      <c r="Q43" s="53">
        <f t="shared" si="22"/>
        <v>1</v>
      </c>
      <c r="R43" s="493">
        <f t="shared" si="23"/>
        <v>0</v>
      </c>
      <c r="S43" s="800">
        <f t="shared" si="11"/>
        <v>0</v>
      </c>
    </row>
    <row r="44" spans="1:24">
      <c r="A44" s="964"/>
      <c r="B44" s="137"/>
      <c r="C44" s="53">
        <f t="shared" si="15"/>
        <v>1</v>
      </c>
      <c r="D44" s="962"/>
      <c r="E44" s="53">
        <f t="shared" si="16"/>
        <v>0.04</v>
      </c>
      <c r="F44" s="962"/>
      <c r="G44" s="53">
        <f t="shared" si="17"/>
        <v>0</v>
      </c>
      <c r="H44" s="962"/>
      <c r="I44" s="53">
        <f t="shared" si="18"/>
        <v>0</v>
      </c>
      <c r="J44" s="962"/>
      <c r="K44" s="53">
        <f t="shared" si="19"/>
        <v>0.03</v>
      </c>
      <c r="L44" s="962"/>
      <c r="M44" s="53">
        <f t="shared" si="20"/>
        <v>0.03</v>
      </c>
      <c r="N44" s="962"/>
      <c r="O44" s="53">
        <f t="shared" si="21"/>
        <v>7.0000000000000007E-2</v>
      </c>
      <c r="P44" s="962"/>
      <c r="Q44" s="53">
        <f t="shared" si="22"/>
        <v>1</v>
      </c>
      <c r="R44" s="493">
        <f t="shared" si="23"/>
        <v>0</v>
      </c>
      <c r="S44" s="800">
        <f t="shared" si="11"/>
        <v>0</v>
      </c>
    </row>
    <row r="45" spans="1:24">
      <c r="A45" s="964"/>
      <c r="B45" s="137"/>
      <c r="C45" s="53">
        <f t="shared" si="15"/>
        <v>1</v>
      </c>
      <c r="D45" s="962"/>
      <c r="E45" s="53">
        <f t="shared" si="16"/>
        <v>0.04</v>
      </c>
      <c r="F45" s="962"/>
      <c r="G45" s="53">
        <f t="shared" si="17"/>
        <v>0</v>
      </c>
      <c r="H45" s="962"/>
      <c r="I45" s="53">
        <f t="shared" si="18"/>
        <v>0</v>
      </c>
      <c r="J45" s="962"/>
      <c r="K45" s="53">
        <f t="shared" si="19"/>
        <v>0.03</v>
      </c>
      <c r="L45" s="962"/>
      <c r="M45" s="53">
        <f t="shared" si="20"/>
        <v>0.03</v>
      </c>
      <c r="N45" s="962"/>
      <c r="O45" s="53">
        <f t="shared" si="21"/>
        <v>7.0000000000000007E-2</v>
      </c>
      <c r="P45" s="962"/>
      <c r="Q45" s="53">
        <f t="shared" si="22"/>
        <v>1</v>
      </c>
      <c r="R45" s="493">
        <f t="shared" si="23"/>
        <v>0</v>
      </c>
      <c r="S45" s="800">
        <f t="shared" si="11"/>
        <v>0</v>
      </c>
    </row>
    <row r="46" spans="1:24">
      <c r="A46" s="964"/>
      <c r="B46" s="137"/>
      <c r="C46" s="53">
        <f t="shared" si="15"/>
        <v>1</v>
      </c>
      <c r="D46" s="962"/>
      <c r="E46" s="53">
        <f t="shared" si="16"/>
        <v>0.04</v>
      </c>
      <c r="F46" s="962"/>
      <c r="G46" s="53">
        <f t="shared" si="17"/>
        <v>0</v>
      </c>
      <c r="H46" s="962"/>
      <c r="I46" s="53">
        <f t="shared" si="18"/>
        <v>0</v>
      </c>
      <c r="J46" s="962"/>
      <c r="K46" s="53">
        <f t="shared" si="19"/>
        <v>0.03</v>
      </c>
      <c r="L46" s="962"/>
      <c r="M46" s="53">
        <f t="shared" si="20"/>
        <v>0.03</v>
      </c>
      <c r="N46" s="962"/>
      <c r="O46" s="53">
        <f t="shared" si="21"/>
        <v>7.0000000000000007E-2</v>
      </c>
      <c r="P46" s="962"/>
      <c r="Q46" s="53">
        <f t="shared" si="22"/>
        <v>1</v>
      </c>
      <c r="R46" s="493">
        <f t="shared" si="23"/>
        <v>0</v>
      </c>
      <c r="S46" s="800">
        <f t="shared" si="11"/>
        <v>0</v>
      </c>
    </row>
    <row r="47" spans="1:24">
      <c r="A47" s="964"/>
      <c r="B47" s="137"/>
      <c r="C47" s="53">
        <f t="shared" si="15"/>
        <v>1</v>
      </c>
      <c r="D47" s="962"/>
      <c r="E47" s="53">
        <f t="shared" si="16"/>
        <v>0.04</v>
      </c>
      <c r="F47" s="962"/>
      <c r="G47" s="53">
        <f t="shared" si="17"/>
        <v>0</v>
      </c>
      <c r="H47" s="962"/>
      <c r="I47" s="53">
        <f t="shared" si="18"/>
        <v>0</v>
      </c>
      <c r="J47" s="962"/>
      <c r="K47" s="53">
        <f t="shared" si="19"/>
        <v>0.03</v>
      </c>
      <c r="L47" s="962"/>
      <c r="M47" s="53">
        <f t="shared" si="20"/>
        <v>0.03</v>
      </c>
      <c r="N47" s="962"/>
      <c r="O47" s="53">
        <f t="shared" si="21"/>
        <v>7.0000000000000007E-2</v>
      </c>
      <c r="P47" s="962"/>
      <c r="Q47" s="53">
        <f t="shared" si="22"/>
        <v>1</v>
      </c>
      <c r="R47" s="493">
        <f t="shared" si="23"/>
        <v>0</v>
      </c>
      <c r="S47" s="800">
        <f t="shared" si="11"/>
        <v>0</v>
      </c>
    </row>
    <row r="48" spans="1:24">
      <c r="A48" s="964"/>
      <c r="B48" s="137"/>
      <c r="C48" s="53">
        <f t="shared" si="15"/>
        <v>1</v>
      </c>
      <c r="D48" s="962"/>
      <c r="E48" s="53">
        <f t="shared" si="16"/>
        <v>0.04</v>
      </c>
      <c r="F48" s="962"/>
      <c r="G48" s="53">
        <f t="shared" si="17"/>
        <v>0</v>
      </c>
      <c r="H48" s="962"/>
      <c r="I48" s="53">
        <f t="shared" si="18"/>
        <v>0</v>
      </c>
      <c r="J48" s="962"/>
      <c r="K48" s="53">
        <f t="shared" si="19"/>
        <v>0.03</v>
      </c>
      <c r="L48" s="962"/>
      <c r="M48" s="53">
        <f t="shared" si="20"/>
        <v>0.03</v>
      </c>
      <c r="N48" s="962"/>
      <c r="O48" s="53">
        <f t="shared" si="21"/>
        <v>7.0000000000000007E-2</v>
      </c>
      <c r="P48" s="962"/>
      <c r="Q48" s="53">
        <f t="shared" si="22"/>
        <v>1</v>
      </c>
      <c r="R48" s="493">
        <f t="shared" si="23"/>
        <v>0</v>
      </c>
      <c r="S48" s="800">
        <f t="shared" si="11"/>
        <v>0</v>
      </c>
    </row>
    <row r="49" spans="1:19">
      <c r="A49" s="964"/>
      <c r="B49" s="137"/>
      <c r="C49" s="53">
        <f t="shared" si="15"/>
        <v>1</v>
      </c>
      <c r="D49" s="962"/>
      <c r="E49" s="53">
        <f t="shared" si="16"/>
        <v>0.04</v>
      </c>
      <c r="F49" s="962"/>
      <c r="G49" s="53">
        <f t="shared" si="17"/>
        <v>0</v>
      </c>
      <c r="H49" s="962"/>
      <c r="I49" s="53">
        <f t="shared" si="18"/>
        <v>0</v>
      </c>
      <c r="J49" s="962"/>
      <c r="K49" s="53">
        <f t="shared" si="19"/>
        <v>0.03</v>
      </c>
      <c r="L49" s="962"/>
      <c r="M49" s="53">
        <f t="shared" si="20"/>
        <v>0.03</v>
      </c>
      <c r="N49" s="962"/>
      <c r="O49" s="53">
        <f t="shared" si="21"/>
        <v>7.0000000000000007E-2</v>
      </c>
      <c r="P49" s="962"/>
      <c r="Q49" s="53">
        <f t="shared" si="22"/>
        <v>1</v>
      </c>
      <c r="R49" s="493">
        <f t="shared" si="23"/>
        <v>0</v>
      </c>
      <c r="S49" s="800">
        <f t="shared" si="11"/>
        <v>0</v>
      </c>
    </row>
    <row r="50" spans="1:19">
      <c r="A50" s="964"/>
      <c r="B50" s="137"/>
      <c r="C50" s="53">
        <f t="shared" si="15"/>
        <v>1</v>
      </c>
      <c r="D50" s="962"/>
      <c r="E50" s="53">
        <f t="shared" si="16"/>
        <v>0.04</v>
      </c>
      <c r="F50" s="962"/>
      <c r="G50" s="53">
        <f t="shared" si="17"/>
        <v>0</v>
      </c>
      <c r="H50" s="962"/>
      <c r="I50" s="53">
        <f t="shared" si="18"/>
        <v>0</v>
      </c>
      <c r="J50" s="962"/>
      <c r="K50" s="53">
        <f t="shared" si="19"/>
        <v>0.03</v>
      </c>
      <c r="L50" s="962"/>
      <c r="M50" s="53">
        <f t="shared" si="20"/>
        <v>0.03</v>
      </c>
      <c r="N50" s="962"/>
      <c r="O50" s="53">
        <f t="shared" si="21"/>
        <v>7.0000000000000007E-2</v>
      </c>
      <c r="P50" s="962"/>
      <c r="Q50" s="53">
        <f t="shared" si="22"/>
        <v>1</v>
      </c>
      <c r="R50" s="493">
        <f t="shared" si="23"/>
        <v>0</v>
      </c>
      <c r="S50" s="800">
        <f t="shared" si="11"/>
        <v>0</v>
      </c>
    </row>
    <row r="51" spans="1:19">
      <c r="A51" s="964"/>
      <c r="B51" s="137"/>
      <c r="C51" s="53">
        <f t="shared" si="15"/>
        <v>1</v>
      </c>
      <c r="D51" s="962"/>
      <c r="E51" s="53">
        <f t="shared" si="16"/>
        <v>0.04</v>
      </c>
      <c r="F51" s="962"/>
      <c r="G51" s="53">
        <f t="shared" si="17"/>
        <v>0</v>
      </c>
      <c r="H51" s="962"/>
      <c r="I51" s="53">
        <f t="shared" si="18"/>
        <v>0</v>
      </c>
      <c r="J51" s="962"/>
      <c r="K51" s="53">
        <f t="shared" si="19"/>
        <v>0.03</v>
      </c>
      <c r="L51" s="962"/>
      <c r="M51" s="53">
        <f t="shared" si="20"/>
        <v>0.03</v>
      </c>
      <c r="N51" s="962"/>
      <c r="O51" s="53">
        <f t="shared" si="21"/>
        <v>7.0000000000000007E-2</v>
      </c>
      <c r="P51" s="962"/>
      <c r="Q51" s="53">
        <f t="shared" si="22"/>
        <v>1</v>
      </c>
      <c r="R51" s="493">
        <f t="shared" si="23"/>
        <v>0</v>
      </c>
      <c r="S51" s="800">
        <f t="shared" si="11"/>
        <v>0</v>
      </c>
    </row>
    <row r="52" spans="1:19">
      <c r="A52" s="964"/>
      <c r="B52" s="137"/>
      <c r="C52" s="53">
        <f t="shared" si="15"/>
        <v>1</v>
      </c>
      <c r="D52" s="962"/>
      <c r="E52" s="53">
        <f t="shared" si="16"/>
        <v>0.04</v>
      </c>
      <c r="F52" s="962"/>
      <c r="G52" s="53">
        <f t="shared" si="17"/>
        <v>0</v>
      </c>
      <c r="H52" s="962"/>
      <c r="I52" s="53">
        <f t="shared" si="18"/>
        <v>0</v>
      </c>
      <c r="J52" s="962"/>
      <c r="K52" s="53">
        <f t="shared" si="19"/>
        <v>0.03</v>
      </c>
      <c r="L52" s="962"/>
      <c r="M52" s="53">
        <f t="shared" si="20"/>
        <v>0.03</v>
      </c>
      <c r="N52" s="962"/>
      <c r="O52" s="53">
        <f t="shared" si="21"/>
        <v>7.0000000000000007E-2</v>
      </c>
      <c r="P52" s="962"/>
      <c r="Q52" s="53">
        <f t="shared" si="22"/>
        <v>1</v>
      </c>
      <c r="R52" s="493">
        <f t="shared" si="23"/>
        <v>0</v>
      </c>
      <c r="S52" s="800">
        <f t="shared" si="11"/>
        <v>0</v>
      </c>
    </row>
    <row r="53" spans="1:19">
      <c r="A53" s="964"/>
      <c r="B53" s="137"/>
      <c r="C53" s="53">
        <f t="shared" si="15"/>
        <v>1</v>
      </c>
      <c r="D53" s="962"/>
      <c r="E53" s="53">
        <f t="shared" si="16"/>
        <v>0.04</v>
      </c>
      <c r="F53" s="962"/>
      <c r="G53" s="53">
        <f t="shared" si="17"/>
        <v>0</v>
      </c>
      <c r="H53" s="962"/>
      <c r="I53" s="53">
        <f t="shared" si="18"/>
        <v>0</v>
      </c>
      <c r="J53" s="962"/>
      <c r="K53" s="53">
        <f t="shared" si="19"/>
        <v>0.03</v>
      </c>
      <c r="L53" s="962"/>
      <c r="M53" s="53">
        <f t="shared" si="20"/>
        <v>0.03</v>
      </c>
      <c r="N53" s="962"/>
      <c r="O53" s="53">
        <f t="shared" si="21"/>
        <v>7.0000000000000007E-2</v>
      </c>
      <c r="P53" s="962"/>
      <c r="Q53" s="53">
        <f t="shared" si="22"/>
        <v>1</v>
      </c>
      <c r="R53" s="493">
        <f t="shared" si="23"/>
        <v>0</v>
      </c>
      <c r="S53" s="800">
        <f t="shared" si="11"/>
        <v>0</v>
      </c>
    </row>
    <row r="54" spans="1:19">
      <c r="A54" s="964"/>
      <c r="B54" s="137"/>
      <c r="C54" s="53">
        <f t="shared" si="15"/>
        <v>1</v>
      </c>
      <c r="D54" s="962"/>
      <c r="E54" s="53">
        <f t="shared" si="16"/>
        <v>0.04</v>
      </c>
      <c r="F54" s="962"/>
      <c r="G54" s="53">
        <f t="shared" si="17"/>
        <v>0</v>
      </c>
      <c r="H54" s="962"/>
      <c r="I54" s="53">
        <f t="shared" si="18"/>
        <v>0</v>
      </c>
      <c r="J54" s="962"/>
      <c r="K54" s="53">
        <f t="shared" si="19"/>
        <v>0.03</v>
      </c>
      <c r="L54" s="962"/>
      <c r="M54" s="53">
        <f t="shared" si="20"/>
        <v>0.03</v>
      </c>
      <c r="N54" s="962"/>
      <c r="O54" s="53">
        <f t="shared" si="21"/>
        <v>7.0000000000000007E-2</v>
      </c>
      <c r="P54" s="962"/>
      <c r="Q54" s="53">
        <f t="shared" si="22"/>
        <v>1</v>
      </c>
      <c r="R54" s="493">
        <f t="shared" si="23"/>
        <v>0</v>
      </c>
      <c r="S54" s="800">
        <f t="shared" si="11"/>
        <v>0</v>
      </c>
    </row>
    <row r="55" spans="1:19">
      <c r="A55" s="964"/>
      <c r="B55" s="137"/>
      <c r="C55" s="53">
        <f t="shared" si="15"/>
        <v>1</v>
      </c>
      <c r="D55" s="962"/>
      <c r="E55" s="53">
        <f t="shared" si="16"/>
        <v>0.04</v>
      </c>
      <c r="F55" s="962"/>
      <c r="G55" s="53">
        <f t="shared" si="17"/>
        <v>0</v>
      </c>
      <c r="H55" s="962"/>
      <c r="I55" s="53">
        <f t="shared" si="18"/>
        <v>0</v>
      </c>
      <c r="J55" s="962"/>
      <c r="K55" s="53">
        <f t="shared" si="19"/>
        <v>0.03</v>
      </c>
      <c r="L55" s="962"/>
      <c r="M55" s="53">
        <f t="shared" si="20"/>
        <v>0.03</v>
      </c>
      <c r="N55" s="962"/>
      <c r="O55" s="53">
        <f t="shared" si="21"/>
        <v>7.0000000000000007E-2</v>
      </c>
      <c r="P55" s="962"/>
      <c r="Q55" s="53">
        <f t="shared" si="22"/>
        <v>1</v>
      </c>
      <c r="R55" s="493">
        <f t="shared" si="23"/>
        <v>0</v>
      </c>
      <c r="S55" s="800">
        <f t="shared" ref="S55:S77" si="27">ROUND(R55*B55/10000,0)</f>
        <v>0</v>
      </c>
    </row>
    <row r="56" spans="1:19">
      <c r="A56" s="964"/>
      <c r="B56" s="137"/>
      <c r="C56" s="53">
        <f t="shared" si="15"/>
        <v>1</v>
      </c>
      <c r="D56" s="962"/>
      <c r="E56" s="53">
        <f t="shared" si="16"/>
        <v>0.04</v>
      </c>
      <c r="F56" s="962"/>
      <c r="G56" s="53">
        <f t="shared" si="17"/>
        <v>0</v>
      </c>
      <c r="H56" s="962"/>
      <c r="I56" s="53">
        <f t="shared" si="18"/>
        <v>0</v>
      </c>
      <c r="J56" s="962"/>
      <c r="K56" s="53">
        <f t="shared" si="19"/>
        <v>0.03</v>
      </c>
      <c r="L56" s="962"/>
      <c r="M56" s="53">
        <f t="shared" si="20"/>
        <v>0.03</v>
      </c>
      <c r="N56" s="962"/>
      <c r="O56" s="53">
        <f t="shared" si="21"/>
        <v>7.0000000000000007E-2</v>
      </c>
      <c r="P56" s="962"/>
      <c r="Q56" s="53">
        <f t="shared" si="22"/>
        <v>1</v>
      </c>
      <c r="R56" s="493">
        <f t="shared" si="23"/>
        <v>0</v>
      </c>
      <c r="S56" s="800">
        <f t="shared" si="27"/>
        <v>0</v>
      </c>
    </row>
    <row r="57" spans="1:19">
      <c r="A57" s="964"/>
      <c r="B57" s="137"/>
      <c r="C57" s="53">
        <f t="shared" si="15"/>
        <v>1</v>
      </c>
      <c r="D57" s="962"/>
      <c r="E57" s="53">
        <f t="shared" si="16"/>
        <v>0.04</v>
      </c>
      <c r="F57" s="962"/>
      <c r="G57" s="53">
        <f t="shared" si="17"/>
        <v>0</v>
      </c>
      <c r="H57" s="962"/>
      <c r="I57" s="53">
        <f t="shared" si="18"/>
        <v>0</v>
      </c>
      <c r="J57" s="962"/>
      <c r="K57" s="53">
        <f t="shared" si="19"/>
        <v>0.03</v>
      </c>
      <c r="L57" s="962"/>
      <c r="M57" s="53">
        <f t="shared" si="20"/>
        <v>0.03</v>
      </c>
      <c r="N57" s="962"/>
      <c r="O57" s="53">
        <f t="shared" si="21"/>
        <v>7.0000000000000007E-2</v>
      </c>
      <c r="P57" s="962"/>
      <c r="Q57" s="53">
        <f t="shared" si="22"/>
        <v>1</v>
      </c>
      <c r="R57" s="493">
        <f t="shared" si="23"/>
        <v>0</v>
      </c>
      <c r="S57" s="800">
        <f t="shared" si="27"/>
        <v>0</v>
      </c>
    </row>
    <row r="58" spans="1:19">
      <c r="A58" s="964"/>
      <c r="B58" s="137"/>
      <c r="C58" s="53">
        <f t="shared" si="15"/>
        <v>1</v>
      </c>
      <c r="D58" s="962"/>
      <c r="E58" s="53">
        <f t="shared" si="16"/>
        <v>0.04</v>
      </c>
      <c r="F58" s="962"/>
      <c r="G58" s="53">
        <f t="shared" si="17"/>
        <v>0</v>
      </c>
      <c r="H58" s="962"/>
      <c r="I58" s="53">
        <f t="shared" si="18"/>
        <v>0</v>
      </c>
      <c r="J58" s="962"/>
      <c r="K58" s="53">
        <f t="shared" si="19"/>
        <v>0.03</v>
      </c>
      <c r="L58" s="962"/>
      <c r="M58" s="53">
        <f t="shared" si="20"/>
        <v>0.03</v>
      </c>
      <c r="N58" s="962"/>
      <c r="O58" s="53">
        <f t="shared" si="21"/>
        <v>7.0000000000000007E-2</v>
      </c>
      <c r="P58" s="962"/>
      <c r="Q58" s="53">
        <f t="shared" si="22"/>
        <v>1</v>
      </c>
      <c r="R58" s="493">
        <f t="shared" si="23"/>
        <v>0</v>
      </c>
      <c r="S58" s="800">
        <f t="shared" si="27"/>
        <v>0</v>
      </c>
    </row>
    <row r="59" spans="1:19">
      <c r="A59" s="964"/>
      <c r="B59" s="137"/>
      <c r="C59" s="53">
        <f t="shared" si="15"/>
        <v>1</v>
      </c>
      <c r="D59" s="962"/>
      <c r="E59" s="53">
        <f t="shared" si="16"/>
        <v>0.04</v>
      </c>
      <c r="F59" s="962"/>
      <c r="G59" s="53">
        <f t="shared" si="17"/>
        <v>0</v>
      </c>
      <c r="H59" s="962"/>
      <c r="I59" s="53">
        <f t="shared" si="18"/>
        <v>0</v>
      </c>
      <c r="J59" s="962"/>
      <c r="K59" s="53">
        <f t="shared" si="19"/>
        <v>0.03</v>
      </c>
      <c r="L59" s="962"/>
      <c r="M59" s="53">
        <f t="shared" si="20"/>
        <v>0.03</v>
      </c>
      <c r="N59" s="962"/>
      <c r="O59" s="53">
        <f t="shared" si="21"/>
        <v>7.0000000000000007E-2</v>
      </c>
      <c r="P59" s="962"/>
      <c r="Q59" s="53">
        <f t="shared" si="22"/>
        <v>1</v>
      </c>
      <c r="R59" s="493">
        <f t="shared" si="23"/>
        <v>0</v>
      </c>
      <c r="S59" s="800">
        <f t="shared" si="27"/>
        <v>0</v>
      </c>
    </row>
    <row r="60" spans="1:19">
      <c r="A60" s="964"/>
      <c r="B60" s="137"/>
      <c r="C60" s="53">
        <f t="shared" si="15"/>
        <v>1</v>
      </c>
      <c r="D60" s="962"/>
      <c r="E60" s="53">
        <f t="shared" si="16"/>
        <v>0.04</v>
      </c>
      <c r="F60" s="962"/>
      <c r="G60" s="53">
        <f t="shared" si="17"/>
        <v>0</v>
      </c>
      <c r="H60" s="962"/>
      <c r="I60" s="53">
        <f t="shared" si="18"/>
        <v>0</v>
      </c>
      <c r="J60" s="962"/>
      <c r="K60" s="53">
        <f t="shared" si="19"/>
        <v>0.03</v>
      </c>
      <c r="L60" s="962"/>
      <c r="M60" s="53">
        <f t="shared" si="20"/>
        <v>0.03</v>
      </c>
      <c r="N60" s="962"/>
      <c r="O60" s="53">
        <f t="shared" si="21"/>
        <v>7.0000000000000007E-2</v>
      </c>
      <c r="P60" s="962"/>
      <c r="Q60" s="53">
        <f t="shared" si="22"/>
        <v>1</v>
      </c>
      <c r="R60" s="493">
        <f t="shared" si="23"/>
        <v>0</v>
      </c>
      <c r="S60" s="800">
        <f t="shared" si="27"/>
        <v>0</v>
      </c>
    </row>
    <row r="61" spans="1:19">
      <c r="A61" s="964"/>
      <c r="B61" s="137"/>
      <c r="C61" s="53">
        <f t="shared" si="15"/>
        <v>1</v>
      </c>
      <c r="D61" s="962"/>
      <c r="E61" s="53">
        <f t="shared" si="16"/>
        <v>0.04</v>
      </c>
      <c r="F61" s="962"/>
      <c r="G61" s="53">
        <f t="shared" si="17"/>
        <v>0</v>
      </c>
      <c r="H61" s="962"/>
      <c r="I61" s="53">
        <f t="shared" si="18"/>
        <v>0</v>
      </c>
      <c r="J61" s="962"/>
      <c r="K61" s="53">
        <f t="shared" si="19"/>
        <v>0.03</v>
      </c>
      <c r="L61" s="962"/>
      <c r="M61" s="53">
        <f t="shared" si="20"/>
        <v>0.03</v>
      </c>
      <c r="N61" s="962"/>
      <c r="O61" s="53">
        <f t="shared" si="21"/>
        <v>7.0000000000000007E-2</v>
      </c>
      <c r="P61" s="962"/>
      <c r="Q61" s="53">
        <f t="shared" si="22"/>
        <v>1</v>
      </c>
      <c r="R61" s="493">
        <f t="shared" si="23"/>
        <v>0</v>
      </c>
      <c r="S61" s="800">
        <f t="shared" si="27"/>
        <v>0</v>
      </c>
    </row>
    <row r="62" spans="1:19">
      <c r="A62" s="964"/>
      <c r="B62" s="137"/>
      <c r="C62" s="53">
        <f t="shared" si="15"/>
        <v>1</v>
      </c>
      <c r="D62" s="962"/>
      <c r="E62" s="53">
        <f t="shared" si="16"/>
        <v>0.04</v>
      </c>
      <c r="F62" s="962"/>
      <c r="G62" s="53">
        <f t="shared" si="17"/>
        <v>0</v>
      </c>
      <c r="H62" s="962"/>
      <c r="I62" s="53">
        <f t="shared" si="18"/>
        <v>0</v>
      </c>
      <c r="J62" s="962"/>
      <c r="K62" s="53">
        <f t="shared" si="19"/>
        <v>0.03</v>
      </c>
      <c r="L62" s="962"/>
      <c r="M62" s="53">
        <f t="shared" si="20"/>
        <v>0.03</v>
      </c>
      <c r="N62" s="962"/>
      <c r="O62" s="53">
        <f t="shared" si="21"/>
        <v>7.0000000000000007E-2</v>
      </c>
      <c r="P62" s="962"/>
      <c r="Q62" s="53">
        <f t="shared" si="22"/>
        <v>1</v>
      </c>
      <c r="R62" s="493">
        <f t="shared" si="23"/>
        <v>0</v>
      </c>
      <c r="S62" s="800">
        <f t="shared" si="27"/>
        <v>0</v>
      </c>
    </row>
    <row r="63" spans="1:19">
      <c r="A63" s="964"/>
      <c r="B63" s="137"/>
      <c r="C63" s="53">
        <f t="shared" si="15"/>
        <v>1</v>
      </c>
      <c r="D63" s="962"/>
      <c r="E63" s="53">
        <f t="shared" si="16"/>
        <v>0.04</v>
      </c>
      <c r="F63" s="962"/>
      <c r="G63" s="53">
        <f t="shared" si="17"/>
        <v>0</v>
      </c>
      <c r="H63" s="962"/>
      <c r="I63" s="53">
        <f t="shared" si="18"/>
        <v>0</v>
      </c>
      <c r="J63" s="962"/>
      <c r="K63" s="53">
        <f t="shared" si="19"/>
        <v>0.03</v>
      </c>
      <c r="L63" s="962"/>
      <c r="M63" s="53">
        <f t="shared" si="20"/>
        <v>0.03</v>
      </c>
      <c r="N63" s="962"/>
      <c r="O63" s="53">
        <f t="shared" si="21"/>
        <v>7.0000000000000007E-2</v>
      </c>
      <c r="P63" s="962"/>
      <c r="Q63" s="53">
        <f t="shared" si="22"/>
        <v>1</v>
      </c>
      <c r="R63" s="493">
        <f t="shared" si="23"/>
        <v>0</v>
      </c>
      <c r="S63" s="800">
        <f t="shared" si="27"/>
        <v>0</v>
      </c>
    </row>
    <row r="64" spans="1:19">
      <c r="A64" s="964"/>
      <c r="B64" s="137"/>
      <c r="C64" s="53">
        <f t="shared" si="15"/>
        <v>1</v>
      </c>
      <c r="D64" s="962"/>
      <c r="E64" s="53">
        <f t="shared" si="16"/>
        <v>0.04</v>
      </c>
      <c r="F64" s="962"/>
      <c r="G64" s="53">
        <f t="shared" si="17"/>
        <v>0</v>
      </c>
      <c r="H64" s="962"/>
      <c r="I64" s="53">
        <f t="shared" si="18"/>
        <v>0</v>
      </c>
      <c r="J64" s="962"/>
      <c r="K64" s="53">
        <f t="shared" si="19"/>
        <v>0.03</v>
      </c>
      <c r="L64" s="962"/>
      <c r="M64" s="53">
        <f t="shared" si="20"/>
        <v>0.03</v>
      </c>
      <c r="N64" s="962"/>
      <c r="O64" s="53">
        <f t="shared" si="21"/>
        <v>7.0000000000000007E-2</v>
      </c>
      <c r="P64" s="962"/>
      <c r="Q64" s="53">
        <f t="shared" si="22"/>
        <v>1</v>
      </c>
      <c r="R64" s="493">
        <f t="shared" si="23"/>
        <v>0</v>
      </c>
      <c r="S64" s="800">
        <f t="shared" si="27"/>
        <v>0</v>
      </c>
    </row>
    <row r="65" spans="1:19">
      <c r="A65" s="964"/>
      <c r="B65" s="137"/>
      <c r="C65" s="53">
        <f t="shared" si="15"/>
        <v>1</v>
      </c>
      <c r="D65" s="962"/>
      <c r="E65" s="53">
        <f t="shared" si="16"/>
        <v>0.04</v>
      </c>
      <c r="F65" s="962"/>
      <c r="G65" s="53">
        <f t="shared" si="17"/>
        <v>0</v>
      </c>
      <c r="H65" s="962"/>
      <c r="I65" s="53">
        <f t="shared" si="18"/>
        <v>0</v>
      </c>
      <c r="J65" s="962"/>
      <c r="K65" s="53">
        <f t="shared" si="19"/>
        <v>0.03</v>
      </c>
      <c r="L65" s="962"/>
      <c r="M65" s="53">
        <f t="shared" si="20"/>
        <v>0.03</v>
      </c>
      <c r="N65" s="962"/>
      <c r="O65" s="53">
        <f t="shared" si="21"/>
        <v>7.0000000000000007E-2</v>
      </c>
      <c r="P65" s="962"/>
      <c r="Q65" s="53">
        <f t="shared" si="22"/>
        <v>1</v>
      </c>
      <c r="R65" s="493">
        <f t="shared" si="23"/>
        <v>0</v>
      </c>
      <c r="S65" s="800">
        <f t="shared" si="27"/>
        <v>0</v>
      </c>
    </row>
    <row r="66" spans="1:19">
      <c r="A66" s="964"/>
      <c r="B66" s="137"/>
      <c r="C66" s="53">
        <f t="shared" si="15"/>
        <v>1</v>
      </c>
      <c r="D66" s="962"/>
      <c r="E66" s="53">
        <f t="shared" si="16"/>
        <v>0.04</v>
      </c>
      <c r="F66" s="962"/>
      <c r="G66" s="53">
        <f t="shared" si="17"/>
        <v>0</v>
      </c>
      <c r="H66" s="962"/>
      <c r="I66" s="53">
        <f t="shared" si="18"/>
        <v>0</v>
      </c>
      <c r="J66" s="962"/>
      <c r="K66" s="53">
        <f t="shared" si="19"/>
        <v>0.03</v>
      </c>
      <c r="L66" s="962"/>
      <c r="M66" s="53">
        <f t="shared" si="20"/>
        <v>0.03</v>
      </c>
      <c r="N66" s="962"/>
      <c r="O66" s="53">
        <f t="shared" si="21"/>
        <v>7.0000000000000007E-2</v>
      </c>
      <c r="P66" s="962"/>
      <c r="Q66" s="53">
        <f t="shared" si="22"/>
        <v>1</v>
      </c>
      <c r="R66" s="493">
        <f t="shared" si="23"/>
        <v>0</v>
      </c>
      <c r="S66" s="800">
        <f t="shared" si="27"/>
        <v>0</v>
      </c>
    </row>
    <row r="67" spans="1:19">
      <c r="A67" s="964"/>
      <c r="B67" s="137"/>
      <c r="C67" s="53">
        <f t="shared" si="15"/>
        <v>1</v>
      </c>
      <c r="D67" s="962"/>
      <c r="E67" s="53">
        <f t="shared" si="16"/>
        <v>0.04</v>
      </c>
      <c r="F67" s="962"/>
      <c r="G67" s="53">
        <f t="shared" si="17"/>
        <v>0</v>
      </c>
      <c r="H67" s="962"/>
      <c r="I67" s="53">
        <f t="shared" si="18"/>
        <v>0</v>
      </c>
      <c r="J67" s="962"/>
      <c r="K67" s="53">
        <f t="shared" si="19"/>
        <v>0.03</v>
      </c>
      <c r="L67" s="962"/>
      <c r="M67" s="53">
        <f t="shared" si="20"/>
        <v>0.03</v>
      </c>
      <c r="N67" s="962"/>
      <c r="O67" s="53">
        <f t="shared" si="21"/>
        <v>7.0000000000000007E-2</v>
      </c>
      <c r="P67" s="962"/>
      <c r="Q67" s="53">
        <f t="shared" si="22"/>
        <v>1</v>
      </c>
      <c r="R67" s="493">
        <f t="shared" si="23"/>
        <v>0</v>
      </c>
      <c r="S67" s="800">
        <f t="shared" si="27"/>
        <v>0</v>
      </c>
    </row>
    <row r="68" spans="1:19">
      <c r="A68" s="964"/>
      <c r="B68" s="137"/>
      <c r="C68" s="53">
        <f t="shared" si="15"/>
        <v>1</v>
      </c>
      <c r="D68" s="962"/>
      <c r="E68" s="53">
        <f t="shared" si="16"/>
        <v>0.04</v>
      </c>
      <c r="F68" s="962"/>
      <c r="G68" s="53">
        <f t="shared" si="17"/>
        <v>0</v>
      </c>
      <c r="H68" s="962"/>
      <c r="I68" s="53">
        <f t="shared" si="18"/>
        <v>0</v>
      </c>
      <c r="J68" s="962"/>
      <c r="K68" s="53">
        <f t="shared" si="19"/>
        <v>0.03</v>
      </c>
      <c r="L68" s="962"/>
      <c r="M68" s="53">
        <f t="shared" si="20"/>
        <v>0.03</v>
      </c>
      <c r="N68" s="962"/>
      <c r="O68" s="53">
        <f t="shared" si="21"/>
        <v>7.0000000000000007E-2</v>
      </c>
      <c r="P68" s="962"/>
      <c r="Q68" s="53">
        <f t="shared" si="22"/>
        <v>1</v>
      </c>
      <c r="R68" s="493">
        <f t="shared" si="23"/>
        <v>0</v>
      </c>
      <c r="S68" s="800">
        <f t="shared" si="27"/>
        <v>0</v>
      </c>
    </row>
    <row r="69" spans="1:19">
      <c r="A69" s="964"/>
      <c r="B69" s="137"/>
      <c r="C69" s="53">
        <f t="shared" si="15"/>
        <v>1</v>
      </c>
      <c r="D69" s="962"/>
      <c r="E69" s="53">
        <f t="shared" si="16"/>
        <v>0.04</v>
      </c>
      <c r="F69" s="962"/>
      <c r="G69" s="53">
        <f t="shared" si="17"/>
        <v>0</v>
      </c>
      <c r="H69" s="962"/>
      <c r="I69" s="53">
        <f t="shared" si="18"/>
        <v>0</v>
      </c>
      <c r="J69" s="962"/>
      <c r="K69" s="53">
        <f t="shared" si="19"/>
        <v>0.03</v>
      </c>
      <c r="L69" s="962"/>
      <c r="M69" s="53">
        <f t="shared" si="20"/>
        <v>0.03</v>
      </c>
      <c r="N69" s="962"/>
      <c r="O69" s="53">
        <f t="shared" si="21"/>
        <v>7.0000000000000007E-2</v>
      </c>
      <c r="P69" s="962"/>
      <c r="Q69" s="53">
        <f t="shared" si="22"/>
        <v>1</v>
      </c>
      <c r="R69" s="493">
        <f t="shared" si="23"/>
        <v>0</v>
      </c>
      <c r="S69" s="800">
        <f t="shared" si="27"/>
        <v>0</v>
      </c>
    </row>
    <row r="70" spans="1:19">
      <c r="A70" s="964"/>
      <c r="B70" s="137"/>
      <c r="C70" s="53">
        <f t="shared" si="15"/>
        <v>1</v>
      </c>
      <c r="D70" s="962"/>
      <c r="E70" s="53">
        <f t="shared" si="16"/>
        <v>0.04</v>
      </c>
      <c r="F70" s="962"/>
      <c r="G70" s="53">
        <f t="shared" si="17"/>
        <v>0</v>
      </c>
      <c r="H70" s="962"/>
      <c r="I70" s="53">
        <f t="shared" si="18"/>
        <v>0</v>
      </c>
      <c r="J70" s="962"/>
      <c r="K70" s="53">
        <f t="shared" si="19"/>
        <v>0.03</v>
      </c>
      <c r="L70" s="962"/>
      <c r="M70" s="53">
        <f t="shared" si="20"/>
        <v>0.03</v>
      </c>
      <c r="N70" s="962"/>
      <c r="O70" s="53">
        <f t="shared" si="21"/>
        <v>7.0000000000000007E-2</v>
      </c>
      <c r="P70" s="962"/>
      <c r="Q70" s="53">
        <f t="shared" si="22"/>
        <v>1</v>
      </c>
      <c r="R70" s="493">
        <f t="shared" si="23"/>
        <v>0</v>
      </c>
      <c r="S70" s="800">
        <f t="shared" si="27"/>
        <v>0</v>
      </c>
    </row>
    <row r="71" spans="1:19">
      <c r="A71" s="964"/>
      <c r="B71" s="137"/>
      <c r="C71" s="53">
        <f t="shared" si="15"/>
        <v>1</v>
      </c>
      <c r="D71" s="962"/>
      <c r="E71" s="53">
        <f t="shared" si="16"/>
        <v>0.04</v>
      </c>
      <c r="F71" s="962"/>
      <c r="G71" s="53">
        <f t="shared" si="17"/>
        <v>0</v>
      </c>
      <c r="H71" s="962"/>
      <c r="I71" s="53">
        <f t="shared" si="18"/>
        <v>0</v>
      </c>
      <c r="J71" s="962"/>
      <c r="K71" s="53">
        <f t="shared" si="19"/>
        <v>0.03</v>
      </c>
      <c r="L71" s="962"/>
      <c r="M71" s="53">
        <f t="shared" si="20"/>
        <v>0.03</v>
      </c>
      <c r="N71" s="962"/>
      <c r="O71" s="53">
        <f t="shared" si="21"/>
        <v>7.0000000000000007E-2</v>
      </c>
      <c r="P71" s="962"/>
      <c r="Q71" s="53">
        <f t="shared" si="22"/>
        <v>1</v>
      </c>
      <c r="R71" s="493">
        <f t="shared" si="23"/>
        <v>0</v>
      </c>
      <c r="S71" s="800">
        <f t="shared" si="27"/>
        <v>0</v>
      </c>
    </row>
    <row r="72" spans="1:19">
      <c r="A72" s="964"/>
      <c r="B72" s="137"/>
      <c r="C72" s="53">
        <f t="shared" si="15"/>
        <v>1</v>
      </c>
      <c r="D72" s="962"/>
      <c r="E72" s="53">
        <f t="shared" si="16"/>
        <v>0.04</v>
      </c>
      <c r="F72" s="962"/>
      <c r="G72" s="53">
        <f t="shared" si="17"/>
        <v>0</v>
      </c>
      <c r="H72" s="962"/>
      <c r="I72" s="53">
        <f t="shared" si="18"/>
        <v>0</v>
      </c>
      <c r="J72" s="962"/>
      <c r="K72" s="53">
        <f t="shared" si="19"/>
        <v>0.03</v>
      </c>
      <c r="L72" s="962"/>
      <c r="M72" s="53">
        <f t="shared" si="20"/>
        <v>0.03</v>
      </c>
      <c r="N72" s="962"/>
      <c r="O72" s="53">
        <f t="shared" si="21"/>
        <v>7.0000000000000007E-2</v>
      </c>
      <c r="P72" s="962"/>
      <c r="Q72" s="53">
        <f t="shared" si="22"/>
        <v>1</v>
      </c>
      <c r="R72" s="493">
        <f t="shared" si="23"/>
        <v>0</v>
      </c>
      <c r="S72" s="800">
        <f t="shared" si="27"/>
        <v>0</v>
      </c>
    </row>
    <row r="73" spans="1:19">
      <c r="A73" s="964"/>
      <c r="B73" s="137"/>
      <c r="C73" s="53">
        <f t="shared" si="15"/>
        <v>1</v>
      </c>
      <c r="D73" s="962"/>
      <c r="E73" s="53">
        <f t="shared" si="16"/>
        <v>0.04</v>
      </c>
      <c r="F73" s="962"/>
      <c r="G73" s="53">
        <f t="shared" si="17"/>
        <v>0</v>
      </c>
      <c r="H73" s="962"/>
      <c r="I73" s="53">
        <f t="shared" si="18"/>
        <v>0</v>
      </c>
      <c r="J73" s="962"/>
      <c r="K73" s="53">
        <f t="shared" si="19"/>
        <v>0.03</v>
      </c>
      <c r="L73" s="962"/>
      <c r="M73" s="53">
        <f t="shared" si="20"/>
        <v>0.03</v>
      </c>
      <c r="N73" s="962"/>
      <c r="O73" s="53">
        <f t="shared" si="21"/>
        <v>7.0000000000000007E-2</v>
      </c>
      <c r="P73" s="962"/>
      <c r="Q73" s="53">
        <f t="shared" si="22"/>
        <v>1</v>
      </c>
      <c r="R73" s="493">
        <f t="shared" si="23"/>
        <v>0</v>
      </c>
      <c r="S73" s="800">
        <f t="shared" si="27"/>
        <v>0</v>
      </c>
    </row>
    <row r="74" spans="1:19">
      <c r="A74" s="964"/>
      <c r="B74" s="137"/>
      <c r="C74" s="53">
        <f t="shared" si="15"/>
        <v>1</v>
      </c>
      <c r="D74" s="962"/>
      <c r="E74" s="53">
        <f t="shared" si="16"/>
        <v>0.04</v>
      </c>
      <c r="F74" s="962"/>
      <c r="G74" s="53">
        <f t="shared" si="17"/>
        <v>0</v>
      </c>
      <c r="H74" s="962"/>
      <c r="I74" s="53">
        <f t="shared" si="18"/>
        <v>0</v>
      </c>
      <c r="J74" s="962"/>
      <c r="K74" s="53">
        <f t="shared" si="19"/>
        <v>0.03</v>
      </c>
      <c r="L74" s="962"/>
      <c r="M74" s="53">
        <f t="shared" si="20"/>
        <v>0.03</v>
      </c>
      <c r="N74" s="962"/>
      <c r="O74" s="53">
        <f t="shared" si="21"/>
        <v>7.0000000000000007E-2</v>
      </c>
      <c r="P74" s="962"/>
      <c r="Q74" s="53">
        <f t="shared" si="22"/>
        <v>1</v>
      </c>
      <c r="R74" s="493">
        <f t="shared" si="23"/>
        <v>0</v>
      </c>
      <c r="S74" s="800">
        <f t="shared" si="27"/>
        <v>0</v>
      </c>
    </row>
    <row r="75" spans="1:19">
      <c r="A75" s="964"/>
      <c r="B75" s="137"/>
      <c r="C75" s="53">
        <f t="shared" si="15"/>
        <v>1</v>
      </c>
      <c r="D75" s="962"/>
      <c r="E75" s="53">
        <f t="shared" si="16"/>
        <v>0.04</v>
      </c>
      <c r="F75" s="962"/>
      <c r="G75" s="53">
        <f t="shared" si="17"/>
        <v>0</v>
      </c>
      <c r="H75" s="962"/>
      <c r="I75" s="53">
        <f t="shared" si="18"/>
        <v>0</v>
      </c>
      <c r="J75" s="962"/>
      <c r="K75" s="53">
        <f t="shared" si="19"/>
        <v>0.03</v>
      </c>
      <c r="L75" s="962"/>
      <c r="M75" s="53">
        <f t="shared" si="20"/>
        <v>0.03</v>
      </c>
      <c r="N75" s="962"/>
      <c r="O75" s="53">
        <f t="shared" si="21"/>
        <v>7.0000000000000007E-2</v>
      </c>
      <c r="P75" s="962"/>
      <c r="Q75" s="53">
        <f t="shared" si="22"/>
        <v>1</v>
      </c>
      <c r="R75" s="493">
        <f t="shared" si="23"/>
        <v>0</v>
      </c>
      <c r="S75" s="800">
        <f t="shared" si="27"/>
        <v>0</v>
      </c>
    </row>
    <row r="76" spans="1:19">
      <c r="A76" s="964"/>
      <c r="B76" s="137"/>
      <c r="C76" s="53">
        <f t="shared" si="15"/>
        <v>1</v>
      </c>
      <c r="D76" s="962"/>
      <c r="E76" s="53">
        <f t="shared" si="16"/>
        <v>0.04</v>
      </c>
      <c r="F76" s="962"/>
      <c r="G76" s="53">
        <f t="shared" si="17"/>
        <v>0</v>
      </c>
      <c r="H76" s="962"/>
      <c r="I76" s="53">
        <f t="shared" si="18"/>
        <v>0</v>
      </c>
      <c r="J76" s="962"/>
      <c r="K76" s="53">
        <f t="shared" si="19"/>
        <v>0.03</v>
      </c>
      <c r="L76" s="962"/>
      <c r="M76" s="53">
        <f t="shared" si="20"/>
        <v>0.03</v>
      </c>
      <c r="N76" s="962"/>
      <c r="O76" s="53">
        <f t="shared" si="21"/>
        <v>7.0000000000000007E-2</v>
      </c>
      <c r="P76" s="962"/>
      <c r="Q76" s="53">
        <f t="shared" si="22"/>
        <v>1</v>
      </c>
      <c r="R76" s="493">
        <f t="shared" si="23"/>
        <v>0</v>
      </c>
      <c r="S76" s="800">
        <f t="shared" si="27"/>
        <v>0</v>
      </c>
    </row>
    <row r="77" spans="1:19">
      <c r="A77" s="964"/>
      <c r="B77" s="137"/>
      <c r="C77" s="53">
        <f t="shared" si="15"/>
        <v>1</v>
      </c>
      <c r="D77" s="962"/>
      <c r="E77" s="53">
        <f t="shared" si="16"/>
        <v>0.04</v>
      </c>
      <c r="F77" s="962"/>
      <c r="G77" s="53">
        <f t="shared" si="17"/>
        <v>0</v>
      </c>
      <c r="H77" s="962"/>
      <c r="I77" s="53">
        <f t="shared" si="18"/>
        <v>0</v>
      </c>
      <c r="J77" s="962"/>
      <c r="K77" s="53">
        <f t="shared" si="19"/>
        <v>0.03</v>
      </c>
      <c r="L77" s="962"/>
      <c r="M77" s="53">
        <f t="shared" si="20"/>
        <v>0.03</v>
      </c>
      <c r="N77" s="962"/>
      <c r="O77" s="53">
        <f t="shared" si="21"/>
        <v>7.0000000000000007E-2</v>
      </c>
      <c r="P77" s="962"/>
      <c r="Q77" s="53">
        <f t="shared" si="22"/>
        <v>1</v>
      </c>
      <c r="R77" s="493">
        <f t="shared" si="23"/>
        <v>0</v>
      </c>
      <c r="S77" s="800">
        <f t="shared" si="27"/>
        <v>0</v>
      </c>
    </row>
    <row r="78" spans="1:19">
      <c r="A78" s="964"/>
      <c r="B78" s="137"/>
      <c r="C78" s="53">
        <f t="shared" si="15"/>
        <v>1</v>
      </c>
      <c r="D78" s="962"/>
      <c r="E78" s="53">
        <f t="shared" si="16"/>
        <v>0.04</v>
      </c>
      <c r="F78" s="962"/>
      <c r="G78" s="53">
        <f t="shared" si="17"/>
        <v>0</v>
      </c>
      <c r="H78" s="962"/>
      <c r="I78" s="53">
        <f t="shared" si="18"/>
        <v>0</v>
      </c>
      <c r="J78" s="962"/>
      <c r="K78" s="53">
        <f t="shared" si="19"/>
        <v>0.03</v>
      </c>
      <c r="L78" s="962"/>
      <c r="M78" s="53">
        <f t="shared" si="20"/>
        <v>0.03</v>
      </c>
      <c r="N78" s="962"/>
      <c r="O78" s="53">
        <f t="shared" si="21"/>
        <v>7.0000000000000007E-2</v>
      </c>
      <c r="P78" s="962"/>
      <c r="Q78" s="53">
        <f t="shared" si="22"/>
        <v>1</v>
      </c>
      <c r="R78" s="493">
        <f t="shared" si="23"/>
        <v>0</v>
      </c>
      <c r="S78" s="800">
        <f t="shared" ref="S78:S122" si="28">ROUND(R78*B78/10000,0)</f>
        <v>0</v>
      </c>
    </row>
    <row r="79" spans="1:19">
      <c r="A79" s="964"/>
      <c r="B79" s="137"/>
      <c r="C79" s="53">
        <f t="shared" si="15"/>
        <v>1</v>
      </c>
      <c r="D79" s="962"/>
      <c r="E79" s="53">
        <f t="shared" si="16"/>
        <v>0.04</v>
      </c>
      <c r="F79" s="962"/>
      <c r="G79" s="53">
        <f t="shared" si="17"/>
        <v>0</v>
      </c>
      <c r="H79" s="962"/>
      <c r="I79" s="53">
        <f t="shared" si="18"/>
        <v>0</v>
      </c>
      <c r="J79" s="962"/>
      <c r="K79" s="53">
        <f t="shared" si="19"/>
        <v>0.03</v>
      </c>
      <c r="L79" s="962"/>
      <c r="M79" s="53">
        <f t="shared" si="20"/>
        <v>0.03</v>
      </c>
      <c r="N79" s="962"/>
      <c r="O79" s="53">
        <f t="shared" si="21"/>
        <v>7.0000000000000007E-2</v>
      </c>
      <c r="P79" s="962"/>
      <c r="Q79" s="53">
        <f t="shared" si="22"/>
        <v>1</v>
      </c>
      <c r="R79" s="493">
        <f t="shared" si="23"/>
        <v>0</v>
      </c>
      <c r="S79" s="800">
        <f t="shared" si="28"/>
        <v>0</v>
      </c>
    </row>
    <row r="80" spans="1:19">
      <c r="A80" s="964"/>
      <c r="B80" s="137"/>
      <c r="C80" s="53">
        <f t="shared" si="15"/>
        <v>1</v>
      </c>
      <c r="D80" s="962"/>
      <c r="E80" s="53">
        <f t="shared" si="16"/>
        <v>0.04</v>
      </c>
      <c r="F80" s="962"/>
      <c r="G80" s="53">
        <f t="shared" si="17"/>
        <v>0</v>
      </c>
      <c r="H80" s="962"/>
      <c r="I80" s="53">
        <f t="shared" si="18"/>
        <v>0</v>
      </c>
      <c r="J80" s="962"/>
      <c r="K80" s="53">
        <f t="shared" si="19"/>
        <v>0.03</v>
      </c>
      <c r="L80" s="962"/>
      <c r="M80" s="53">
        <f t="shared" si="20"/>
        <v>0.03</v>
      </c>
      <c r="N80" s="962"/>
      <c r="O80" s="53">
        <f t="shared" si="21"/>
        <v>7.0000000000000007E-2</v>
      </c>
      <c r="P80" s="962"/>
      <c r="Q80" s="53">
        <f t="shared" si="22"/>
        <v>1</v>
      </c>
      <c r="R80" s="493">
        <f t="shared" si="23"/>
        <v>0</v>
      </c>
      <c r="S80" s="800">
        <f t="shared" si="28"/>
        <v>0</v>
      </c>
    </row>
    <row r="81" spans="1:19">
      <c r="A81" s="964"/>
      <c r="B81" s="137"/>
      <c r="C81" s="53">
        <f t="shared" si="15"/>
        <v>1</v>
      </c>
      <c r="D81" s="962"/>
      <c r="E81" s="53">
        <f t="shared" si="16"/>
        <v>0.04</v>
      </c>
      <c r="F81" s="962"/>
      <c r="G81" s="53">
        <f t="shared" si="17"/>
        <v>0</v>
      </c>
      <c r="H81" s="962"/>
      <c r="I81" s="53">
        <f t="shared" si="18"/>
        <v>0</v>
      </c>
      <c r="J81" s="962"/>
      <c r="K81" s="53">
        <f t="shared" si="19"/>
        <v>0.03</v>
      </c>
      <c r="L81" s="962"/>
      <c r="M81" s="53">
        <f t="shared" si="20"/>
        <v>0.03</v>
      </c>
      <c r="N81" s="962"/>
      <c r="O81" s="53">
        <f t="shared" si="21"/>
        <v>7.0000000000000007E-2</v>
      </c>
      <c r="P81" s="962"/>
      <c r="Q81" s="53">
        <f t="shared" si="22"/>
        <v>1</v>
      </c>
      <c r="R81" s="493">
        <f t="shared" si="23"/>
        <v>0</v>
      </c>
      <c r="S81" s="800">
        <f t="shared" si="28"/>
        <v>0</v>
      </c>
    </row>
    <row r="82" spans="1:19">
      <c r="A82" s="964"/>
      <c r="B82" s="137"/>
      <c r="C82" s="53">
        <f t="shared" si="15"/>
        <v>1</v>
      </c>
      <c r="D82" s="962"/>
      <c r="E82" s="53">
        <f t="shared" si="16"/>
        <v>0.04</v>
      </c>
      <c r="F82" s="962"/>
      <c r="G82" s="53">
        <f t="shared" si="17"/>
        <v>0</v>
      </c>
      <c r="H82" s="962"/>
      <c r="I82" s="53">
        <f t="shared" si="18"/>
        <v>0</v>
      </c>
      <c r="J82" s="962"/>
      <c r="K82" s="53">
        <f t="shared" si="19"/>
        <v>0.03</v>
      </c>
      <c r="L82" s="962"/>
      <c r="M82" s="53">
        <f t="shared" si="20"/>
        <v>0.03</v>
      </c>
      <c r="N82" s="962"/>
      <c r="O82" s="53">
        <f t="shared" si="21"/>
        <v>7.0000000000000007E-2</v>
      </c>
      <c r="P82" s="962"/>
      <c r="Q82" s="53">
        <f t="shared" si="22"/>
        <v>1</v>
      </c>
      <c r="R82" s="493">
        <f t="shared" si="23"/>
        <v>0</v>
      </c>
      <c r="S82" s="800">
        <f t="shared" si="28"/>
        <v>0</v>
      </c>
    </row>
    <row r="83" spans="1:19">
      <c r="A83" s="964"/>
      <c r="B83" s="137"/>
      <c r="C83" s="53">
        <f t="shared" si="15"/>
        <v>1</v>
      </c>
      <c r="D83" s="962"/>
      <c r="E83" s="53">
        <f t="shared" si="16"/>
        <v>0.04</v>
      </c>
      <c r="F83" s="962"/>
      <c r="G83" s="53">
        <f t="shared" si="17"/>
        <v>0</v>
      </c>
      <c r="H83" s="962"/>
      <c r="I83" s="53">
        <f t="shared" si="18"/>
        <v>0</v>
      </c>
      <c r="J83" s="962"/>
      <c r="K83" s="53">
        <f t="shared" si="19"/>
        <v>0.03</v>
      </c>
      <c r="L83" s="962"/>
      <c r="M83" s="53">
        <f t="shared" si="20"/>
        <v>0.03</v>
      </c>
      <c r="N83" s="962"/>
      <c r="O83" s="53">
        <f t="shared" si="21"/>
        <v>7.0000000000000007E-2</v>
      </c>
      <c r="P83" s="962"/>
      <c r="Q83" s="53">
        <f t="shared" si="22"/>
        <v>1</v>
      </c>
      <c r="R83" s="493">
        <f t="shared" si="23"/>
        <v>0</v>
      </c>
      <c r="S83" s="800">
        <f t="shared" si="28"/>
        <v>0</v>
      </c>
    </row>
    <row r="84" spans="1:19">
      <c r="A84" s="964"/>
      <c r="B84" s="137"/>
      <c r="C84" s="53">
        <f t="shared" si="15"/>
        <v>1</v>
      </c>
      <c r="D84" s="962"/>
      <c r="E84" s="53">
        <f t="shared" si="16"/>
        <v>0.04</v>
      </c>
      <c r="F84" s="962"/>
      <c r="G84" s="53">
        <f t="shared" si="17"/>
        <v>0</v>
      </c>
      <c r="H84" s="962"/>
      <c r="I84" s="53">
        <f t="shared" si="18"/>
        <v>0</v>
      </c>
      <c r="J84" s="962"/>
      <c r="K84" s="53">
        <f t="shared" si="19"/>
        <v>0.03</v>
      </c>
      <c r="L84" s="962"/>
      <c r="M84" s="53">
        <f t="shared" si="20"/>
        <v>0.03</v>
      </c>
      <c r="N84" s="962"/>
      <c r="O84" s="53">
        <f t="shared" si="21"/>
        <v>7.0000000000000007E-2</v>
      </c>
      <c r="P84" s="962"/>
      <c r="Q84" s="53">
        <f t="shared" si="22"/>
        <v>1</v>
      </c>
      <c r="R84" s="493">
        <f t="shared" si="23"/>
        <v>0</v>
      </c>
      <c r="S84" s="800">
        <f t="shared" si="28"/>
        <v>0</v>
      </c>
    </row>
    <row r="85" spans="1:19">
      <c r="A85" s="964"/>
      <c r="B85" s="137"/>
      <c r="C85" s="53">
        <f t="shared" si="15"/>
        <v>1</v>
      </c>
      <c r="D85" s="962"/>
      <c r="E85" s="53">
        <f t="shared" si="16"/>
        <v>0.04</v>
      </c>
      <c r="F85" s="962"/>
      <c r="G85" s="53">
        <f t="shared" si="17"/>
        <v>0</v>
      </c>
      <c r="H85" s="962"/>
      <c r="I85" s="53">
        <f t="shared" si="18"/>
        <v>0</v>
      </c>
      <c r="J85" s="962"/>
      <c r="K85" s="53">
        <f t="shared" si="19"/>
        <v>0.03</v>
      </c>
      <c r="L85" s="962"/>
      <c r="M85" s="53">
        <f t="shared" si="20"/>
        <v>0.03</v>
      </c>
      <c r="N85" s="962"/>
      <c r="O85" s="53">
        <f t="shared" si="21"/>
        <v>7.0000000000000007E-2</v>
      </c>
      <c r="P85" s="962"/>
      <c r="Q85" s="53">
        <f t="shared" si="22"/>
        <v>1</v>
      </c>
      <c r="R85" s="493">
        <f t="shared" si="23"/>
        <v>0</v>
      </c>
      <c r="S85" s="800">
        <f t="shared" si="28"/>
        <v>0</v>
      </c>
    </row>
    <row r="86" spans="1:19">
      <c r="A86" s="964"/>
      <c r="B86" s="137"/>
      <c r="C86" s="53">
        <f t="shared" si="15"/>
        <v>1</v>
      </c>
      <c r="D86" s="962"/>
      <c r="E86" s="53">
        <f t="shared" si="16"/>
        <v>0.04</v>
      </c>
      <c r="F86" s="962"/>
      <c r="G86" s="53">
        <f t="shared" si="17"/>
        <v>0</v>
      </c>
      <c r="H86" s="962"/>
      <c r="I86" s="53">
        <f t="shared" si="18"/>
        <v>0</v>
      </c>
      <c r="J86" s="962"/>
      <c r="K86" s="53">
        <f t="shared" si="19"/>
        <v>0.03</v>
      </c>
      <c r="L86" s="962"/>
      <c r="M86" s="53">
        <f t="shared" si="20"/>
        <v>0.03</v>
      </c>
      <c r="N86" s="962"/>
      <c r="O86" s="53">
        <f t="shared" si="21"/>
        <v>7.0000000000000007E-2</v>
      </c>
      <c r="P86" s="962"/>
      <c r="Q86" s="53">
        <f t="shared" si="22"/>
        <v>1</v>
      </c>
      <c r="R86" s="493">
        <f t="shared" si="23"/>
        <v>0</v>
      </c>
      <c r="S86" s="800">
        <f t="shared" si="28"/>
        <v>0</v>
      </c>
    </row>
    <row r="87" spans="1:19">
      <c r="A87" s="964"/>
      <c r="B87" s="137"/>
      <c r="C87" s="53">
        <f t="shared" si="15"/>
        <v>1</v>
      </c>
      <c r="D87" s="962"/>
      <c r="E87" s="53">
        <f t="shared" si="16"/>
        <v>0.04</v>
      </c>
      <c r="F87" s="962"/>
      <c r="G87" s="53">
        <f t="shared" si="17"/>
        <v>0</v>
      </c>
      <c r="H87" s="962"/>
      <c r="I87" s="53">
        <f t="shared" si="18"/>
        <v>0</v>
      </c>
      <c r="J87" s="962"/>
      <c r="K87" s="53">
        <f t="shared" si="19"/>
        <v>0.03</v>
      </c>
      <c r="L87" s="962"/>
      <c r="M87" s="53">
        <f t="shared" si="20"/>
        <v>0.03</v>
      </c>
      <c r="N87" s="962"/>
      <c r="O87" s="53">
        <f t="shared" si="21"/>
        <v>7.0000000000000007E-2</v>
      </c>
      <c r="P87" s="962"/>
      <c r="Q87" s="53">
        <f t="shared" si="22"/>
        <v>1</v>
      </c>
      <c r="R87" s="493">
        <f t="shared" si="23"/>
        <v>0</v>
      </c>
      <c r="S87" s="800">
        <f t="shared" si="28"/>
        <v>0</v>
      </c>
    </row>
    <row r="88" spans="1:19">
      <c r="A88" s="964"/>
      <c r="B88" s="137"/>
      <c r="C88" s="53">
        <f t="shared" si="15"/>
        <v>1</v>
      </c>
      <c r="D88" s="962"/>
      <c r="E88" s="53">
        <f t="shared" si="16"/>
        <v>0.04</v>
      </c>
      <c r="F88" s="962"/>
      <c r="G88" s="53">
        <f t="shared" si="17"/>
        <v>0</v>
      </c>
      <c r="H88" s="962"/>
      <c r="I88" s="53">
        <f t="shared" si="18"/>
        <v>0</v>
      </c>
      <c r="J88" s="962"/>
      <c r="K88" s="53">
        <f t="shared" si="19"/>
        <v>0.03</v>
      </c>
      <c r="L88" s="962"/>
      <c r="M88" s="53">
        <f t="shared" si="20"/>
        <v>0.03</v>
      </c>
      <c r="N88" s="962"/>
      <c r="O88" s="53">
        <f t="shared" si="21"/>
        <v>7.0000000000000007E-2</v>
      </c>
      <c r="P88" s="962"/>
      <c r="Q88" s="53">
        <f t="shared" si="22"/>
        <v>1</v>
      </c>
      <c r="R88" s="493">
        <f t="shared" si="23"/>
        <v>0</v>
      </c>
      <c r="S88" s="800">
        <f t="shared" si="28"/>
        <v>0</v>
      </c>
    </row>
    <row r="89" spans="1:19">
      <c r="A89" s="964"/>
      <c r="B89" s="137"/>
      <c r="C89" s="53">
        <f t="shared" si="15"/>
        <v>1</v>
      </c>
      <c r="D89" s="962"/>
      <c r="E89" s="53">
        <f t="shared" si="16"/>
        <v>0.04</v>
      </c>
      <c r="F89" s="962"/>
      <c r="G89" s="53">
        <f t="shared" si="17"/>
        <v>0</v>
      </c>
      <c r="H89" s="962"/>
      <c r="I89" s="53">
        <f t="shared" si="18"/>
        <v>0</v>
      </c>
      <c r="J89" s="962"/>
      <c r="K89" s="53">
        <f t="shared" si="19"/>
        <v>0.03</v>
      </c>
      <c r="L89" s="962"/>
      <c r="M89" s="53">
        <f t="shared" si="20"/>
        <v>0.03</v>
      </c>
      <c r="N89" s="962"/>
      <c r="O89" s="53">
        <f t="shared" si="21"/>
        <v>7.0000000000000007E-2</v>
      </c>
      <c r="P89" s="962"/>
      <c r="Q89" s="53">
        <f t="shared" si="22"/>
        <v>1</v>
      </c>
      <c r="R89" s="493">
        <f t="shared" si="23"/>
        <v>0</v>
      </c>
      <c r="S89" s="800">
        <f t="shared" si="28"/>
        <v>0</v>
      </c>
    </row>
    <row r="90" spans="1:19">
      <c r="A90" s="964"/>
      <c r="B90" s="137"/>
      <c r="C90" s="53">
        <f t="shared" ref="C90:C153" si="29">IF(B90="",1,(LOOKUP(B90,$3:$3,$4:$4)-LOOKUP($B$24,$3:$3,$4:$4)+100)/100)</f>
        <v>1</v>
      </c>
      <c r="D90" s="962"/>
      <c r="E90" s="53">
        <f t="shared" ref="E90:E153" si="30">(SUMIF($5:$5,D90,$6:$6)-SUMIF($5:$5,$D$24,$6:$6)+100)/100</f>
        <v>0.04</v>
      </c>
      <c r="F90" s="962"/>
      <c r="G90" s="53">
        <f t="shared" ref="G90:G153" si="31">(SUMIF($7:$7,F90,$8:$8)-SUMIF($7:$7,$F$24,$8:$8)+100)/100</f>
        <v>0</v>
      </c>
      <c r="H90" s="962"/>
      <c r="I90" s="53">
        <f t="shared" ref="I90:I153" si="32">(SUMIF($9:$9,H90,$10:$10)-SUMIF($9:$9,$H$24,$10:$10)+100)/100</f>
        <v>0</v>
      </c>
      <c r="J90" s="962"/>
      <c r="K90" s="53">
        <f t="shared" ref="K90:K153" si="33">(SUMIF($11:$11,J90,$12:$12)-SUMIF($11:$11,$J$24,$12:$12)+100)/100</f>
        <v>0.03</v>
      </c>
      <c r="L90" s="962"/>
      <c r="M90" s="53">
        <f t="shared" ref="M90:M153" si="34">(SUMIF($13:$13,L90,$14:$14)-SUMIF($13:$13,$L$24,$14:$14)+100)/100</f>
        <v>0.03</v>
      </c>
      <c r="N90" s="962"/>
      <c r="O90" s="53">
        <f t="shared" ref="O90:O153" si="35">(SUMIF($15:$15,N90,$16:$16)-SUMIF($15:$15,$N$24,$16:$16)+100)/100</f>
        <v>7.0000000000000007E-2</v>
      </c>
      <c r="P90" s="962"/>
      <c r="Q90" s="53">
        <f t="shared" ref="Q90:Q153" si="36">(SUMIF($17:$17,P90,$18:$18)-SUMIF($17:$17,$P$24,$18:$18)+100)/100</f>
        <v>1</v>
      </c>
      <c r="R90" s="493">
        <f t="shared" ref="R90:R153" si="37">IF(B90="",0,ROUND($R$24*C90*E90*G90*I90*K90*M90*O90*Q90,0))</f>
        <v>0</v>
      </c>
      <c r="S90" s="800">
        <f t="shared" si="28"/>
        <v>0</v>
      </c>
    </row>
    <row r="91" spans="1:19">
      <c r="A91" s="964"/>
      <c r="B91" s="137"/>
      <c r="C91" s="53">
        <f t="shared" si="29"/>
        <v>1</v>
      </c>
      <c r="D91" s="962"/>
      <c r="E91" s="53">
        <f t="shared" si="30"/>
        <v>0.04</v>
      </c>
      <c r="F91" s="962"/>
      <c r="G91" s="53">
        <f t="shared" si="31"/>
        <v>0</v>
      </c>
      <c r="H91" s="962"/>
      <c r="I91" s="53">
        <f t="shared" si="32"/>
        <v>0</v>
      </c>
      <c r="J91" s="962"/>
      <c r="K91" s="53">
        <f t="shared" si="33"/>
        <v>0.03</v>
      </c>
      <c r="L91" s="962"/>
      <c r="M91" s="53">
        <f t="shared" si="34"/>
        <v>0.03</v>
      </c>
      <c r="N91" s="962"/>
      <c r="O91" s="53">
        <f t="shared" si="35"/>
        <v>7.0000000000000007E-2</v>
      </c>
      <c r="P91" s="962"/>
      <c r="Q91" s="53">
        <f t="shared" si="36"/>
        <v>1</v>
      </c>
      <c r="R91" s="493">
        <f t="shared" si="37"/>
        <v>0</v>
      </c>
      <c r="S91" s="800">
        <f t="shared" si="28"/>
        <v>0</v>
      </c>
    </row>
    <row r="92" spans="1:19">
      <c r="A92" s="964"/>
      <c r="B92" s="137"/>
      <c r="C92" s="53">
        <f t="shared" si="29"/>
        <v>1</v>
      </c>
      <c r="D92" s="962"/>
      <c r="E92" s="53">
        <f t="shared" si="30"/>
        <v>0.04</v>
      </c>
      <c r="F92" s="962"/>
      <c r="G92" s="53">
        <f t="shared" si="31"/>
        <v>0</v>
      </c>
      <c r="H92" s="962"/>
      <c r="I92" s="53">
        <f t="shared" si="32"/>
        <v>0</v>
      </c>
      <c r="J92" s="962"/>
      <c r="K92" s="53">
        <f t="shared" si="33"/>
        <v>0.03</v>
      </c>
      <c r="L92" s="962"/>
      <c r="M92" s="53">
        <f t="shared" si="34"/>
        <v>0.03</v>
      </c>
      <c r="N92" s="962"/>
      <c r="O92" s="53">
        <f t="shared" si="35"/>
        <v>7.0000000000000007E-2</v>
      </c>
      <c r="P92" s="962"/>
      <c r="Q92" s="53">
        <f t="shared" si="36"/>
        <v>1</v>
      </c>
      <c r="R92" s="493">
        <f t="shared" si="37"/>
        <v>0</v>
      </c>
      <c r="S92" s="800">
        <f t="shared" si="28"/>
        <v>0</v>
      </c>
    </row>
    <row r="93" spans="1:19">
      <c r="A93" s="964"/>
      <c r="B93" s="137"/>
      <c r="C93" s="53">
        <f t="shared" si="29"/>
        <v>1</v>
      </c>
      <c r="D93" s="962"/>
      <c r="E93" s="53">
        <f t="shared" si="30"/>
        <v>0.04</v>
      </c>
      <c r="F93" s="962"/>
      <c r="G93" s="53">
        <f t="shared" si="31"/>
        <v>0</v>
      </c>
      <c r="H93" s="962"/>
      <c r="I93" s="53">
        <f t="shared" si="32"/>
        <v>0</v>
      </c>
      <c r="J93" s="962"/>
      <c r="K93" s="53">
        <f t="shared" si="33"/>
        <v>0.03</v>
      </c>
      <c r="L93" s="962"/>
      <c r="M93" s="53">
        <f t="shared" si="34"/>
        <v>0.03</v>
      </c>
      <c r="N93" s="962"/>
      <c r="O93" s="53">
        <f t="shared" si="35"/>
        <v>7.0000000000000007E-2</v>
      </c>
      <c r="P93" s="962"/>
      <c r="Q93" s="53">
        <f t="shared" si="36"/>
        <v>1</v>
      </c>
      <c r="R93" s="493">
        <f t="shared" si="37"/>
        <v>0</v>
      </c>
      <c r="S93" s="800">
        <f t="shared" si="28"/>
        <v>0</v>
      </c>
    </row>
    <row r="94" spans="1:19">
      <c r="A94" s="964"/>
      <c r="B94" s="137"/>
      <c r="C94" s="53">
        <f t="shared" si="29"/>
        <v>1</v>
      </c>
      <c r="D94" s="962"/>
      <c r="E94" s="53">
        <f t="shared" si="30"/>
        <v>0.04</v>
      </c>
      <c r="F94" s="962"/>
      <c r="G94" s="53">
        <f t="shared" si="31"/>
        <v>0</v>
      </c>
      <c r="H94" s="962"/>
      <c r="I94" s="53">
        <f t="shared" si="32"/>
        <v>0</v>
      </c>
      <c r="J94" s="962"/>
      <c r="K94" s="53">
        <f t="shared" si="33"/>
        <v>0.03</v>
      </c>
      <c r="L94" s="962"/>
      <c r="M94" s="53">
        <f t="shared" si="34"/>
        <v>0.03</v>
      </c>
      <c r="N94" s="962"/>
      <c r="O94" s="53">
        <f t="shared" si="35"/>
        <v>7.0000000000000007E-2</v>
      </c>
      <c r="P94" s="962"/>
      <c r="Q94" s="53">
        <f t="shared" si="36"/>
        <v>1</v>
      </c>
      <c r="R94" s="493">
        <f t="shared" si="37"/>
        <v>0</v>
      </c>
      <c r="S94" s="800">
        <f t="shared" si="28"/>
        <v>0</v>
      </c>
    </row>
    <row r="95" spans="1:19">
      <c r="A95" s="964"/>
      <c r="B95" s="137"/>
      <c r="C95" s="53">
        <f t="shared" si="29"/>
        <v>1</v>
      </c>
      <c r="D95" s="962"/>
      <c r="E95" s="53">
        <f t="shared" si="30"/>
        <v>0.04</v>
      </c>
      <c r="F95" s="962"/>
      <c r="G95" s="53">
        <f t="shared" si="31"/>
        <v>0</v>
      </c>
      <c r="H95" s="962"/>
      <c r="I95" s="53">
        <f t="shared" si="32"/>
        <v>0</v>
      </c>
      <c r="J95" s="962"/>
      <c r="K95" s="53">
        <f t="shared" si="33"/>
        <v>0.03</v>
      </c>
      <c r="L95" s="962"/>
      <c r="M95" s="53">
        <f t="shared" si="34"/>
        <v>0.03</v>
      </c>
      <c r="N95" s="962"/>
      <c r="O95" s="53">
        <f t="shared" si="35"/>
        <v>7.0000000000000007E-2</v>
      </c>
      <c r="P95" s="962"/>
      <c r="Q95" s="53">
        <f t="shared" si="36"/>
        <v>1</v>
      </c>
      <c r="R95" s="493">
        <f t="shared" si="37"/>
        <v>0</v>
      </c>
      <c r="S95" s="800">
        <f t="shared" si="28"/>
        <v>0</v>
      </c>
    </row>
    <row r="96" spans="1:19">
      <c r="A96" s="964"/>
      <c r="B96" s="137"/>
      <c r="C96" s="53">
        <f t="shared" si="29"/>
        <v>1</v>
      </c>
      <c r="D96" s="962"/>
      <c r="E96" s="53">
        <f t="shared" si="30"/>
        <v>0.04</v>
      </c>
      <c r="F96" s="962"/>
      <c r="G96" s="53">
        <f t="shared" si="31"/>
        <v>0</v>
      </c>
      <c r="H96" s="962"/>
      <c r="I96" s="53">
        <f t="shared" si="32"/>
        <v>0</v>
      </c>
      <c r="J96" s="962"/>
      <c r="K96" s="53">
        <f t="shared" si="33"/>
        <v>0.03</v>
      </c>
      <c r="L96" s="962"/>
      <c r="M96" s="53">
        <f t="shared" si="34"/>
        <v>0.03</v>
      </c>
      <c r="N96" s="962"/>
      <c r="O96" s="53">
        <f t="shared" si="35"/>
        <v>7.0000000000000007E-2</v>
      </c>
      <c r="P96" s="962"/>
      <c r="Q96" s="53">
        <f t="shared" si="36"/>
        <v>1</v>
      </c>
      <c r="R96" s="493">
        <f t="shared" si="37"/>
        <v>0</v>
      </c>
      <c r="S96" s="800">
        <f t="shared" si="28"/>
        <v>0</v>
      </c>
    </row>
    <row r="97" spans="1:19">
      <c r="A97" s="964"/>
      <c r="B97" s="137"/>
      <c r="C97" s="53">
        <f t="shared" si="29"/>
        <v>1</v>
      </c>
      <c r="D97" s="962"/>
      <c r="E97" s="53">
        <f t="shared" si="30"/>
        <v>0.04</v>
      </c>
      <c r="F97" s="962"/>
      <c r="G97" s="53">
        <f t="shared" si="31"/>
        <v>0</v>
      </c>
      <c r="H97" s="962"/>
      <c r="I97" s="53">
        <f t="shared" si="32"/>
        <v>0</v>
      </c>
      <c r="J97" s="962"/>
      <c r="K97" s="53">
        <f t="shared" si="33"/>
        <v>0.03</v>
      </c>
      <c r="L97" s="962"/>
      <c r="M97" s="53">
        <f t="shared" si="34"/>
        <v>0.03</v>
      </c>
      <c r="N97" s="962"/>
      <c r="O97" s="53">
        <f t="shared" si="35"/>
        <v>7.0000000000000007E-2</v>
      </c>
      <c r="P97" s="962"/>
      <c r="Q97" s="53">
        <f t="shared" si="36"/>
        <v>1</v>
      </c>
      <c r="R97" s="493">
        <f t="shared" si="37"/>
        <v>0</v>
      </c>
      <c r="S97" s="800">
        <f t="shared" si="28"/>
        <v>0</v>
      </c>
    </row>
    <row r="98" spans="1:19">
      <c r="A98" s="964"/>
      <c r="B98" s="137"/>
      <c r="C98" s="53">
        <f t="shared" si="29"/>
        <v>1</v>
      </c>
      <c r="D98" s="962"/>
      <c r="E98" s="53">
        <f t="shared" si="30"/>
        <v>0.04</v>
      </c>
      <c r="F98" s="962"/>
      <c r="G98" s="53">
        <f t="shared" si="31"/>
        <v>0</v>
      </c>
      <c r="H98" s="962"/>
      <c r="I98" s="53">
        <f t="shared" si="32"/>
        <v>0</v>
      </c>
      <c r="J98" s="962"/>
      <c r="K98" s="53">
        <f t="shared" si="33"/>
        <v>0.03</v>
      </c>
      <c r="L98" s="962"/>
      <c r="M98" s="53">
        <f t="shared" si="34"/>
        <v>0.03</v>
      </c>
      <c r="N98" s="962"/>
      <c r="O98" s="53">
        <f t="shared" si="35"/>
        <v>7.0000000000000007E-2</v>
      </c>
      <c r="P98" s="962"/>
      <c r="Q98" s="53">
        <f t="shared" si="36"/>
        <v>1</v>
      </c>
      <c r="R98" s="493">
        <f t="shared" si="37"/>
        <v>0</v>
      </c>
      <c r="S98" s="800">
        <f t="shared" si="28"/>
        <v>0</v>
      </c>
    </row>
    <row r="99" spans="1:19">
      <c r="A99" s="964"/>
      <c r="B99" s="137"/>
      <c r="C99" s="53">
        <f t="shared" si="29"/>
        <v>1</v>
      </c>
      <c r="D99" s="962"/>
      <c r="E99" s="53">
        <f t="shared" si="30"/>
        <v>0.04</v>
      </c>
      <c r="F99" s="962"/>
      <c r="G99" s="53">
        <f t="shared" si="31"/>
        <v>0</v>
      </c>
      <c r="H99" s="962"/>
      <c r="I99" s="53">
        <f t="shared" si="32"/>
        <v>0</v>
      </c>
      <c r="J99" s="962"/>
      <c r="K99" s="53">
        <f t="shared" si="33"/>
        <v>0.03</v>
      </c>
      <c r="L99" s="962"/>
      <c r="M99" s="53">
        <f t="shared" si="34"/>
        <v>0.03</v>
      </c>
      <c r="N99" s="962"/>
      <c r="O99" s="53">
        <f t="shared" si="35"/>
        <v>7.0000000000000007E-2</v>
      </c>
      <c r="P99" s="962"/>
      <c r="Q99" s="53">
        <f t="shared" si="36"/>
        <v>1</v>
      </c>
      <c r="R99" s="493">
        <f t="shared" si="37"/>
        <v>0</v>
      </c>
      <c r="S99" s="800">
        <f t="shared" si="28"/>
        <v>0</v>
      </c>
    </row>
    <row r="100" spans="1:19">
      <c r="A100" s="964"/>
      <c r="B100" s="137"/>
      <c r="C100" s="53">
        <f t="shared" si="29"/>
        <v>1</v>
      </c>
      <c r="D100" s="962"/>
      <c r="E100" s="53">
        <f t="shared" si="30"/>
        <v>0.04</v>
      </c>
      <c r="F100" s="962"/>
      <c r="G100" s="53">
        <f t="shared" si="31"/>
        <v>0</v>
      </c>
      <c r="H100" s="962"/>
      <c r="I100" s="53">
        <f t="shared" si="32"/>
        <v>0</v>
      </c>
      <c r="J100" s="962"/>
      <c r="K100" s="53">
        <f t="shared" si="33"/>
        <v>0.03</v>
      </c>
      <c r="L100" s="962"/>
      <c r="M100" s="53">
        <f t="shared" si="34"/>
        <v>0.03</v>
      </c>
      <c r="N100" s="962"/>
      <c r="O100" s="53">
        <f t="shared" si="35"/>
        <v>7.0000000000000007E-2</v>
      </c>
      <c r="P100" s="962"/>
      <c r="Q100" s="53">
        <f t="shared" si="36"/>
        <v>1</v>
      </c>
      <c r="R100" s="493">
        <f t="shared" si="37"/>
        <v>0</v>
      </c>
      <c r="S100" s="800">
        <f t="shared" si="28"/>
        <v>0</v>
      </c>
    </row>
    <row r="101" spans="1:19">
      <c r="A101" s="964"/>
      <c r="B101" s="137"/>
      <c r="C101" s="53">
        <f t="shared" si="29"/>
        <v>1</v>
      </c>
      <c r="D101" s="962"/>
      <c r="E101" s="53">
        <f t="shared" si="30"/>
        <v>0.04</v>
      </c>
      <c r="F101" s="962"/>
      <c r="G101" s="53">
        <f t="shared" si="31"/>
        <v>0</v>
      </c>
      <c r="H101" s="962"/>
      <c r="I101" s="53">
        <f t="shared" si="32"/>
        <v>0</v>
      </c>
      <c r="J101" s="962"/>
      <c r="K101" s="53">
        <f t="shared" si="33"/>
        <v>0.03</v>
      </c>
      <c r="L101" s="962"/>
      <c r="M101" s="53">
        <f t="shared" si="34"/>
        <v>0.03</v>
      </c>
      <c r="N101" s="962"/>
      <c r="O101" s="53">
        <f t="shared" si="35"/>
        <v>7.0000000000000007E-2</v>
      </c>
      <c r="P101" s="962"/>
      <c r="Q101" s="53">
        <f t="shared" si="36"/>
        <v>1</v>
      </c>
      <c r="R101" s="493">
        <f t="shared" si="37"/>
        <v>0</v>
      </c>
      <c r="S101" s="800">
        <f t="shared" si="28"/>
        <v>0</v>
      </c>
    </row>
    <row r="102" spans="1:19">
      <c r="A102" s="964"/>
      <c r="B102" s="137"/>
      <c r="C102" s="53">
        <f t="shared" si="29"/>
        <v>1</v>
      </c>
      <c r="D102" s="962"/>
      <c r="E102" s="53">
        <f t="shared" si="30"/>
        <v>0.04</v>
      </c>
      <c r="F102" s="962"/>
      <c r="G102" s="53">
        <f t="shared" si="31"/>
        <v>0</v>
      </c>
      <c r="H102" s="962"/>
      <c r="I102" s="53">
        <f t="shared" si="32"/>
        <v>0</v>
      </c>
      <c r="J102" s="962"/>
      <c r="K102" s="53">
        <f t="shared" si="33"/>
        <v>0.03</v>
      </c>
      <c r="L102" s="962"/>
      <c r="M102" s="53">
        <f t="shared" si="34"/>
        <v>0.03</v>
      </c>
      <c r="N102" s="962"/>
      <c r="O102" s="53">
        <f t="shared" si="35"/>
        <v>7.0000000000000007E-2</v>
      </c>
      <c r="P102" s="962"/>
      <c r="Q102" s="53">
        <f t="shared" si="36"/>
        <v>1</v>
      </c>
      <c r="R102" s="493">
        <f t="shared" si="37"/>
        <v>0</v>
      </c>
      <c r="S102" s="800">
        <f t="shared" si="28"/>
        <v>0</v>
      </c>
    </row>
    <row r="103" spans="1:19">
      <c r="A103" s="964"/>
      <c r="B103" s="137"/>
      <c r="C103" s="53">
        <f t="shared" si="29"/>
        <v>1</v>
      </c>
      <c r="D103" s="962"/>
      <c r="E103" s="53">
        <f t="shared" si="30"/>
        <v>0.04</v>
      </c>
      <c r="F103" s="962"/>
      <c r="G103" s="53">
        <f t="shared" si="31"/>
        <v>0</v>
      </c>
      <c r="H103" s="962"/>
      <c r="I103" s="53">
        <f t="shared" si="32"/>
        <v>0</v>
      </c>
      <c r="J103" s="962"/>
      <c r="K103" s="53">
        <f t="shared" si="33"/>
        <v>0.03</v>
      </c>
      <c r="L103" s="962"/>
      <c r="M103" s="53">
        <f t="shared" si="34"/>
        <v>0.03</v>
      </c>
      <c r="N103" s="962"/>
      <c r="O103" s="53">
        <f t="shared" si="35"/>
        <v>7.0000000000000007E-2</v>
      </c>
      <c r="P103" s="962"/>
      <c r="Q103" s="53">
        <f t="shared" si="36"/>
        <v>1</v>
      </c>
      <c r="R103" s="493">
        <f t="shared" si="37"/>
        <v>0</v>
      </c>
      <c r="S103" s="800">
        <f t="shared" si="28"/>
        <v>0</v>
      </c>
    </row>
    <row r="104" spans="1:19">
      <c r="A104" s="964"/>
      <c r="B104" s="137"/>
      <c r="C104" s="53">
        <f t="shared" si="29"/>
        <v>1</v>
      </c>
      <c r="D104" s="962"/>
      <c r="E104" s="53">
        <f t="shared" si="30"/>
        <v>0.04</v>
      </c>
      <c r="F104" s="962"/>
      <c r="G104" s="53">
        <f t="shared" si="31"/>
        <v>0</v>
      </c>
      <c r="H104" s="962"/>
      <c r="I104" s="53">
        <f t="shared" si="32"/>
        <v>0</v>
      </c>
      <c r="J104" s="962"/>
      <c r="K104" s="53">
        <f t="shared" si="33"/>
        <v>0.03</v>
      </c>
      <c r="L104" s="962"/>
      <c r="M104" s="53">
        <f t="shared" si="34"/>
        <v>0.03</v>
      </c>
      <c r="N104" s="962"/>
      <c r="O104" s="53">
        <f t="shared" si="35"/>
        <v>7.0000000000000007E-2</v>
      </c>
      <c r="P104" s="962"/>
      <c r="Q104" s="53">
        <f t="shared" si="36"/>
        <v>1</v>
      </c>
      <c r="R104" s="493">
        <f t="shared" si="37"/>
        <v>0</v>
      </c>
      <c r="S104" s="800">
        <f t="shared" si="28"/>
        <v>0</v>
      </c>
    </row>
    <row r="105" spans="1:19">
      <c r="A105" s="964"/>
      <c r="B105" s="137"/>
      <c r="C105" s="53">
        <f t="shared" si="29"/>
        <v>1</v>
      </c>
      <c r="D105" s="962"/>
      <c r="E105" s="53">
        <f t="shared" si="30"/>
        <v>0.04</v>
      </c>
      <c r="F105" s="962"/>
      <c r="G105" s="53">
        <f t="shared" si="31"/>
        <v>0</v>
      </c>
      <c r="H105" s="962"/>
      <c r="I105" s="53">
        <f t="shared" si="32"/>
        <v>0</v>
      </c>
      <c r="J105" s="962"/>
      <c r="K105" s="53">
        <f t="shared" si="33"/>
        <v>0.03</v>
      </c>
      <c r="L105" s="962"/>
      <c r="M105" s="53">
        <f t="shared" si="34"/>
        <v>0.03</v>
      </c>
      <c r="N105" s="962"/>
      <c r="O105" s="53">
        <f t="shared" si="35"/>
        <v>7.0000000000000007E-2</v>
      </c>
      <c r="P105" s="962"/>
      <c r="Q105" s="53">
        <f t="shared" si="36"/>
        <v>1</v>
      </c>
      <c r="R105" s="493">
        <f t="shared" si="37"/>
        <v>0</v>
      </c>
      <c r="S105" s="800">
        <f t="shared" si="28"/>
        <v>0</v>
      </c>
    </row>
    <row r="106" spans="1:19">
      <c r="A106" s="964"/>
      <c r="B106" s="137"/>
      <c r="C106" s="53">
        <f t="shared" si="29"/>
        <v>1</v>
      </c>
      <c r="D106" s="962"/>
      <c r="E106" s="53">
        <f t="shared" si="30"/>
        <v>0.04</v>
      </c>
      <c r="F106" s="962"/>
      <c r="G106" s="53">
        <f t="shared" si="31"/>
        <v>0</v>
      </c>
      <c r="H106" s="962"/>
      <c r="I106" s="53">
        <f t="shared" si="32"/>
        <v>0</v>
      </c>
      <c r="J106" s="962"/>
      <c r="K106" s="53">
        <f t="shared" si="33"/>
        <v>0.03</v>
      </c>
      <c r="L106" s="962"/>
      <c r="M106" s="53">
        <f t="shared" si="34"/>
        <v>0.03</v>
      </c>
      <c r="N106" s="962"/>
      <c r="O106" s="53">
        <f t="shared" si="35"/>
        <v>7.0000000000000007E-2</v>
      </c>
      <c r="P106" s="962"/>
      <c r="Q106" s="53">
        <f t="shared" si="36"/>
        <v>1</v>
      </c>
      <c r="R106" s="493">
        <f t="shared" si="37"/>
        <v>0</v>
      </c>
      <c r="S106" s="800">
        <f t="shared" si="28"/>
        <v>0</v>
      </c>
    </row>
    <row r="107" spans="1:19">
      <c r="A107" s="964"/>
      <c r="B107" s="137"/>
      <c r="C107" s="53">
        <f t="shared" si="29"/>
        <v>1</v>
      </c>
      <c r="D107" s="962"/>
      <c r="E107" s="53">
        <f t="shared" si="30"/>
        <v>0.04</v>
      </c>
      <c r="F107" s="962"/>
      <c r="G107" s="53">
        <f t="shared" si="31"/>
        <v>0</v>
      </c>
      <c r="H107" s="962"/>
      <c r="I107" s="53">
        <f t="shared" si="32"/>
        <v>0</v>
      </c>
      <c r="J107" s="962"/>
      <c r="K107" s="53">
        <f t="shared" si="33"/>
        <v>0.03</v>
      </c>
      <c r="L107" s="962"/>
      <c r="M107" s="53">
        <f t="shared" si="34"/>
        <v>0.03</v>
      </c>
      <c r="N107" s="962"/>
      <c r="O107" s="53">
        <f t="shared" si="35"/>
        <v>7.0000000000000007E-2</v>
      </c>
      <c r="P107" s="962"/>
      <c r="Q107" s="53">
        <f t="shared" si="36"/>
        <v>1</v>
      </c>
      <c r="R107" s="493">
        <f t="shared" si="37"/>
        <v>0</v>
      </c>
      <c r="S107" s="800">
        <f t="shared" si="28"/>
        <v>0</v>
      </c>
    </row>
    <row r="108" spans="1:19">
      <c r="A108" s="964"/>
      <c r="B108" s="137"/>
      <c r="C108" s="53">
        <f t="shared" si="29"/>
        <v>1</v>
      </c>
      <c r="D108" s="962"/>
      <c r="E108" s="53">
        <f t="shared" si="30"/>
        <v>0.04</v>
      </c>
      <c r="F108" s="962"/>
      <c r="G108" s="53">
        <f t="shared" si="31"/>
        <v>0</v>
      </c>
      <c r="H108" s="962"/>
      <c r="I108" s="53">
        <f t="shared" si="32"/>
        <v>0</v>
      </c>
      <c r="J108" s="962"/>
      <c r="K108" s="53">
        <f t="shared" si="33"/>
        <v>0.03</v>
      </c>
      <c r="L108" s="962"/>
      <c r="M108" s="53">
        <f t="shared" si="34"/>
        <v>0.03</v>
      </c>
      <c r="N108" s="962"/>
      <c r="O108" s="53">
        <f t="shared" si="35"/>
        <v>7.0000000000000007E-2</v>
      </c>
      <c r="P108" s="962"/>
      <c r="Q108" s="53">
        <f t="shared" si="36"/>
        <v>1</v>
      </c>
      <c r="R108" s="493">
        <f t="shared" si="37"/>
        <v>0</v>
      </c>
      <c r="S108" s="800">
        <f t="shared" si="28"/>
        <v>0</v>
      </c>
    </row>
    <row r="109" spans="1:19">
      <c r="A109" s="964"/>
      <c r="B109" s="137"/>
      <c r="C109" s="53">
        <f t="shared" si="29"/>
        <v>1</v>
      </c>
      <c r="D109" s="962"/>
      <c r="E109" s="53">
        <f t="shared" si="30"/>
        <v>0.04</v>
      </c>
      <c r="F109" s="962"/>
      <c r="G109" s="53">
        <f t="shared" si="31"/>
        <v>0</v>
      </c>
      <c r="H109" s="962"/>
      <c r="I109" s="53">
        <f t="shared" si="32"/>
        <v>0</v>
      </c>
      <c r="J109" s="962"/>
      <c r="K109" s="53">
        <f t="shared" si="33"/>
        <v>0.03</v>
      </c>
      <c r="L109" s="962"/>
      <c r="M109" s="53">
        <f t="shared" si="34"/>
        <v>0.03</v>
      </c>
      <c r="N109" s="962"/>
      <c r="O109" s="53">
        <f t="shared" si="35"/>
        <v>7.0000000000000007E-2</v>
      </c>
      <c r="P109" s="962"/>
      <c r="Q109" s="53">
        <f t="shared" si="36"/>
        <v>1</v>
      </c>
      <c r="R109" s="493">
        <f t="shared" si="37"/>
        <v>0</v>
      </c>
      <c r="S109" s="800">
        <f t="shared" si="28"/>
        <v>0</v>
      </c>
    </row>
    <row r="110" spans="1:19">
      <c r="A110" s="964"/>
      <c r="B110" s="137"/>
      <c r="C110" s="53">
        <f t="shared" si="29"/>
        <v>1</v>
      </c>
      <c r="D110" s="962"/>
      <c r="E110" s="53">
        <f t="shared" si="30"/>
        <v>0.04</v>
      </c>
      <c r="F110" s="962"/>
      <c r="G110" s="53">
        <f t="shared" si="31"/>
        <v>0</v>
      </c>
      <c r="H110" s="962"/>
      <c r="I110" s="53">
        <f t="shared" si="32"/>
        <v>0</v>
      </c>
      <c r="J110" s="962"/>
      <c r="K110" s="53">
        <f t="shared" si="33"/>
        <v>0.03</v>
      </c>
      <c r="L110" s="962"/>
      <c r="M110" s="53">
        <f t="shared" si="34"/>
        <v>0.03</v>
      </c>
      <c r="N110" s="962"/>
      <c r="O110" s="53">
        <f t="shared" si="35"/>
        <v>7.0000000000000007E-2</v>
      </c>
      <c r="P110" s="962"/>
      <c r="Q110" s="53">
        <f t="shared" si="36"/>
        <v>1</v>
      </c>
      <c r="R110" s="493">
        <f t="shared" si="37"/>
        <v>0</v>
      </c>
      <c r="S110" s="800">
        <f t="shared" si="28"/>
        <v>0</v>
      </c>
    </row>
    <row r="111" spans="1:19">
      <c r="A111" s="964"/>
      <c r="B111" s="137"/>
      <c r="C111" s="53">
        <f t="shared" si="29"/>
        <v>1</v>
      </c>
      <c r="D111" s="962"/>
      <c r="E111" s="53">
        <f t="shared" si="30"/>
        <v>0.04</v>
      </c>
      <c r="F111" s="962"/>
      <c r="G111" s="53">
        <f t="shared" si="31"/>
        <v>0</v>
      </c>
      <c r="H111" s="962"/>
      <c r="I111" s="53">
        <f t="shared" si="32"/>
        <v>0</v>
      </c>
      <c r="J111" s="962"/>
      <c r="K111" s="53">
        <f t="shared" si="33"/>
        <v>0.03</v>
      </c>
      <c r="L111" s="962"/>
      <c r="M111" s="53">
        <f t="shared" si="34"/>
        <v>0.03</v>
      </c>
      <c r="N111" s="962"/>
      <c r="O111" s="53">
        <f t="shared" si="35"/>
        <v>7.0000000000000007E-2</v>
      </c>
      <c r="P111" s="962"/>
      <c r="Q111" s="53">
        <f t="shared" si="36"/>
        <v>1</v>
      </c>
      <c r="R111" s="493">
        <f t="shared" si="37"/>
        <v>0</v>
      </c>
      <c r="S111" s="800">
        <f t="shared" si="28"/>
        <v>0</v>
      </c>
    </row>
    <row r="112" spans="1:19">
      <c r="A112" s="964"/>
      <c r="B112" s="137"/>
      <c r="C112" s="53">
        <f t="shared" si="29"/>
        <v>1</v>
      </c>
      <c r="D112" s="962"/>
      <c r="E112" s="53">
        <f t="shared" si="30"/>
        <v>0.04</v>
      </c>
      <c r="F112" s="962"/>
      <c r="G112" s="53">
        <f t="shared" si="31"/>
        <v>0</v>
      </c>
      <c r="H112" s="962"/>
      <c r="I112" s="53">
        <f t="shared" si="32"/>
        <v>0</v>
      </c>
      <c r="J112" s="962"/>
      <c r="K112" s="53">
        <f t="shared" si="33"/>
        <v>0.03</v>
      </c>
      <c r="L112" s="962"/>
      <c r="M112" s="53">
        <f t="shared" si="34"/>
        <v>0.03</v>
      </c>
      <c r="N112" s="962"/>
      <c r="O112" s="53">
        <f t="shared" si="35"/>
        <v>7.0000000000000007E-2</v>
      </c>
      <c r="P112" s="962"/>
      <c r="Q112" s="53">
        <f t="shared" si="36"/>
        <v>1</v>
      </c>
      <c r="R112" s="493">
        <f t="shared" si="37"/>
        <v>0</v>
      </c>
      <c r="S112" s="800">
        <f t="shared" si="28"/>
        <v>0</v>
      </c>
    </row>
    <row r="113" spans="1:19">
      <c r="A113" s="964"/>
      <c r="B113" s="137"/>
      <c r="C113" s="53">
        <f t="shared" si="29"/>
        <v>1</v>
      </c>
      <c r="D113" s="962"/>
      <c r="E113" s="53">
        <f t="shared" si="30"/>
        <v>0.04</v>
      </c>
      <c r="F113" s="962"/>
      <c r="G113" s="53">
        <f t="shared" si="31"/>
        <v>0</v>
      </c>
      <c r="H113" s="962"/>
      <c r="I113" s="53">
        <f t="shared" si="32"/>
        <v>0</v>
      </c>
      <c r="J113" s="962"/>
      <c r="K113" s="53">
        <f t="shared" si="33"/>
        <v>0.03</v>
      </c>
      <c r="L113" s="962"/>
      <c r="M113" s="53">
        <f t="shared" si="34"/>
        <v>0.03</v>
      </c>
      <c r="N113" s="962"/>
      <c r="O113" s="53">
        <f t="shared" si="35"/>
        <v>7.0000000000000007E-2</v>
      </c>
      <c r="P113" s="962"/>
      <c r="Q113" s="53">
        <f t="shared" si="36"/>
        <v>1</v>
      </c>
      <c r="R113" s="493">
        <f t="shared" si="37"/>
        <v>0</v>
      </c>
      <c r="S113" s="800">
        <f t="shared" si="28"/>
        <v>0</v>
      </c>
    </row>
    <row r="114" spans="1:19">
      <c r="A114" s="964"/>
      <c r="B114" s="137"/>
      <c r="C114" s="53">
        <f t="shared" si="29"/>
        <v>1</v>
      </c>
      <c r="D114" s="962"/>
      <c r="E114" s="53">
        <f t="shared" si="30"/>
        <v>0.04</v>
      </c>
      <c r="F114" s="962"/>
      <c r="G114" s="53">
        <f t="shared" si="31"/>
        <v>0</v>
      </c>
      <c r="H114" s="962"/>
      <c r="I114" s="53">
        <f t="shared" si="32"/>
        <v>0</v>
      </c>
      <c r="J114" s="962"/>
      <c r="K114" s="53">
        <f t="shared" si="33"/>
        <v>0.03</v>
      </c>
      <c r="L114" s="962"/>
      <c r="M114" s="53">
        <f t="shared" si="34"/>
        <v>0.03</v>
      </c>
      <c r="N114" s="962"/>
      <c r="O114" s="53">
        <f t="shared" si="35"/>
        <v>7.0000000000000007E-2</v>
      </c>
      <c r="P114" s="962"/>
      <c r="Q114" s="53">
        <f t="shared" si="36"/>
        <v>1</v>
      </c>
      <c r="R114" s="493">
        <f t="shared" si="37"/>
        <v>0</v>
      </c>
      <c r="S114" s="800">
        <f t="shared" si="28"/>
        <v>0</v>
      </c>
    </row>
    <row r="115" spans="1:19">
      <c r="A115" s="964"/>
      <c r="B115" s="137"/>
      <c r="C115" s="53">
        <f t="shared" si="29"/>
        <v>1</v>
      </c>
      <c r="D115" s="962"/>
      <c r="E115" s="53">
        <f t="shared" si="30"/>
        <v>0.04</v>
      </c>
      <c r="F115" s="962"/>
      <c r="G115" s="53">
        <f t="shared" si="31"/>
        <v>0</v>
      </c>
      <c r="H115" s="962"/>
      <c r="I115" s="53">
        <f t="shared" si="32"/>
        <v>0</v>
      </c>
      <c r="J115" s="962"/>
      <c r="K115" s="53">
        <f t="shared" si="33"/>
        <v>0.03</v>
      </c>
      <c r="L115" s="962"/>
      <c r="M115" s="53">
        <f t="shared" si="34"/>
        <v>0.03</v>
      </c>
      <c r="N115" s="962"/>
      <c r="O115" s="53">
        <f t="shared" si="35"/>
        <v>7.0000000000000007E-2</v>
      </c>
      <c r="P115" s="962"/>
      <c r="Q115" s="53">
        <f t="shared" si="36"/>
        <v>1</v>
      </c>
      <c r="R115" s="493">
        <f t="shared" si="37"/>
        <v>0</v>
      </c>
      <c r="S115" s="800">
        <f t="shared" si="28"/>
        <v>0</v>
      </c>
    </row>
    <row r="116" spans="1:19">
      <c r="A116" s="964"/>
      <c r="B116" s="137"/>
      <c r="C116" s="53">
        <f t="shared" si="29"/>
        <v>1</v>
      </c>
      <c r="D116" s="962"/>
      <c r="E116" s="53">
        <f t="shared" si="30"/>
        <v>0.04</v>
      </c>
      <c r="F116" s="962"/>
      <c r="G116" s="53">
        <f t="shared" si="31"/>
        <v>0</v>
      </c>
      <c r="H116" s="962"/>
      <c r="I116" s="53">
        <f t="shared" si="32"/>
        <v>0</v>
      </c>
      <c r="J116" s="962"/>
      <c r="K116" s="53">
        <f t="shared" si="33"/>
        <v>0.03</v>
      </c>
      <c r="L116" s="962"/>
      <c r="M116" s="53">
        <f t="shared" si="34"/>
        <v>0.03</v>
      </c>
      <c r="N116" s="962"/>
      <c r="O116" s="53">
        <f t="shared" si="35"/>
        <v>7.0000000000000007E-2</v>
      </c>
      <c r="P116" s="962"/>
      <c r="Q116" s="53">
        <f t="shared" si="36"/>
        <v>1</v>
      </c>
      <c r="R116" s="493">
        <f t="shared" si="37"/>
        <v>0</v>
      </c>
      <c r="S116" s="800">
        <f t="shared" si="28"/>
        <v>0</v>
      </c>
    </row>
    <row r="117" spans="1:19">
      <c r="A117" s="964"/>
      <c r="B117" s="137"/>
      <c r="C117" s="53">
        <f t="shared" si="29"/>
        <v>1</v>
      </c>
      <c r="D117" s="962"/>
      <c r="E117" s="53">
        <f t="shared" si="30"/>
        <v>0.04</v>
      </c>
      <c r="F117" s="962"/>
      <c r="G117" s="53">
        <f t="shared" si="31"/>
        <v>0</v>
      </c>
      <c r="H117" s="962"/>
      <c r="I117" s="53">
        <f t="shared" si="32"/>
        <v>0</v>
      </c>
      <c r="J117" s="962"/>
      <c r="K117" s="53">
        <f t="shared" si="33"/>
        <v>0.03</v>
      </c>
      <c r="L117" s="962"/>
      <c r="M117" s="53">
        <f t="shared" si="34"/>
        <v>0.03</v>
      </c>
      <c r="N117" s="962"/>
      <c r="O117" s="53">
        <f t="shared" si="35"/>
        <v>7.0000000000000007E-2</v>
      </c>
      <c r="P117" s="962"/>
      <c r="Q117" s="53">
        <f t="shared" si="36"/>
        <v>1</v>
      </c>
      <c r="R117" s="493">
        <f t="shared" si="37"/>
        <v>0</v>
      </c>
      <c r="S117" s="800">
        <f t="shared" si="28"/>
        <v>0</v>
      </c>
    </row>
    <row r="118" spans="1:19">
      <c r="A118" s="964"/>
      <c r="B118" s="137"/>
      <c r="C118" s="53">
        <f t="shared" si="29"/>
        <v>1</v>
      </c>
      <c r="D118" s="962"/>
      <c r="E118" s="53">
        <f t="shared" si="30"/>
        <v>0.04</v>
      </c>
      <c r="F118" s="962"/>
      <c r="G118" s="53">
        <f t="shared" si="31"/>
        <v>0</v>
      </c>
      <c r="H118" s="962"/>
      <c r="I118" s="53">
        <f t="shared" si="32"/>
        <v>0</v>
      </c>
      <c r="J118" s="962"/>
      <c r="K118" s="53">
        <f t="shared" si="33"/>
        <v>0.03</v>
      </c>
      <c r="L118" s="962"/>
      <c r="M118" s="53">
        <f t="shared" si="34"/>
        <v>0.03</v>
      </c>
      <c r="N118" s="962"/>
      <c r="O118" s="53">
        <f t="shared" si="35"/>
        <v>7.0000000000000007E-2</v>
      </c>
      <c r="P118" s="962"/>
      <c r="Q118" s="53">
        <f t="shared" si="36"/>
        <v>1</v>
      </c>
      <c r="R118" s="493">
        <f t="shared" si="37"/>
        <v>0</v>
      </c>
      <c r="S118" s="800">
        <f t="shared" si="28"/>
        <v>0</v>
      </c>
    </row>
    <row r="119" spans="1:19">
      <c r="A119" s="964"/>
      <c r="B119" s="137"/>
      <c r="C119" s="53">
        <f t="shared" si="29"/>
        <v>1</v>
      </c>
      <c r="D119" s="962"/>
      <c r="E119" s="53">
        <f t="shared" si="30"/>
        <v>0.04</v>
      </c>
      <c r="F119" s="962"/>
      <c r="G119" s="53">
        <f t="shared" si="31"/>
        <v>0</v>
      </c>
      <c r="H119" s="962"/>
      <c r="I119" s="53">
        <f t="shared" si="32"/>
        <v>0</v>
      </c>
      <c r="J119" s="962"/>
      <c r="K119" s="53">
        <f t="shared" si="33"/>
        <v>0.03</v>
      </c>
      <c r="L119" s="962"/>
      <c r="M119" s="53">
        <f t="shared" si="34"/>
        <v>0.03</v>
      </c>
      <c r="N119" s="962"/>
      <c r="O119" s="53">
        <f t="shared" si="35"/>
        <v>7.0000000000000007E-2</v>
      </c>
      <c r="P119" s="962"/>
      <c r="Q119" s="53">
        <f t="shared" si="36"/>
        <v>1</v>
      </c>
      <c r="R119" s="493">
        <f t="shared" si="37"/>
        <v>0</v>
      </c>
      <c r="S119" s="800">
        <f t="shared" si="28"/>
        <v>0</v>
      </c>
    </row>
    <row r="120" spans="1:19">
      <c r="A120" s="964"/>
      <c r="B120" s="137"/>
      <c r="C120" s="53">
        <f t="shared" si="29"/>
        <v>1</v>
      </c>
      <c r="D120" s="962"/>
      <c r="E120" s="53">
        <f t="shared" si="30"/>
        <v>0.04</v>
      </c>
      <c r="F120" s="962"/>
      <c r="G120" s="53">
        <f t="shared" si="31"/>
        <v>0</v>
      </c>
      <c r="H120" s="962"/>
      <c r="I120" s="53">
        <f t="shared" si="32"/>
        <v>0</v>
      </c>
      <c r="J120" s="962"/>
      <c r="K120" s="53">
        <f t="shared" si="33"/>
        <v>0.03</v>
      </c>
      <c r="L120" s="962"/>
      <c r="M120" s="53">
        <f t="shared" si="34"/>
        <v>0.03</v>
      </c>
      <c r="N120" s="962"/>
      <c r="O120" s="53">
        <f t="shared" si="35"/>
        <v>7.0000000000000007E-2</v>
      </c>
      <c r="P120" s="962"/>
      <c r="Q120" s="53">
        <f t="shared" si="36"/>
        <v>1</v>
      </c>
      <c r="R120" s="493">
        <f t="shared" si="37"/>
        <v>0</v>
      </c>
      <c r="S120" s="800">
        <f t="shared" si="28"/>
        <v>0</v>
      </c>
    </row>
    <row r="121" spans="1:19">
      <c r="A121" s="964"/>
      <c r="B121" s="137"/>
      <c r="C121" s="53">
        <f t="shared" si="29"/>
        <v>1</v>
      </c>
      <c r="D121" s="962"/>
      <c r="E121" s="53">
        <f t="shared" si="30"/>
        <v>0.04</v>
      </c>
      <c r="F121" s="962"/>
      <c r="G121" s="53">
        <f t="shared" si="31"/>
        <v>0</v>
      </c>
      <c r="H121" s="962"/>
      <c r="I121" s="53">
        <f t="shared" si="32"/>
        <v>0</v>
      </c>
      <c r="J121" s="962"/>
      <c r="K121" s="53">
        <f t="shared" si="33"/>
        <v>0.03</v>
      </c>
      <c r="L121" s="962"/>
      <c r="M121" s="53">
        <f t="shared" si="34"/>
        <v>0.03</v>
      </c>
      <c r="N121" s="962"/>
      <c r="O121" s="53">
        <f t="shared" si="35"/>
        <v>7.0000000000000007E-2</v>
      </c>
      <c r="P121" s="962"/>
      <c r="Q121" s="53">
        <f t="shared" si="36"/>
        <v>1</v>
      </c>
      <c r="R121" s="493">
        <f t="shared" si="37"/>
        <v>0</v>
      </c>
      <c r="S121" s="800">
        <f t="shared" si="28"/>
        <v>0</v>
      </c>
    </row>
    <row r="122" spans="1:19">
      <c r="A122" s="964"/>
      <c r="B122" s="137"/>
      <c r="C122" s="53">
        <f t="shared" si="29"/>
        <v>1</v>
      </c>
      <c r="D122" s="962"/>
      <c r="E122" s="53">
        <f t="shared" si="30"/>
        <v>0.04</v>
      </c>
      <c r="F122" s="962"/>
      <c r="G122" s="53">
        <f t="shared" si="31"/>
        <v>0</v>
      </c>
      <c r="H122" s="962"/>
      <c r="I122" s="53">
        <f t="shared" si="32"/>
        <v>0</v>
      </c>
      <c r="J122" s="962"/>
      <c r="K122" s="53">
        <f t="shared" si="33"/>
        <v>0.03</v>
      </c>
      <c r="L122" s="962"/>
      <c r="M122" s="53">
        <f t="shared" si="34"/>
        <v>0.03</v>
      </c>
      <c r="N122" s="962"/>
      <c r="O122" s="53">
        <f t="shared" si="35"/>
        <v>7.0000000000000007E-2</v>
      </c>
      <c r="P122" s="962"/>
      <c r="Q122" s="53">
        <f t="shared" si="36"/>
        <v>1</v>
      </c>
      <c r="R122" s="493">
        <f t="shared" si="37"/>
        <v>0</v>
      </c>
      <c r="S122" s="800">
        <f t="shared" si="28"/>
        <v>0</v>
      </c>
    </row>
    <row r="123" spans="1:19">
      <c r="A123" s="964"/>
      <c r="B123" s="137"/>
      <c r="C123" s="53">
        <f t="shared" si="29"/>
        <v>1</v>
      </c>
      <c r="D123" s="962"/>
      <c r="E123" s="53">
        <f t="shared" si="30"/>
        <v>0.04</v>
      </c>
      <c r="F123" s="962"/>
      <c r="G123" s="53">
        <f t="shared" si="31"/>
        <v>0</v>
      </c>
      <c r="H123" s="962"/>
      <c r="I123" s="53">
        <f t="shared" si="32"/>
        <v>0</v>
      </c>
      <c r="J123" s="962"/>
      <c r="K123" s="53">
        <f t="shared" si="33"/>
        <v>0.03</v>
      </c>
      <c r="L123" s="962"/>
      <c r="M123" s="53">
        <f t="shared" si="34"/>
        <v>0.03</v>
      </c>
      <c r="N123" s="962"/>
      <c r="O123" s="53">
        <f t="shared" si="35"/>
        <v>7.0000000000000007E-2</v>
      </c>
      <c r="P123" s="962"/>
      <c r="Q123" s="53">
        <f t="shared" si="36"/>
        <v>1</v>
      </c>
      <c r="R123" s="493">
        <f t="shared" si="37"/>
        <v>0</v>
      </c>
      <c r="S123" s="800">
        <f t="shared" ref="S123:S186" si="38">ROUND(R123*B123/10000,0)</f>
        <v>0</v>
      </c>
    </row>
    <row r="124" spans="1:19">
      <c r="A124" s="964"/>
      <c r="B124" s="137"/>
      <c r="C124" s="53">
        <f t="shared" si="29"/>
        <v>1</v>
      </c>
      <c r="D124" s="962"/>
      <c r="E124" s="53">
        <f t="shared" si="30"/>
        <v>0.04</v>
      </c>
      <c r="F124" s="962"/>
      <c r="G124" s="53">
        <f t="shared" si="31"/>
        <v>0</v>
      </c>
      <c r="H124" s="962"/>
      <c r="I124" s="53">
        <f t="shared" si="32"/>
        <v>0</v>
      </c>
      <c r="J124" s="962"/>
      <c r="K124" s="53">
        <f t="shared" si="33"/>
        <v>0.03</v>
      </c>
      <c r="L124" s="962"/>
      <c r="M124" s="53">
        <f t="shared" si="34"/>
        <v>0.03</v>
      </c>
      <c r="N124" s="962"/>
      <c r="O124" s="53">
        <f t="shared" si="35"/>
        <v>7.0000000000000007E-2</v>
      </c>
      <c r="P124" s="962"/>
      <c r="Q124" s="53">
        <f t="shared" si="36"/>
        <v>1</v>
      </c>
      <c r="R124" s="493">
        <f t="shared" si="37"/>
        <v>0</v>
      </c>
      <c r="S124" s="800">
        <f t="shared" si="38"/>
        <v>0</v>
      </c>
    </row>
    <row r="125" spans="1:19">
      <c r="A125" s="964"/>
      <c r="B125" s="137"/>
      <c r="C125" s="53">
        <f t="shared" si="29"/>
        <v>1</v>
      </c>
      <c r="D125" s="962"/>
      <c r="E125" s="53">
        <f t="shared" si="30"/>
        <v>0.04</v>
      </c>
      <c r="F125" s="962"/>
      <c r="G125" s="53">
        <f t="shared" si="31"/>
        <v>0</v>
      </c>
      <c r="H125" s="962"/>
      <c r="I125" s="53">
        <f t="shared" si="32"/>
        <v>0</v>
      </c>
      <c r="J125" s="962"/>
      <c r="K125" s="53">
        <f t="shared" si="33"/>
        <v>0.03</v>
      </c>
      <c r="L125" s="962"/>
      <c r="M125" s="53">
        <f t="shared" si="34"/>
        <v>0.03</v>
      </c>
      <c r="N125" s="962"/>
      <c r="O125" s="53">
        <f t="shared" si="35"/>
        <v>7.0000000000000007E-2</v>
      </c>
      <c r="P125" s="962"/>
      <c r="Q125" s="53">
        <f t="shared" si="36"/>
        <v>1</v>
      </c>
      <c r="R125" s="493">
        <f t="shared" si="37"/>
        <v>0</v>
      </c>
      <c r="S125" s="800">
        <f t="shared" si="38"/>
        <v>0</v>
      </c>
    </row>
    <row r="126" spans="1:19">
      <c r="A126" s="964"/>
      <c r="B126" s="137"/>
      <c r="C126" s="53">
        <f t="shared" si="29"/>
        <v>1</v>
      </c>
      <c r="D126" s="962"/>
      <c r="E126" s="53">
        <f t="shared" si="30"/>
        <v>0.04</v>
      </c>
      <c r="F126" s="962"/>
      <c r="G126" s="53">
        <f t="shared" si="31"/>
        <v>0</v>
      </c>
      <c r="H126" s="962"/>
      <c r="I126" s="53">
        <f t="shared" si="32"/>
        <v>0</v>
      </c>
      <c r="J126" s="962"/>
      <c r="K126" s="53">
        <f t="shared" si="33"/>
        <v>0.03</v>
      </c>
      <c r="L126" s="962"/>
      <c r="M126" s="53">
        <f t="shared" si="34"/>
        <v>0.03</v>
      </c>
      <c r="N126" s="962"/>
      <c r="O126" s="53">
        <f t="shared" si="35"/>
        <v>7.0000000000000007E-2</v>
      </c>
      <c r="P126" s="962"/>
      <c r="Q126" s="53">
        <f t="shared" si="36"/>
        <v>1</v>
      </c>
      <c r="R126" s="493">
        <f t="shared" si="37"/>
        <v>0</v>
      </c>
      <c r="S126" s="800">
        <f t="shared" si="38"/>
        <v>0</v>
      </c>
    </row>
    <row r="127" spans="1:19">
      <c r="A127" s="964"/>
      <c r="B127" s="137"/>
      <c r="C127" s="53">
        <f t="shared" si="29"/>
        <v>1</v>
      </c>
      <c r="D127" s="962"/>
      <c r="E127" s="53">
        <f t="shared" si="30"/>
        <v>0.04</v>
      </c>
      <c r="F127" s="962"/>
      <c r="G127" s="53">
        <f t="shared" si="31"/>
        <v>0</v>
      </c>
      <c r="H127" s="962"/>
      <c r="I127" s="53">
        <f t="shared" si="32"/>
        <v>0</v>
      </c>
      <c r="J127" s="962"/>
      <c r="K127" s="53">
        <f t="shared" si="33"/>
        <v>0.03</v>
      </c>
      <c r="L127" s="962"/>
      <c r="M127" s="53">
        <f t="shared" si="34"/>
        <v>0.03</v>
      </c>
      <c r="N127" s="962"/>
      <c r="O127" s="53">
        <f t="shared" si="35"/>
        <v>7.0000000000000007E-2</v>
      </c>
      <c r="P127" s="962"/>
      <c r="Q127" s="53">
        <f t="shared" si="36"/>
        <v>1</v>
      </c>
      <c r="R127" s="493">
        <f t="shared" si="37"/>
        <v>0</v>
      </c>
      <c r="S127" s="800">
        <f t="shared" si="38"/>
        <v>0</v>
      </c>
    </row>
    <row r="128" spans="1:19">
      <c r="A128" s="964"/>
      <c r="B128" s="137"/>
      <c r="C128" s="53">
        <f t="shared" si="29"/>
        <v>1</v>
      </c>
      <c r="D128" s="962"/>
      <c r="E128" s="53">
        <f t="shared" si="30"/>
        <v>0.04</v>
      </c>
      <c r="F128" s="962"/>
      <c r="G128" s="53">
        <f t="shared" si="31"/>
        <v>0</v>
      </c>
      <c r="H128" s="962"/>
      <c r="I128" s="53">
        <f t="shared" si="32"/>
        <v>0</v>
      </c>
      <c r="J128" s="962"/>
      <c r="K128" s="53">
        <f t="shared" si="33"/>
        <v>0.03</v>
      </c>
      <c r="L128" s="962"/>
      <c r="M128" s="53">
        <f t="shared" si="34"/>
        <v>0.03</v>
      </c>
      <c r="N128" s="962"/>
      <c r="O128" s="53">
        <f t="shared" si="35"/>
        <v>7.0000000000000007E-2</v>
      </c>
      <c r="P128" s="962"/>
      <c r="Q128" s="53">
        <f t="shared" si="36"/>
        <v>1</v>
      </c>
      <c r="R128" s="493">
        <f t="shared" si="37"/>
        <v>0</v>
      </c>
      <c r="S128" s="800">
        <f t="shared" si="38"/>
        <v>0</v>
      </c>
    </row>
    <row r="129" spans="1:19">
      <c r="A129" s="964"/>
      <c r="B129" s="137"/>
      <c r="C129" s="53">
        <f t="shared" si="29"/>
        <v>1</v>
      </c>
      <c r="D129" s="962"/>
      <c r="E129" s="53">
        <f t="shared" si="30"/>
        <v>0.04</v>
      </c>
      <c r="F129" s="962"/>
      <c r="G129" s="53">
        <f t="shared" si="31"/>
        <v>0</v>
      </c>
      <c r="H129" s="962"/>
      <c r="I129" s="53">
        <f t="shared" si="32"/>
        <v>0</v>
      </c>
      <c r="J129" s="962"/>
      <c r="K129" s="53">
        <f t="shared" si="33"/>
        <v>0.03</v>
      </c>
      <c r="L129" s="962"/>
      <c r="M129" s="53">
        <f t="shared" si="34"/>
        <v>0.03</v>
      </c>
      <c r="N129" s="962"/>
      <c r="O129" s="53">
        <f t="shared" si="35"/>
        <v>7.0000000000000007E-2</v>
      </c>
      <c r="P129" s="962"/>
      <c r="Q129" s="53">
        <f t="shared" si="36"/>
        <v>1</v>
      </c>
      <c r="R129" s="493">
        <f t="shared" si="37"/>
        <v>0</v>
      </c>
      <c r="S129" s="800">
        <f t="shared" si="38"/>
        <v>0</v>
      </c>
    </row>
    <row r="130" spans="1:19">
      <c r="A130" s="964"/>
      <c r="B130" s="137"/>
      <c r="C130" s="53">
        <f t="shared" si="29"/>
        <v>1</v>
      </c>
      <c r="D130" s="962"/>
      <c r="E130" s="53">
        <f t="shared" si="30"/>
        <v>0.04</v>
      </c>
      <c r="F130" s="962"/>
      <c r="G130" s="53">
        <f t="shared" si="31"/>
        <v>0</v>
      </c>
      <c r="H130" s="962"/>
      <c r="I130" s="53">
        <f t="shared" si="32"/>
        <v>0</v>
      </c>
      <c r="J130" s="962"/>
      <c r="K130" s="53">
        <f t="shared" si="33"/>
        <v>0.03</v>
      </c>
      <c r="L130" s="962"/>
      <c r="M130" s="53">
        <f t="shared" si="34"/>
        <v>0.03</v>
      </c>
      <c r="N130" s="962"/>
      <c r="O130" s="53">
        <f t="shared" si="35"/>
        <v>7.0000000000000007E-2</v>
      </c>
      <c r="P130" s="962"/>
      <c r="Q130" s="53">
        <f t="shared" si="36"/>
        <v>1</v>
      </c>
      <c r="R130" s="493">
        <f t="shared" si="37"/>
        <v>0</v>
      </c>
      <c r="S130" s="800">
        <f t="shared" si="38"/>
        <v>0</v>
      </c>
    </row>
    <row r="131" spans="1:19">
      <c r="A131" s="964"/>
      <c r="B131" s="137"/>
      <c r="C131" s="53">
        <f t="shared" si="29"/>
        <v>1</v>
      </c>
      <c r="D131" s="962"/>
      <c r="E131" s="53">
        <f t="shared" si="30"/>
        <v>0.04</v>
      </c>
      <c r="F131" s="962"/>
      <c r="G131" s="53">
        <f t="shared" si="31"/>
        <v>0</v>
      </c>
      <c r="H131" s="962"/>
      <c r="I131" s="53">
        <f t="shared" si="32"/>
        <v>0</v>
      </c>
      <c r="J131" s="962"/>
      <c r="K131" s="53">
        <f t="shared" si="33"/>
        <v>0.03</v>
      </c>
      <c r="L131" s="962"/>
      <c r="M131" s="53">
        <f t="shared" si="34"/>
        <v>0.03</v>
      </c>
      <c r="N131" s="962"/>
      <c r="O131" s="53">
        <f t="shared" si="35"/>
        <v>7.0000000000000007E-2</v>
      </c>
      <c r="P131" s="962"/>
      <c r="Q131" s="53">
        <f t="shared" si="36"/>
        <v>1</v>
      </c>
      <c r="R131" s="493">
        <f t="shared" si="37"/>
        <v>0</v>
      </c>
      <c r="S131" s="800">
        <f t="shared" si="38"/>
        <v>0</v>
      </c>
    </row>
    <row r="132" spans="1:19">
      <c r="A132" s="964"/>
      <c r="B132" s="137"/>
      <c r="C132" s="53">
        <f t="shared" si="29"/>
        <v>1</v>
      </c>
      <c r="D132" s="962"/>
      <c r="E132" s="53">
        <f t="shared" si="30"/>
        <v>0.04</v>
      </c>
      <c r="F132" s="962"/>
      <c r="G132" s="53">
        <f t="shared" si="31"/>
        <v>0</v>
      </c>
      <c r="H132" s="962"/>
      <c r="I132" s="53">
        <f t="shared" si="32"/>
        <v>0</v>
      </c>
      <c r="J132" s="962"/>
      <c r="K132" s="53">
        <f t="shared" si="33"/>
        <v>0.03</v>
      </c>
      <c r="L132" s="962"/>
      <c r="M132" s="53">
        <f t="shared" si="34"/>
        <v>0.03</v>
      </c>
      <c r="N132" s="962"/>
      <c r="O132" s="53">
        <f t="shared" si="35"/>
        <v>7.0000000000000007E-2</v>
      </c>
      <c r="P132" s="962"/>
      <c r="Q132" s="53">
        <f t="shared" si="36"/>
        <v>1</v>
      </c>
      <c r="R132" s="493">
        <f t="shared" si="37"/>
        <v>0</v>
      </c>
      <c r="S132" s="800">
        <f t="shared" si="38"/>
        <v>0</v>
      </c>
    </row>
    <row r="133" spans="1:19">
      <c r="A133" s="964"/>
      <c r="B133" s="137"/>
      <c r="C133" s="53">
        <f t="shared" si="29"/>
        <v>1</v>
      </c>
      <c r="D133" s="962"/>
      <c r="E133" s="53">
        <f t="shared" si="30"/>
        <v>0.04</v>
      </c>
      <c r="F133" s="962"/>
      <c r="G133" s="53">
        <f t="shared" si="31"/>
        <v>0</v>
      </c>
      <c r="H133" s="962"/>
      <c r="I133" s="53">
        <f t="shared" si="32"/>
        <v>0</v>
      </c>
      <c r="J133" s="962"/>
      <c r="K133" s="53">
        <f t="shared" si="33"/>
        <v>0.03</v>
      </c>
      <c r="L133" s="962"/>
      <c r="M133" s="53">
        <f t="shared" si="34"/>
        <v>0.03</v>
      </c>
      <c r="N133" s="962"/>
      <c r="O133" s="53">
        <f t="shared" si="35"/>
        <v>7.0000000000000007E-2</v>
      </c>
      <c r="P133" s="962"/>
      <c r="Q133" s="53">
        <f t="shared" si="36"/>
        <v>1</v>
      </c>
      <c r="R133" s="493">
        <f t="shared" si="37"/>
        <v>0</v>
      </c>
      <c r="S133" s="800">
        <f t="shared" si="38"/>
        <v>0</v>
      </c>
    </row>
    <row r="134" spans="1:19">
      <c r="A134" s="964"/>
      <c r="B134" s="137"/>
      <c r="C134" s="53">
        <f t="shared" si="29"/>
        <v>1</v>
      </c>
      <c r="D134" s="962"/>
      <c r="E134" s="53">
        <f t="shared" si="30"/>
        <v>0.04</v>
      </c>
      <c r="F134" s="962"/>
      <c r="G134" s="53">
        <f t="shared" si="31"/>
        <v>0</v>
      </c>
      <c r="H134" s="962"/>
      <c r="I134" s="53">
        <f t="shared" si="32"/>
        <v>0</v>
      </c>
      <c r="J134" s="962"/>
      <c r="K134" s="53">
        <f t="shared" si="33"/>
        <v>0.03</v>
      </c>
      <c r="L134" s="962"/>
      <c r="M134" s="53">
        <f t="shared" si="34"/>
        <v>0.03</v>
      </c>
      <c r="N134" s="962"/>
      <c r="O134" s="53">
        <f t="shared" si="35"/>
        <v>7.0000000000000007E-2</v>
      </c>
      <c r="P134" s="962"/>
      <c r="Q134" s="53">
        <f t="shared" si="36"/>
        <v>1</v>
      </c>
      <c r="R134" s="493">
        <f t="shared" si="37"/>
        <v>0</v>
      </c>
      <c r="S134" s="800">
        <f t="shared" si="38"/>
        <v>0</v>
      </c>
    </row>
    <row r="135" spans="1:19">
      <c r="A135" s="964"/>
      <c r="B135" s="137"/>
      <c r="C135" s="53">
        <f t="shared" si="29"/>
        <v>1</v>
      </c>
      <c r="D135" s="962"/>
      <c r="E135" s="53">
        <f t="shared" si="30"/>
        <v>0.04</v>
      </c>
      <c r="F135" s="962"/>
      <c r="G135" s="53">
        <f t="shared" si="31"/>
        <v>0</v>
      </c>
      <c r="H135" s="962"/>
      <c r="I135" s="53">
        <f t="shared" si="32"/>
        <v>0</v>
      </c>
      <c r="J135" s="962"/>
      <c r="K135" s="53">
        <f t="shared" si="33"/>
        <v>0.03</v>
      </c>
      <c r="L135" s="962"/>
      <c r="M135" s="53">
        <f t="shared" si="34"/>
        <v>0.03</v>
      </c>
      <c r="N135" s="962"/>
      <c r="O135" s="53">
        <f t="shared" si="35"/>
        <v>7.0000000000000007E-2</v>
      </c>
      <c r="P135" s="962"/>
      <c r="Q135" s="53">
        <f t="shared" si="36"/>
        <v>1</v>
      </c>
      <c r="R135" s="493">
        <f t="shared" si="37"/>
        <v>0</v>
      </c>
      <c r="S135" s="800">
        <f t="shared" si="38"/>
        <v>0</v>
      </c>
    </row>
    <row r="136" spans="1:19">
      <c r="A136" s="964"/>
      <c r="B136" s="137"/>
      <c r="C136" s="53">
        <f t="shared" si="29"/>
        <v>1</v>
      </c>
      <c r="D136" s="962"/>
      <c r="E136" s="53">
        <f t="shared" si="30"/>
        <v>0.04</v>
      </c>
      <c r="F136" s="962"/>
      <c r="G136" s="53">
        <f t="shared" si="31"/>
        <v>0</v>
      </c>
      <c r="H136" s="962"/>
      <c r="I136" s="53">
        <f t="shared" si="32"/>
        <v>0</v>
      </c>
      <c r="J136" s="962"/>
      <c r="K136" s="53">
        <f t="shared" si="33"/>
        <v>0.03</v>
      </c>
      <c r="L136" s="962"/>
      <c r="M136" s="53">
        <f t="shared" si="34"/>
        <v>0.03</v>
      </c>
      <c r="N136" s="962"/>
      <c r="O136" s="53">
        <f t="shared" si="35"/>
        <v>7.0000000000000007E-2</v>
      </c>
      <c r="P136" s="962"/>
      <c r="Q136" s="53">
        <f t="shared" si="36"/>
        <v>1</v>
      </c>
      <c r="R136" s="493">
        <f t="shared" si="37"/>
        <v>0</v>
      </c>
      <c r="S136" s="800">
        <f t="shared" si="38"/>
        <v>0</v>
      </c>
    </row>
    <row r="137" spans="1:19">
      <c r="A137" s="964"/>
      <c r="B137" s="137"/>
      <c r="C137" s="53">
        <f t="shared" si="29"/>
        <v>1</v>
      </c>
      <c r="D137" s="962"/>
      <c r="E137" s="53">
        <f t="shared" si="30"/>
        <v>0.04</v>
      </c>
      <c r="F137" s="962"/>
      <c r="G137" s="53">
        <f t="shared" si="31"/>
        <v>0</v>
      </c>
      <c r="H137" s="962"/>
      <c r="I137" s="53">
        <f t="shared" si="32"/>
        <v>0</v>
      </c>
      <c r="J137" s="962"/>
      <c r="K137" s="53">
        <f t="shared" si="33"/>
        <v>0.03</v>
      </c>
      <c r="L137" s="962"/>
      <c r="M137" s="53">
        <f t="shared" si="34"/>
        <v>0.03</v>
      </c>
      <c r="N137" s="962"/>
      <c r="O137" s="53">
        <f t="shared" si="35"/>
        <v>7.0000000000000007E-2</v>
      </c>
      <c r="P137" s="962"/>
      <c r="Q137" s="53">
        <f t="shared" si="36"/>
        <v>1</v>
      </c>
      <c r="R137" s="493">
        <f t="shared" si="37"/>
        <v>0</v>
      </c>
      <c r="S137" s="800">
        <f t="shared" si="38"/>
        <v>0</v>
      </c>
    </row>
    <row r="138" spans="1:19">
      <c r="A138" s="964"/>
      <c r="B138" s="137"/>
      <c r="C138" s="53">
        <f t="shared" si="29"/>
        <v>1</v>
      </c>
      <c r="D138" s="962"/>
      <c r="E138" s="53">
        <f t="shared" si="30"/>
        <v>0.04</v>
      </c>
      <c r="F138" s="962"/>
      <c r="G138" s="53">
        <f t="shared" si="31"/>
        <v>0</v>
      </c>
      <c r="H138" s="962"/>
      <c r="I138" s="53">
        <f t="shared" si="32"/>
        <v>0</v>
      </c>
      <c r="J138" s="962"/>
      <c r="K138" s="53">
        <f t="shared" si="33"/>
        <v>0.03</v>
      </c>
      <c r="L138" s="962"/>
      <c r="M138" s="53">
        <f t="shared" si="34"/>
        <v>0.03</v>
      </c>
      <c r="N138" s="962"/>
      <c r="O138" s="53">
        <f t="shared" si="35"/>
        <v>7.0000000000000007E-2</v>
      </c>
      <c r="P138" s="962"/>
      <c r="Q138" s="53">
        <f t="shared" si="36"/>
        <v>1</v>
      </c>
      <c r="R138" s="493">
        <f t="shared" si="37"/>
        <v>0</v>
      </c>
      <c r="S138" s="800">
        <f t="shared" si="38"/>
        <v>0</v>
      </c>
    </row>
    <row r="139" spans="1:19">
      <c r="A139" s="964"/>
      <c r="B139" s="137"/>
      <c r="C139" s="53">
        <f t="shared" si="29"/>
        <v>1</v>
      </c>
      <c r="D139" s="962"/>
      <c r="E139" s="53">
        <f t="shared" si="30"/>
        <v>0.04</v>
      </c>
      <c r="F139" s="962"/>
      <c r="G139" s="53">
        <f t="shared" si="31"/>
        <v>0</v>
      </c>
      <c r="H139" s="962"/>
      <c r="I139" s="53">
        <f t="shared" si="32"/>
        <v>0</v>
      </c>
      <c r="J139" s="962"/>
      <c r="K139" s="53">
        <f t="shared" si="33"/>
        <v>0.03</v>
      </c>
      <c r="L139" s="962"/>
      <c r="M139" s="53">
        <f t="shared" si="34"/>
        <v>0.03</v>
      </c>
      <c r="N139" s="962"/>
      <c r="O139" s="53">
        <f t="shared" si="35"/>
        <v>7.0000000000000007E-2</v>
      </c>
      <c r="P139" s="962"/>
      <c r="Q139" s="53">
        <f t="shared" si="36"/>
        <v>1</v>
      </c>
      <c r="R139" s="493">
        <f t="shared" si="37"/>
        <v>0</v>
      </c>
      <c r="S139" s="800">
        <f t="shared" si="38"/>
        <v>0</v>
      </c>
    </row>
    <row r="140" spans="1:19">
      <c r="A140" s="964"/>
      <c r="B140" s="137"/>
      <c r="C140" s="53">
        <f t="shared" si="29"/>
        <v>1</v>
      </c>
      <c r="D140" s="962"/>
      <c r="E140" s="53">
        <f t="shared" si="30"/>
        <v>0.04</v>
      </c>
      <c r="F140" s="962"/>
      <c r="G140" s="53">
        <f t="shared" si="31"/>
        <v>0</v>
      </c>
      <c r="H140" s="962"/>
      <c r="I140" s="53">
        <f t="shared" si="32"/>
        <v>0</v>
      </c>
      <c r="J140" s="962"/>
      <c r="K140" s="53">
        <f t="shared" si="33"/>
        <v>0.03</v>
      </c>
      <c r="L140" s="962"/>
      <c r="M140" s="53">
        <f t="shared" si="34"/>
        <v>0.03</v>
      </c>
      <c r="N140" s="962"/>
      <c r="O140" s="53">
        <f t="shared" si="35"/>
        <v>7.0000000000000007E-2</v>
      </c>
      <c r="P140" s="962"/>
      <c r="Q140" s="53">
        <f t="shared" si="36"/>
        <v>1</v>
      </c>
      <c r="R140" s="493">
        <f t="shared" si="37"/>
        <v>0</v>
      </c>
      <c r="S140" s="800">
        <f t="shared" si="38"/>
        <v>0</v>
      </c>
    </row>
    <row r="141" spans="1:19">
      <c r="A141" s="964"/>
      <c r="B141" s="137"/>
      <c r="C141" s="53">
        <f t="shared" si="29"/>
        <v>1</v>
      </c>
      <c r="D141" s="962"/>
      <c r="E141" s="53">
        <f t="shared" si="30"/>
        <v>0.04</v>
      </c>
      <c r="F141" s="962"/>
      <c r="G141" s="53">
        <f t="shared" si="31"/>
        <v>0</v>
      </c>
      <c r="H141" s="962"/>
      <c r="I141" s="53">
        <f t="shared" si="32"/>
        <v>0</v>
      </c>
      <c r="J141" s="962"/>
      <c r="K141" s="53">
        <f t="shared" si="33"/>
        <v>0.03</v>
      </c>
      <c r="L141" s="962"/>
      <c r="M141" s="53">
        <f t="shared" si="34"/>
        <v>0.03</v>
      </c>
      <c r="N141" s="962"/>
      <c r="O141" s="53">
        <f t="shared" si="35"/>
        <v>7.0000000000000007E-2</v>
      </c>
      <c r="P141" s="962"/>
      <c r="Q141" s="53">
        <f t="shared" si="36"/>
        <v>1</v>
      </c>
      <c r="R141" s="493">
        <f t="shared" si="37"/>
        <v>0</v>
      </c>
      <c r="S141" s="800">
        <f t="shared" si="38"/>
        <v>0</v>
      </c>
    </row>
    <row r="142" spans="1:19">
      <c r="A142" s="964"/>
      <c r="B142" s="137"/>
      <c r="C142" s="53">
        <f t="shared" si="29"/>
        <v>1</v>
      </c>
      <c r="D142" s="962"/>
      <c r="E142" s="53">
        <f t="shared" si="30"/>
        <v>0.04</v>
      </c>
      <c r="F142" s="962"/>
      <c r="G142" s="53">
        <f t="shared" si="31"/>
        <v>0</v>
      </c>
      <c r="H142" s="962"/>
      <c r="I142" s="53">
        <f t="shared" si="32"/>
        <v>0</v>
      </c>
      <c r="J142" s="962"/>
      <c r="K142" s="53">
        <f t="shared" si="33"/>
        <v>0.03</v>
      </c>
      <c r="L142" s="962"/>
      <c r="M142" s="53">
        <f t="shared" si="34"/>
        <v>0.03</v>
      </c>
      <c r="N142" s="962"/>
      <c r="O142" s="53">
        <f t="shared" si="35"/>
        <v>7.0000000000000007E-2</v>
      </c>
      <c r="P142" s="962"/>
      <c r="Q142" s="53">
        <f t="shared" si="36"/>
        <v>1</v>
      </c>
      <c r="R142" s="493">
        <f t="shared" si="37"/>
        <v>0</v>
      </c>
      <c r="S142" s="800">
        <f t="shared" si="38"/>
        <v>0</v>
      </c>
    </row>
    <row r="143" spans="1:19">
      <c r="A143" s="964"/>
      <c r="B143" s="137"/>
      <c r="C143" s="53">
        <f t="shared" si="29"/>
        <v>1</v>
      </c>
      <c r="D143" s="962"/>
      <c r="E143" s="53">
        <f t="shared" si="30"/>
        <v>0.04</v>
      </c>
      <c r="F143" s="962"/>
      <c r="G143" s="53">
        <f t="shared" si="31"/>
        <v>0</v>
      </c>
      <c r="H143" s="962"/>
      <c r="I143" s="53">
        <f t="shared" si="32"/>
        <v>0</v>
      </c>
      <c r="J143" s="962"/>
      <c r="K143" s="53">
        <f t="shared" si="33"/>
        <v>0.03</v>
      </c>
      <c r="L143" s="962"/>
      <c r="M143" s="53">
        <f t="shared" si="34"/>
        <v>0.03</v>
      </c>
      <c r="N143" s="962"/>
      <c r="O143" s="53">
        <f t="shared" si="35"/>
        <v>7.0000000000000007E-2</v>
      </c>
      <c r="P143" s="962"/>
      <c r="Q143" s="53">
        <f t="shared" si="36"/>
        <v>1</v>
      </c>
      <c r="R143" s="493">
        <f t="shared" si="37"/>
        <v>0</v>
      </c>
      <c r="S143" s="800">
        <f t="shared" si="38"/>
        <v>0</v>
      </c>
    </row>
    <row r="144" spans="1:19">
      <c r="A144" s="964"/>
      <c r="B144" s="137"/>
      <c r="C144" s="53">
        <f t="shared" si="29"/>
        <v>1</v>
      </c>
      <c r="D144" s="962"/>
      <c r="E144" s="53">
        <f t="shared" si="30"/>
        <v>0.04</v>
      </c>
      <c r="F144" s="962"/>
      <c r="G144" s="53">
        <f t="shared" si="31"/>
        <v>0</v>
      </c>
      <c r="H144" s="962"/>
      <c r="I144" s="53">
        <f t="shared" si="32"/>
        <v>0</v>
      </c>
      <c r="J144" s="962"/>
      <c r="K144" s="53">
        <f t="shared" si="33"/>
        <v>0.03</v>
      </c>
      <c r="L144" s="962"/>
      <c r="M144" s="53">
        <f t="shared" si="34"/>
        <v>0.03</v>
      </c>
      <c r="N144" s="962"/>
      <c r="O144" s="53">
        <f t="shared" si="35"/>
        <v>7.0000000000000007E-2</v>
      </c>
      <c r="P144" s="962"/>
      <c r="Q144" s="53">
        <f t="shared" si="36"/>
        <v>1</v>
      </c>
      <c r="R144" s="493">
        <f t="shared" si="37"/>
        <v>0</v>
      </c>
      <c r="S144" s="800">
        <f t="shared" si="38"/>
        <v>0</v>
      </c>
    </row>
    <row r="145" spans="1:19">
      <c r="A145" s="964"/>
      <c r="B145" s="137"/>
      <c r="C145" s="53">
        <f t="shared" si="29"/>
        <v>1</v>
      </c>
      <c r="D145" s="962"/>
      <c r="E145" s="53">
        <f t="shared" si="30"/>
        <v>0.04</v>
      </c>
      <c r="F145" s="962"/>
      <c r="G145" s="53">
        <f t="shared" si="31"/>
        <v>0</v>
      </c>
      <c r="H145" s="962"/>
      <c r="I145" s="53">
        <f t="shared" si="32"/>
        <v>0</v>
      </c>
      <c r="J145" s="962"/>
      <c r="K145" s="53">
        <f t="shared" si="33"/>
        <v>0.03</v>
      </c>
      <c r="L145" s="962"/>
      <c r="M145" s="53">
        <f t="shared" si="34"/>
        <v>0.03</v>
      </c>
      <c r="N145" s="962"/>
      <c r="O145" s="53">
        <f t="shared" si="35"/>
        <v>7.0000000000000007E-2</v>
      </c>
      <c r="P145" s="962"/>
      <c r="Q145" s="53">
        <f t="shared" si="36"/>
        <v>1</v>
      </c>
      <c r="R145" s="493">
        <f t="shared" si="37"/>
        <v>0</v>
      </c>
      <c r="S145" s="800">
        <f t="shared" si="38"/>
        <v>0</v>
      </c>
    </row>
    <row r="146" spans="1:19">
      <c r="A146" s="964"/>
      <c r="B146" s="137"/>
      <c r="C146" s="53">
        <f t="shared" si="29"/>
        <v>1</v>
      </c>
      <c r="D146" s="962"/>
      <c r="E146" s="53">
        <f t="shared" si="30"/>
        <v>0.04</v>
      </c>
      <c r="F146" s="962"/>
      <c r="G146" s="53">
        <f t="shared" si="31"/>
        <v>0</v>
      </c>
      <c r="H146" s="962"/>
      <c r="I146" s="53">
        <f t="shared" si="32"/>
        <v>0</v>
      </c>
      <c r="J146" s="962"/>
      <c r="K146" s="53">
        <f t="shared" si="33"/>
        <v>0.03</v>
      </c>
      <c r="L146" s="962"/>
      <c r="M146" s="53">
        <f t="shared" si="34"/>
        <v>0.03</v>
      </c>
      <c r="N146" s="962"/>
      <c r="O146" s="53">
        <f t="shared" si="35"/>
        <v>7.0000000000000007E-2</v>
      </c>
      <c r="P146" s="962"/>
      <c r="Q146" s="53">
        <f t="shared" si="36"/>
        <v>1</v>
      </c>
      <c r="R146" s="493">
        <f t="shared" si="37"/>
        <v>0</v>
      </c>
      <c r="S146" s="800">
        <f t="shared" si="38"/>
        <v>0</v>
      </c>
    </row>
    <row r="147" spans="1:19">
      <c r="A147" s="964"/>
      <c r="B147" s="137"/>
      <c r="C147" s="53">
        <f t="shared" si="29"/>
        <v>1</v>
      </c>
      <c r="D147" s="962"/>
      <c r="E147" s="53">
        <f t="shared" si="30"/>
        <v>0.04</v>
      </c>
      <c r="F147" s="962"/>
      <c r="G147" s="53">
        <f t="shared" si="31"/>
        <v>0</v>
      </c>
      <c r="H147" s="962"/>
      <c r="I147" s="53">
        <f t="shared" si="32"/>
        <v>0</v>
      </c>
      <c r="J147" s="962"/>
      <c r="K147" s="53">
        <f t="shared" si="33"/>
        <v>0.03</v>
      </c>
      <c r="L147" s="962"/>
      <c r="M147" s="53">
        <f t="shared" si="34"/>
        <v>0.03</v>
      </c>
      <c r="N147" s="962"/>
      <c r="O147" s="53">
        <f t="shared" si="35"/>
        <v>7.0000000000000007E-2</v>
      </c>
      <c r="P147" s="962"/>
      <c r="Q147" s="53">
        <f t="shared" si="36"/>
        <v>1</v>
      </c>
      <c r="R147" s="493">
        <f t="shared" si="37"/>
        <v>0</v>
      </c>
      <c r="S147" s="800">
        <f t="shared" si="38"/>
        <v>0</v>
      </c>
    </row>
    <row r="148" spans="1:19">
      <c r="A148" s="964"/>
      <c r="B148" s="137"/>
      <c r="C148" s="53">
        <f t="shared" si="29"/>
        <v>1</v>
      </c>
      <c r="D148" s="962"/>
      <c r="E148" s="53">
        <f t="shared" si="30"/>
        <v>0.04</v>
      </c>
      <c r="F148" s="962"/>
      <c r="G148" s="53">
        <f t="shared" si="31"/>
        <v>0</v>
      </c>
      <c r="H148" s="962"/>
      <c r="I148" s="53">
        <f t="shared" si="32"/>
        <v>0</v>
      </c>
      <c r="J148" s="962"/>
      <c r="K148" s="53">
        <f t="shared" si="33"/>
        <v>0.03</v>
      </c>
      <c r="L148" s="962"/>
      <c r="M148" s="53">
        <f t="shared" si="34"/>
        <v>0.03</v>
      </c>
      <c r="N148" s="962"/>
      <c r="O148" s="53">
        <f t="shared" si="35"/>
        <v>7.0000000000000007E-2</v>
      </c>
      <c r="P148" s="962"/>
      <c r="Q148" s="53">
        <f t="shared" si="36"/>
        <v>1</v>
      </c>
      <c r="R148" s="493">
        <f t="shared" si="37"/>
        <v>0</v>
      </c>
      <c r="S148" s="800">
        <f t="shared" si="38"/>
        <v>0</v>
      </c>
    </row>
    <row r="149" spans="1:19">
      <c r="A149" s="964"/>
      <c r="B149" s="137"/>
      <c r="C149" s="53">
        <f t="shared" si="29"/>
        <v>1</v>
      </c>
      <c r="D149" s="962"/>
      <c r="E149" s="53">
        <f t="shared" si="30"/>
        <v>0.04</v>
      </c>
      <c r="F149" s="962"/>
      <c r="G149" s="53">
        <f t="shared" si="31"/>
        <v>0</v>
      </c>
      <c r="H149" s="962"/>
      <c r="I149" s="53">
        <f t="shared" si="32"/>
        <v>0</v>
      </c>
      <c r="J149" s="962"/>
      <c r="K149" s="53">
        <f t="shared" si="33"/>
        <v>0.03</v>
      </c>
      <c r="L149" s="962"/>
      <c r="M149" s="53">
        <f t="shared" si="34"/>
        <v>0.03</v>
      </c>
      <c r="N149" s="962"/>
      <c r="O149" s="53">
        <f t="shared" si="35"/>
        <v>7.0000000000000007E-2</v>
      </c>
      <c r="P149" s="962"/>
      <c r="Q149" s="53">
        <f t="shared" si="36"/>
        <v>1</v>
      </c>
      <c r="R149" s="493">
        <f t="shared" si="37"/>
        <v>0</v>
      </c>
      <c r="S149" s="800">
        <f t="shared" si="38"/>
        <v>0</v>
      </c>
    </row>
    <row r="150" spans="1:19">
      <c r="A150" s="964"/>
      <c r="B150" s="137"/>
      <c r="C150" s="53">
        <f t="shared" si="29"/>
        <v>1</v>
      </c>
      <c r="D150" s="962"/>
      <c r="E150" s="53">
        <f t="shared" si="30"/>
        <v>0.04</v>
      </c>
      <c r="F150" s="962"/>
      <c r="G150" s="53">
        <f t="shared" si="31"/>
        <v>0</v>
      </c>
      <c r="H150" s="962"/>
      <c r="I150" s="53">
        <f t="shared" si="32"/>
        <v>0</v>
      </c>
      <c r="J150" s="962"/>
      <c r="K150" s="53">
        <f t="shared" si="33"/>
        <v>0.03</v>
      </c>
      <c r="L150" s="962"/>
      <c r="M150" s="53">
        <f t="shared" si="34"/>
        <v>0.03</v>
      </c>
      <c r="N150" s="962"/>
      <c r="O150" s="53">
        <f t="shared" si="35"/>
        <v>7.0000000000000007E-2</v>
      </c>
      <c r="P150" s="962"/>
      <c r="Q150" s="53">
        <f t="shared" si="36"/>
        <v>1</v>
      </c>
      <c r="R150" s="493">
        <f t="shared" si="37"/>
        <v>0</v>
      </c>
      <c r="S150" s="800">
        <f t="shared" si="38"/>
        <v>0</v>
      </c>
    </row>
    <row r="151" spans="1:19">
      <c r="A151" s="964"/>
      <c r="B151" s="137"/>
      <c r="C151" s="53">
        <f t="shared" si="29"/>
        <v>1</v>
      </c>
      <c r="D151" s="962"/>
      <c r="E151" s="53">
        <f t="shared" si="30"/>
        <v>0.04</v>
      </c>
      <c r="F151" s="962"/>
      <c r="G151" s="53">
        <f t="shared" si="31"/>
        <v>0</v>
      </c>
      <c r="H151" s="962"/>
      <c r="I151" s="53">
        <f t="shared" si="32"/>
        <v>0</v>
      </c>
      <c r="J151" s="962"/>
      <c r="K151" s="53">
        <f t="shared" si="33"/>
        <v>0.03</v>
      </c>
      <c r="L151" s="962"/>
      <c r="M151" s="53">
        <f t="shared" si="34"/>
        <v>0.03</v>
      </c>
      <c r="N151" s="962"/>
      <c r="O151" s="53">
        <f t="shared" si="35"/>
        <v>7.0000000000000007E-2</v>
      </c>
      <c r="P151" s="962"/>
      <c r="Q151" s="53">
        <f t="shared" si="36"/>
        <v>1</v>
      </c>
      <c r="R151" s="493">
        <f t="shared" si="37"/>
        <v>0</v>
      </c>
      <c r="S151" s="800">
        <f t="shared" si="38"/>
        <v>0</v>
      </c>
    </row>
    <row r="152" spans="1:19">
      <c r="A152" s="964"/>
      <c r="B152" s="137"/>
      <c r="C152" s="53">
        <f t="shared" si="29"/>
        <v>1</v>
      </c>
      <c r="D152" s="962"/>
      <c r="E152" s="53">
        <f t="shared" si="30"/>
        <v>0.04</v>
      </c>
      <c r="F152" s="962"/>
      <c r="G152" s="53">
        <f t="shared" si="31"/>
        <v>0</v>
      </c>
      <c r="H152" s="962"/>
      <c r="I152" s="53">
        <f t="shared" si="32"/>
        <v>0</v>
      </c>
      <c r="J152" s="962"/>
      <c r="K152" s="53">
        <f t="shared" si="33"/>
        <v>0.03</v>
      </c>
      <c r="L152" s="962"/>
      <c r="M152" s="53">
        <f t="shared" si="34"/>
        <v>0.03</v>
      </c>
      <c r="N152" s="962"/>
      <c r="O152" s="53">
        <f t="shared" si="35"/>
        <v>7.0000000000000007E-2</v>
      </c>
      <c r="P152" s="962"/>
      <c r="Q152" s="53">
        <f t="shared" si="36"/>
        <v>1</v>
      </c>
      <c r="R152" s="493">
        <f t="shared" si="37"/>
        <v>0</v>
      </c>
      <c r="S152" s="800">
        <f t="shared" si="38"/>
        <v>0</v>
      </c>
    </row>
    <row r="153" spans="1:19">
      <c r="A153" s="964"/>
      <c r="B153" s="137"/>
      <c r="C153" s="53">
        <f t="shared" si="29"/>
        <v>1</v>
      </c>
      <c r="D153" s="962"/>
      <c r="E153" s="53">
        <f t="shared" si="30"/>
        <v>0.04</v>
      </c>
      <c r="F153" s="962"/>
      <c r="G153" s="53">
        <f t="shared" si="31"/>
        <v>0</v>
      </c>
      <c r="H153" s="962"/>
      <c r="I153" s="53">
        <f t="shared" si="32"/>
        <v>0</v>
      </c>
      <c r="J153" s="962"/>
      <c r="K153" s="53">
        <f t="shared" si="33"/>
        <v>0.03</v>
      </c>
      <c r="L153" s="962"/>
      <c r="M153" s="53">
        <f t="shared" si="34"/>
        <v>0.03</v>
      </c>
      <c r="N153" s="962"/>
      <c r="O153" s="53">
        <f t="shared" si="35"/>
        <v>7.0000000000000007E-2</v>
      </c>
      <c r="P153" s="962"/>
      <c r="Q153" s="53">
        <f t="shared" si="36"/>
        <v>1</v>
      </c>
      <c r="R153" s="493">
        <f t="shared" si="37"/>
        <v>0</v>
      </c>
      <c r="S153" s="800">
        <f t="shared" si="38"/>
        <v>0</v>
      </c>
    </row>
    <row r="154" spans="1:19">
      <c r="A154" s="964"/>
      <c r="B154" s="137"/>
      <c r="C154" s="53">
        <f t="shared" ref="C154:C217" si="39">IF(B154="",1,(LOOKUP(B154,$3:$3,$4:$4)-LOOKUP($B$24,$3:$3,$4:$4)+100)/100)</f>
        <v>1</v>
      </c>
      <c r="D154" s="962"/>
      <c r="E154" s="53">
        <f t="shared" ref="E154:E217" si="40">(SUMIF($5:$5,D154,$6:$6)-SUMIF($5:$5,$D$24,$6:$6)+100)/100</f>
        <v>0.04</v>
      </c>
      <c r="F154" s="962"/>
      <c r="G154" s="53">
        <f t="shared" ref="G154:G217" si="41">(SUMIF($7:$7,F154,$8:$8)-SUMIF($7:$7,$F$24,$8:$8)+100)/100</f>
        <v>0</v>
      </c>
      <c r="H154" s="962"/>
      <c r="I154" s="53">
        <f t="shared" ref="I154:I217" si="42">(SUMIF($9:$9,H154,$10:$10)-SUMIF($9:$9,$H$24,$10:$10)+100)/100</f>
        <v>0</v>
      </c>
      <c r="J154" s="962"/>
      <c r="K154" s="53">
        <f t="shared" ref="K154:K217" si="43">(SUMIF($11:$11,J154,$12:$12)-SUMIF($11:$11,$J$24,$12:$12)+100)/100</f>
        <v>0.03</v>
      </c>
      <c r="L154" s="962"/>
      <c r="M154" s="53">
        <f t="shared" ref="M154:M217" si="44">(SUMIF($13:$13,L154,$14:$14)-SUMIF($13:$13,$L$24,$14:$14)+100)/100</f>
        <v>0.03</v>
      </c>
      <c r="N154" s="962"/>
      <c r="O154" s="53">
        <f t="shared" ref="O154:O217" si="45">(SUMIF($15:$15,N154,$16:$16)-SUMIF($15:$15,$N$24,$16:$16)+100)/100</f>
        <v>7.0000000000000007E-2</v>
      </c>
      <c r="P154" s="962"/>
      <c r="Q154" s="53">
        <f t="shared" ref="Q154:Q217" si="46">(SUMIF($17:$17,P154,$18:$18)-SUMIF($17:$17,$P$24,$18:$18)+100)/100</f>
        <v>1</v>
      </c>
      <c r="R154" s="493">
        <f t="shared" ref="R154:R217" si="47">IF(B154="",0,ROUND($R$24*C154*E154*G154*I154*K154*M154*O154*Q154,0))</f>
        <v>0</v>
      </c>
      <c r="S154" s="800">
        <f t="shared" si="38"/>
        <v>0</v>
      </c>
    </row>
    <row r="155" spans="1:19">
      <c r="A155" s="964"/>
      <c r="B155" s="137"/>
      <c r="C155" s="53">
        <f t="shared" si="39"/>
        <v>1</v>
      </c>
      <c r="D155" s="962"/>
      <c r="E155" s="53">
        <f t="shared" si="40"/>
        <v>0.04</v>
      </c>
      <c r="F155" s="962"/>
      <c r="G155" s="53">
        <f t="shared" si="41"/>
        <v>0</v>
      </c>
      <c r="H155" s="962"/>
      <c r="I155" s="53">
        <f t="shared" si="42"/>
        <v>0</v>
      </c>
      <c r="J155" s="962"/>
      <c r="K155" s="53">
        <f t="shared" si="43"/>
        <v>0.03</v>
      </c>
      <c r="L155" s="962"/>
      <c r="M155" s="53">
        <f t="shared" si="44"/>
        <v>0.03</v>
      </c>
      <c r="N155" s="962"/>
      <c r="O155" s="53">
        <f t="shared" si="45"/>
        <v>7.0000000000000007E-2</v>
      </c>
      <c r="P155" s="962"/>
      <c r="Q155" s="53">
        <f t="shared" si="46"/>
        <v>1</v>
      </c>
      <c r="R155" s="493">
        <f t="shared" si="47"/>
        <v>0</v>
      </c>
      <c r="S155" s="800">
        <f t="shared" si="38"/>
        <v>0</v>
      </c>
    </row>
    <row r="156" spans="1:19">
      <c r="A156" s="964"/>
      <c r="B156" s="137"/>
      <c r="C156" s="53">
        <f t="shared" si="39"/>
        <v>1</v>
      </c>
      <c r="D156" s="962"/>
      <c r="E156" s="53">
        <f t="shared" si="40"/>
        <v>0.04</v>
      </c>
      <c r="F156" s="962"/>
      <c r="G156" s="53">
        <f t="shared" si="41"/>
        <v>0</v>
      </c>
      <c r="H156" s="962"/>
      <c r="I156" s="53">
        <f t="shared" si="42"/>
        <v>0</v>
      </c>
      <c r="J156" s="962"/>
      <c r="K156" s="53">
        <f t="shared" si="43"/>
        <v>0.03</v>
      </c>
      <c r="L156" s="962"/>
      <c r="M156" s="53">
        <f t="shared" si="44"/>
        <v>0.03</v>
      </c>
      <c r="N156" s="962"/>
      <c r="O156" s="53">
        <f t="shared" si="45"/>
        <v>7.0000000000000007E-2</v>
      </c>
      <c r="P156" s="962"/>
      <c r="Q156" s="53">
        <f t="shared" si="46"/>
        <v>1</v>
      </c>
      <c r="R156" s="493">
        <f t="shared" si="47"/>
        <v>0</v>
      </c>
      <c r="S156" s="800">
        <f t="shared" si="38"/>
        <v>0</v>
      </c>
    </row>
    <row r="157" spans="1:19">
      <c r="A157" s="964"/>
      <c r="B157" s="137"/>
      <c r="C157" s="53">
        <f t="shared" si="39"/>
        <v>1</v>
      </c>
      <c r="D157" s="962"/>
      <c r="E157" s="53">
        <f t="shared" si="40"/>
        <v>0.04</v>
      </c>
      <c r="F157" s="962"/>
      <c r="G157" s="53">
        <f t="shared" si="41"/>
        <v>0</v>
      </c>
      <c r="H157" s="962"/>
      <c r="I157" s="53">
        <f t="shared" si="42"/>
        <v>0</v>
      </c>
      <c r="J157" s="962"/>
      <c r="K157" s="53">
        <f t="shared" si="43"/>
        <v>0.03</v>
      </c>
      <c r="L157" s="962"/>
      <c r="M157" s="53">
        <f t="shared" si="44"/>
        <v>0.03</v>
      </c>
      <c r="N157" s="962"/>
      <c r="O157" s="53">
        <f t="shared" si="45"/>
        <v>7.0000000000000007E-2</v>
      </c>
      <c r="P157" s="962"/>
      <c r="Q157" s="53">
        <f t="shared" si="46"/>
        <v>1</v>
      </c>
      <c r="R157" s="493">
        <f t="shared" si="47"/>
        <v>0</v>
      </c>
      <c r="S157" s="800">
        <f t="shared" si="38"/>
        <v>0</v>
      </c>
    </row>
    <row r="158" spans="1:19">
      <c r="A158" s="964"/>
      <c r="B158" s="137"/>
      <c r="C158" s="53">
        <f t="shared" si="39"/>
        <v>1</v>
      </c>
      <c r="D158" s="962"/>
      <c r="E158" s="53">
        <f t="shared" si="40"/>
        <v>0.04</v>
      </c>
      <c r="F158" s="962"/>
      <c r="G158" s="53">
        <f t="shared" si="41"/>
        <v>0</v>
      </c>
      <c r="H158" s="962"/>
      <c r="I158" s="53">
        <f t="shared" si="42"/>
        <v>0</v>
      </c>
      <c r="J158" s="962"/>
      <c r="K158" s="53">
        <f t="shared" si="43"/>
        <v>0.03</v>
      </c>
      <c r="L158" s="962"/>
      <c r="M158" s="53">
        <f t="shared" si="44"/>
        <v>0.03</v>
      </c>
      <c r="N158" s="962"/>
      <c r="O158" s="53">
        <f t="shared" si="45"/>
        <v>7.0000000000000007E-2</v>
      </c>
      <c r="P158" s="962"/>
      <c r="Q158" s="53">
        <f t="shared" si="46"/>
        <v>1</v>
      </c>
      <c r="R158" s="493">
        <f t="shared" si="47"/>
        <v>0</v>
      </c>
      <c r="S158" s="800">
        <f t="shared" si="38"/>
        <v>0</v>
      </c>
    </row>
    <row r="159" spans="1:19">
      <c r="A159" s="964"/>
      <c r="B159" s="137"/>
      <c r="C159" s="53">
        <f t="shared" si="39"/>
        <v>1</v>
      </c>
      <c r="D159" s="962"/>
      <c r="E159" s="53">
        <f t="shared" si="40"/>
        <v>0.04</v>
      </c>
      <c r="F159" s="962"/>
      <c r="G159" s="53">
        <f t="shared" si="41"/>
        <v>0</v>
      </c>
      <c r="H159" s="962"/>
      <c r="I159" s="53">
        <f t="shared" si="42"/>
        <v>0</v>
      </c>
      <c r="J159" s="962"/>
      <c r="K159" s="53">
        <f t="shared" si="43"/>
        <v>0.03</v>
      </c>
      <c r="L159" s="962"/>
      <c r="M159" s="53">
        <f t="shared" si="44"/>
        <v>0.03</v>
      </c>
      <c r="N159" s="962"/>
      <c r="O159" s="53">
        <f t="shared" si="45"/>
        <v>7.0000000000000007E-2</v>
      </c>
      <c r="P159" s="962"/>
      <c r="Q159" s="53">
        <f t="shared" si="46"/>
        <v>1</v>
      </c>
      <c r="R159" s="493">
        <f t="shared" si="47"/>
        <v>0</v>
      </c>
      <c r="S159" s="800">
        <f t="shared" si="38"/>
        <v>0</v>
      </c>
    </row>
    <row r="160" spans="1:19">
      <c r="A160" s="964"/>
      <c r="B160" s="137"/>
      <c r="C160" s="53">
        <f t="shared" si="39"/>
        <v>1</v>
      </c>
      <c r="D160" s="962"/>
      <c r="E160" s="53">
        <f t="shared" si="40"/>
        <v>0.04</v>
      </c>
      <c r="F160" s="962"/>
      <c r="G160" s="53">
        <f t="shared" si="41"/>
        <v>0</v>
      </c>
      <c r="H160" s="962"/>
      <c r="I160" s="53">
        <f t="shared" si="42"/>
        <v>0</v>
      </c>
      <c r="J160" s="962"/>
      <c r="K160" s="53">
        <f t="shared" si="43"/>
        <v>0.03</v>
      </c>
      <c r="L160" s="962"/>
      <c r="M160" s="53">
        <f t="shared" si="44"/>
        <v>0.03</v>
      </c>
      <c r="N160" s="962"/>
      <c r="O160" s="53">
        <f t="shared" si="45"/>
        <v>7.0000000000000007E-2</v>
      </c>
      <c r="P160" s="962"/>
      <c r="Q160" s="53">
        <f t="shared" si="46"/>
        <v>1</v>
      </c>
      <c r="R160" s="493">
        <f t="shared" si="47"/>
        <v>0</v>
      </c>
      <c r="S160" s="800">
        <f t="shared" si="38"/>
        <v>0</v>
      </c>
    </row>
    <row r="161" spans="1:19">
      <c r="A161" s="964"/>
      <c r="B161" s="137"/>
      <c r="C161" s="53">
        <f t="shared" si="39"/>
        <v>1</v>
      </c>
      <c r="D161" s="962"/>
      <c r="E161" s="53">
        <f t="shared" si="40"/>
        <v>0.04</v>
      </c>
      <c r="F161" s="962"/>
      <c r="G161" s="53">
        <f t="shared" si="41"/>
        <v>0</v>
      </c>
      <c r="H161" s="962"/>
      <c r="I161" s="53">
        <f t="shared" si="42"/>
        <v>0</v>
      </c>
      <c r="J161" s="962"/>
      <c r="K161" s="53">
        <f t="shared" si="43"/>
        <v>0.03</v>
      </c>
      <c r="L161" s="962"/>
      <c r="M161" s="53">
        <f t="shared" si="44"/>
        <v>0.03</v>
      </c>
      <c r="N161" s="962"/>
      <c r="O161" s="53">
        <f t="shared" si="45"/>
        <v>7.0000000000000007E-2</v>
      </c>
      <c r="P161" s="962"/>
      <c r="Q161" s="53">
        <f t="shared" si="46"/>
        <v>1</v>
      </c>
      <c r="R161" s="493">
        <f t="shared" si="47"/>
        <v>0</v>
      </c>
      <c r="S161" s="800">
        <f t="shared" si="38"/>
        <v>0</v>
      </c>
    </row>
    <row r="162" spans="1:19">
      <c r="A162" s="964"/>
      <c r="B162" s="137"/>
      <c r="C162" s="53">
        <f t="shared" si="39"/>
        <v>1</v>
      </c>
      <c r="D162" s="962"/>
      <c r="E162" s="53">
        <f t="shared" si="40"/>
        <v>0.04</v>
      </c>
      <c r="F162" s="962"/>
      <c r="G162" s="53">
        <f t="shared" si="41"/>
        <v>0</v>
      </c>
      <c r="H162" s="962"/>
      <c r="I162" s="53">
        <f t="shared" si="42"/>
        <v>0</v>
      </c>
      <c r="J162" s="962"/>
      <c r="K162" s="53">
        <f t="shared" si="43"/>
        <v>0.03</v>
      </c>
      <c r="L162" s="962"/>
      <c r="M162" s="53">
        <f t="shared" si="44"/>
        <v>0.03</v>
      </c>
      <c r="N162" s="962"/>
      <c r="O162" s="53">
        <f t="shared" si="45"/>
        <v>7.0000000000000007E-2</v>
      </c>
      <c r="P162" s="962"/>
      <c r="Q162" s="53">
        <f t="shared" si="46"/>
        <v>1</v>
      </c>
      <c r="R162" s="493">
        <f t="shared" si="47"/>
        <v>0</v>
      </c>
      <c r="S162" s="800">
        <f t="shared" si="38"/>
        <v>0</v>
      </c>
    </row>
    <row r="163" spans="1:19">
      <c r="A163" s="964"/>
      <c r="B163" s="137"/>
      <c r="C163" s="53">
        <f t="shared" si="39"/>
        <v>1</v>
      </c>
      <c r="D163" s="962"/>
      <c r="E163" s="53">
        <f t="shared" si="40"/>
        <v>0.04</v>
      </c>
      <c r="F163" s="962"/>
      <c r="G163" s="53">
        <f t="shared" si="41"/>
        <v>0</v>
      </c>
      <c r="H163" s="962"/>
      <c r="I163" s="53">
        <f t="shared" si="42"/>
        <v>0</v>
      </c>
      <c r="J163" s="962"/>
      <c r="K163" s="53">
        <f t="shared" si="43"/>
        <v>0.03</v>
      </c>
      <c r="L163" s="962"/>
      <c r="M163" s="53">
        <f t="shared" si="44"/>
        <v>0.03</v>
      </c>
      <c r="N163" s="962"/>
      <c r="O163" s="53">
        <f t="shared" si="45"/>
        <v>7.0000000000000007E-2</v>
      </c>
      <c r="P163" s="962"/>
      <c r="Q163" s="53">
        <f t="shared" si="46"/>
        <v>1</v>
      </c>
      <c r="R163" s="493">
        <f t="shared" si="47"/>
        <v>0</v>
      </c>
      <c r="S163" s="800">
        <f t="shared" si="38"/>
        <v>0</v>
      </c>
    </row>
    <row r="164" spans="1:19">
      <c r="A164" s="964"/>
      <c r="B164" s="137"/>
      <c r="C164" s="53">
        <f t="shared" si="39"/>
        <v>1</v>
      </c>
      <c r="D164" s="962"/>
      <c r="E164" s="53">
        <f t="shared" si="40"/>
        <v>0.04</v>
      </c>
      <c r="F164" s="962"/>
      <c r="G164" s="53">
        <f t="shared" si="41"/>
        <v>0</v>
      </c>
      <c r="H164" s="962"/>
      <c r="I164" s="53">
        <f t="shared" si="42"/>
        <v>0</v>
      </c>
      <c r="J164" s="962"/>
      <c r="K164" s="53">
        <f t="shared" si="43"/>
        <v>0.03</v>
      </c>
      <c r="L164" s="962"/>
      <c r="M164" s="53">
        <f t="shared" si="44"/>
        <v>0.03</v>
      </c>
      <c r="N164" s="962"/>
      <c r="O164" s="53">
        <f t="shared" si="45"/>
        <v>7.0000000000000007E-2</v>
      </c>
      <c r="P164" s="962"/>
      <c r="Q164" s="53">
        <f t="shared" si="46"/>
        <v>1</v>
      </c>
      <c r="R164" s="493">
        <f t="shared" si="47"/>
        <v>0</v>
      </c>
      <c r="S164" s="800">
        <f t="shared" si="38"/>
        <v>0</v>
      </c>
    </row>
    <row r="165" spans="1:19">
      <c r="A165" s="964"/>
      <c r="B165" s="137"/>
      <c r="C165" s="53">
        <f t="shared" si="39"/>
        <v>1</v>
      </c>
      <c r="D165" s="962"/>
      <c r="E165" s="53">
        <f t="shared" si="40"/>
        <v>0.04</v>
      </c>
      <c r="F165" s="962"/>
      <c r="G165" s="53">
        <f t="shared" si="41"/>
        <v>0</v>
      </c>
      <c r="H165" s="962"/>
      <c r="I165" s="53">
        <f t="shared" si="42"/>
        <v>0</v>
      </c>
      <c r="J165" s="962"/>
      <c r="K165" s="53">
        <f t="shared" si="43"/>
        <v>0.03</v>
      </c>
      <c r="L165" s="962"/>
      <c r="M165" s="53">
        <f t="shared" si="44"/>
        <v>0.03</v>
      </c>
      <c r="N165" s="962"/>
      <c r="O165" s="53">
        <f t="shared" si="45"/>
        <v>7.0000000000000007E-2</v>
      </c>
      <c r="P165" s="962"/>
      <c r="Q165" s="53">
        <f t="shared" si="46"/>
        <v>1</v>
      </c>
      <c r="R165" s="493">
        <f t="shared" si="47"/>
        <v>0</v>
      </c>
      <c r="S165" s="800">
        <f t="shared" si="38"/>
        <v>0</v>
      </c>
    </row>
    <row r="166" spans="1:19">
      <c r="A166" s="964"/>
      <c r="B166" s="137"/>
      <c r="C166" s="53">
        <f t="shared" si="39"/>
        <v>1</v>
      </c>
      <c r="D166" s="962"/>
      <c r="E166" s="53">
        <f t="shared" si="40"/>
        <v>0.04</v>
      </c>
      <c r="F166" s="962"/>
      <c r="G166" s="53">
        <f t="shared" si="41"/>
        <v>0</v>
      </c>
      <c r="H166" s="962"/>
      <c r="I166" s="53">
        <f t="shared" si="42"/>
        <v>0</v>
      </c>
      <c r="J166" s="962"/>
      <c r="K166" s="53">
        <f t="shared" si="43"/>
        <v>0.03</v>
      </c>
      <c r="L166" s="962"/>
      <c r="M166" s="53">
        <f t="shared" si="44"/>
        <v>0.03</v>
      </c>
      <c r="N166" s="962"/>
      <c r="O166" s="53">
        <f t="shared" si="45"/>
        <v>7.0000000000000007E-2</v>
      </c>
      <c r="P166" s="962"/>
      <c r="Q166" s="53">
        <f t="shared" si="46"/>
        <v>1</v>
      </c>
      <c r="R166" s="493">
        <f t="shared" si="47"/>
        <v>0</v>
      </c>
      <c r="S166" s="800">
        <f t="shared" si="38"/>
        <v>0</v>
      </c>
    </row>
    <row r="167" spans="1:19">
      <c r="A167" s="964"/>
      <c r="B167" s="137"/>
      <c r="C167" s="53">
        <f t="shared" si="39"/>
        <v>1</v>
      </c>
      <c r="D167" s="962"/>
      <c r="E167" s="53">
        <f t="shared" si="40"/>
        <v>0.04</v>
      </c>
      <c r="F167" s="962"/>
      <c r="G167" s="53">
        <f t="shared" si="41"/>
        <v>0</v>
      </c>
      <c r="H167" s="962"/>
      <c r="I167" s="53">
        <f t="shared" si="42"/>
        <v>0</v>
      </c>
      <c r="J167" s="962"/>
      <c r="K167" s="53">
        <f t="shared" si="43"/>
        <v>0.03</v>
      </c>
      <c r="L167" s="962"/>
      <c r="M167" s="53">
        <f t="shared" si="44"/>
        <v>0.03</v>
      </c>
      <c r="N167" s="962"/>
      <c r="O167" s="53">
        <f t="shared" si="45"/>
        <v>7.0000000000000007E-2</v>
      </c>
      <c r="P167" s="962"/>
      <c r="Q167" s="53">
        <f t="shared" si="46"/>
        <v>1</v>
      </c>
      <c r="R167" s="493">
        <f t="shared" si="47"/>
        <v>0</v>
      </c>
      <c r="S167" s="800">
        <f t="shared" si="38"/>
        <v>0</v>
      </c>
    </row>
    <row r="168" spans="1:19">
      <c r="A168" s="964"/>
      <c r="B168" s="137"/>
      <c r="C168" s="53">
        <f t="shared" si="39"/>
        <v>1</v>
      </c>
      <c r="D168" s="962"/>
      <c r="E168" s="53">
        <f t="shared" si="40"/>
        <v>0.04</v>
      </c>
      <c r="F168" s="962"/>
      <c r="G168" s="53">
        <f t="shared" si="41"/>
        <v>0</v>
      </c>
      <c r="H168" s="962"/>
      <c r="I168" s="53">
        <f t="shared" si="42"/>
        <v>0</v>
      </c>
      <c r="J168" s="962"/>
      <c r="K168" s="53">
        <f t="shared" si="43"/>
        <v>0.03</v>
      </c>
      <c r="L168" s="962"/>
      <c r="M168" s="53">
        <f t="shared" si="44"/>
        <v>0.03</v>
      </c>
      <c r="N168" s="962"/>
      <c r="O168" s="53">
        <f t="shared" si="45"/>
        <v>7.0000000000000007E-2</v>
      </c>
      <c r="P168" s="962"/>
      <c r="Q168" s="53">
        <f t="shared" si="46"/>
        <v>1</v>
      </c>
      <c r="R168" s="493">
        <f t="shared" si="47"/>
        <v>0</v>
      </c>
      <c r="S168" s="800">
        <f t="shared" si="38"/>
        <v>0</v>
      </c>
    </row>
    <row r="169" spans="1:19">
      <c r="A169" s="964"/>
      <c r="B169" s="137"/>
      <c r="C169" s="53">
        <f t="shared" si="39"/>
        <v>1</v>
      </c>
      <c r="D169" s="962"/>
      <c r="E169" s="53">
        <f t="shared" si="40"/>
        <v>0.04</v>
      </c>
      <c r="F169" s="962"/>
      <c r="G169" s="53">
        <f t="shared" si="41"/>
        <v>0</v>
      </c>
      <c r="H169" s="962"/>
      <c r="I169" s="53">
        <f t="shared" si="42"/>
        <v>0</v>
      </c>
      <c r="J169" s="962"/>
      <c r="K169" s="53">
        <f t="shared" si="43"/>
        <v>0.03</v>
      </c>
      <c r="L169" s="962"/>
      <c r="M169" s="53">
        <f t="shared" si="44"/>
        <v>0.03</v>
      </c>
      <c r="N169" s="962"/>
      <c r="O169" s="53">
        <f t="shared" si="45"/>
        <v>7.0000000000000007E-2</v>
      </c>
      <c r="P169" s="962"/>
      <c r="Q169" s="53">
        <f t="shared" si="46"/>
        <v>1</v>
      </c>
      <c r="R169" s="493">
        <f t="shared" si="47"/>
        <v>0</v>
      </c>
      <c r="S169" s="800">
        <f t="shared" si="38"/>
        <v>0</v>
      </c>
    </row>
    <row r="170" spans="1:19">
      <c r="A170" s="964"/>
      <c r="B170" s="137"/>
      <c r="C170" s="53">
        <f t="shared" si="39"/>
        <v>1</v>
      </c>
      <c r="D170" s="962"/>
      <c r="E170" s="53">
        <f t="shared" si="40"/>
        <v>0.04</v>
      </c>
      <c r="F170" s="962"/>
      <c r="G170" s="53">
        <f t="shared" si="41"/>
        <v>0</v>
      </c>
      <c r="H170" s="962"/>
      <c r="I170" s="53">
        <f t="shared" si="42"/>
        <v>0</v>
      </c>
      <c r="J170" s="962"/>
      <c r="K170" s="53">
        <f t="shared" si="43"/>
        <v>0.03</v>
      </c>
      <c r="L170" s="962"/>
      <c r="M170" s="53">
        <f t="shared" si="44"/>
        <v>0.03</v>
      </c>
      <c r="N170" s="962"/>
      <c r="O170" s="53">
        <f t="shared" si="45"/>
        <v>7.0000000000000007E-2</v>
      </c>
      <c r="P170" s="962"/>
      <c r="Q170" s="53">
        <f t="shared" si="46"/>
        <v>1</v>
      </c>
      <c r="R170" s="493">
        <f t="shared" si="47"/>
        <v>0</v>
      </c>
      <c r="S170" s="800">
        <f t="shared" si="38"/>
        <v>0</v>
      </c>
    </row>
    <row r="171" spans="1:19">
      <c r="A171" s="964"/>
      <c r="B171" s="137"/>
      <c r="C171" s="53">
        <f t="shared" si="39"/>
        <v>1</v>
      </c>
      <c r="D171" s="962"/>
      <c r="E171" s="53">
        <f t="shared" si="40"/>
        <v>0.04</v>
      </c>
      <c r="F171" s="962"/>
      <c r="G171" s="53">
        <f t="shared" si="41"/>
        <v>0</v>
      </c>
      <c r="H171" s="962"/>
      <c r="I171" s="53">
        <f t="shared" si="42"/>
        <v>0</v>
      </c>
      <c r="J171" s="962"/>
      <c r="K171" s="53">
        <f t="shared" si="43"/>
        <v>0.03</v>
      </c>
      <c r="L171" s="962"/>
      <c r="M171" s="53">
        <f t="shared" si="44"/>
        <v>0.03</v>
      </c>
      <c r="N171" s="962"/>
      <c r="O171" s="53">
        <f t="shared" si="45"/>
        <v>7.0000000000000007E-2</v>
      </c>
      <c r="P171" s="962"/>
      <c r="Q171" s="53">
        <f t="shared" si="46"/>
        <v>1</v>
      </c>
      <c r="R171" s="493">
        <f t="shared" si="47"/>
        <v>0</v>
      </c>
      <c r="S171" s="800">
        <f t="shared" si="38"/>
        <v>0</v>
      </c>
    </row>
    <row r="172" spans="1:19">
      <c r="A172" s="964"/>
      <c r="B172" s="137"/>
      <c r="C172" s="53">
        <f t="shared" si="39"/>
        <v>1</v>
      </c>
      <c r="D172" s="962"/>
      <c r="E172" s="53">
        <f t="shared" si="40"/>
        <v>0.04</v>
      </c>
      <c r="F172" s="962"/>
      <c r="G172" s="53">
        <f t="shared" si="41"/>
        <v>0</v>
      </c>
      <c r="H172" s="962"/>
      <c r="I172" s="53">
        <f t="shared" si="42"/>
        <v>0</v>
      </c>
      <c r="J172" s="962"/>
      <c r="K172" s="53">
        <f t="shared" si="43"/>
        <v>0.03</v>
      </c>
      <c r="L172" s="962"/>
      <c r="M172" s="53">
        <f t="shared" si="44"/>
        <v>0.03</v>
      </c>
      <c r="N172" s="962"/>
      <c r="O172" s="53">
        <f t="shared" si="45"/>
        <v>7.0000000000000007E-2</v>
      </c>
      <c r="P172" s="962"/>
      <c r="Q172" s="53">
        <f t="shared" si="46"/>
        <v>1</v>
      </c>
      <c r="R172" s="493">
        <f t="shared" si="47"/>
        <v>0</v>
      </c>
      <c r="S172" s="800">
        <f t="shared" si="38"/>
        <v>0</v>
      </c>
    </row>
    <row r="173" spans="1:19">
      <c r="A173" s="964"/>
      <c r="B173" s="137"/>
      <c r="C173" s="53">
        <f t="shared" si="39"/>
        <v>1</v>
      </c>
      <c r="D173" s="962"/>
      <c r="E173" s="53">
        <f t="shared" si="40"/>
        <v>0.04</v>
      </c>
      <c r="F173" s="962"/>
      <c r="G173" s="53">
        <f t="shared" si="41"/>
        <v>0</v>
      </c>
      <c r="H173" s="962"/>
      <c r="I173" s="53">
        <f t="shared" si="42"/>
        <v>0</v>
      </c>
      <c r="J173" s="962"/>
      <c r="K173" s="53">
        <f t="shared" si="43"/>
        <v>0.03</v>
      </c>
      <c r="L173" s="962"/>
      <c r="M173" s="53">
        <f t="shared" si="44"/>
        <v>0.03</v>
      </c>
      <c r="N173" s="962"/>
      <c r="O173" s="53">
        <f t="shared" si="45"/>
        <v>7.0000000000000007E-2</v>
      </c>
      <c r="P173" s="962"/>
      <c r="Q173" s="53">
        <f t="shared" si="46"/>
        <v>1</v>
      </c>
      <c r="R173" s="493">
        <f t="shared" si="47"/>
        <v>0</v>
      </c>
      <c r="S173" s="800">
        <f t="shared" si="38"/>
        <v>0</v>
      </c>
    </row>
    <row r="174" spans="1:19">
      <c r="A174" s="964"/>
      <c r="B174" s="137"/>
      <c r="C174" s="53">
        <f t="shared" si="39"/>
        <v>1</v>
      </c>
      <c r="D174" s="962"/>
      <c r="E174" s="53">
        <f t="shared" si="40"/>
        <v>0.04</v>
      </c>
      <c r="F174" s="962"/>
      <c r="G174" s="53">
        <f t="shared" si="41"/>
        <v>0</v>
      </c>
      <c r="H174" s="962"/>
      <c r="I174" s="53">
        <f t="shared" si="42"/>
        <v>0</v>
      </c>
      <c r="J174" s="962"/>
      <c r="K174" s="53">
        <f t="shared" si="43"/>
        <v>0.03</v>
      </c>
      <c r="L174" s="962"/>
      <c r="M174" s="53">
        <f t="shared" si="44"/>
        <v>0.03</v>
      </c>
      <c r="N174" s="962"/>
      <c r="O174" s="53">
        <f t="shared" si="45"/>
        <v>7.0000000000000007E-2</v>
      </c>
      <c r="P174" s="962"/>
      <c r="Q174" s="53">
        <f t="shared" si="46"/>
        <v>1</v>
      </c>
      <c r="R174" s="493">
        <f t="shared" si="47"/>
        <v>0</v>
      </c>
      <c r="S174" s="800">
        <f t="shared" si="38"/>
        <v>0</v>
      </c>
    </row>
    <row r="175" spans="1:19">
      <c r="A175" s="964"/>
      <c r="B175" s="137"/>
      <c r="C175" s="53">
        <f t="shared" si="39"/>
        <v>1</v>
      </c>
      <c r="D175" s="962"/>
      <c r="E175" s="53">
        <f t="shared" si="40"/>
        <v>0.04</v>
      </c>
      <c r="F175" s="962"/>
      <c r="G175" s="53">
        <f t="shared" si="41"/>
        <v>0</v>
      </c>
      <c r="H175" s="962"/>
      <c r="I175" s="53">
        <f t="shared" si="42"/>
        <v>0</v>
      </c>
      <c r="J175" s="962"/>
      <c r="K175" s="53">
        <f t="shared" si="43"/>
        <v>0.03</v>
      </c>
      <c r="L175" s="962"/>
      <c r="M175" s="53">
        <f t="shared" si="44"/>
        <v>0.03</v>
      </c>
      <c r="N175" s="962"/>
      <c r="O175" s="53">
        <f t="shared" si="45"/>
        <v>7.0000000000000007E-2</v>
      </c>
      <c r="P175" s="962"/>
      <c r="Q175" s="53">
        <f t="shared" si="46"/>
        <v>1</v>
      </c>
      <c r="R175" s="493">
        <f t="shared" si="47"/>
        <v>0</v>
      </c>
      <c r="S175" s="800">
        <f t="shared" si="38"/>
        <v>0</v>
      </c>
    </row>
    <row r="176" spans="1:19">
      <c r="A176" s="964"/>
      <c r="B176" s="137"/>
      <c r="C176" s="53">
        <f t="shared" si="39"/>
        <v>1</v>
      </c>
      <c r="D176" s="962"/>
      <c r="E176" s="53">
        <f t="shared" si="40"/>
        <v>0.04</v>
      </c>
      <c r="F176" s="962"/>
      <c r="G176" s="53">
        <f t="shared" si="41"/>
        <v>0</v>
      </c>
      <c r="H176" s="962"/>
      <c r="I176" s="53">
        <f t="shared" si="42"/>
        <v>0</v>
      </c>
      <c r="J176" s="962"/>
      <c r="K176" s="53">
        <f t="shared" si="43"/>
        <v>0.03</v>
      </c>
      <c r="L176" s="962"/>
      <c r="M176" s="53">
        <f t="shared" si="44"/>
        <v>0.03</v>
      </c>
      <c r="N176" s="962"/>
      <c r="O176" s="53">
        <f t="shared" si="45"/>
        <v>7.0000000000000007E-2</v>
      </c>
      <c r="P176" s="962"/>
      <c r="Q176" s="53">
        <f t="shared" si="46"/>
        <v>1</v>
      </c>
      <c r="R176" s="493">
        <f t="shared" si="47"/>
        <v>0</v>
      </c>
      <c r="S176" s="800">
        <f t="shared" si="38"/>
        <v>0</v>
      </c>
    </row>
    <row r="177" spans="1:19">
      <c r="A177" s="964"/>
      <c r="B177" s="137"/>
      <c r="C177" s="53">
        <f t="shared" si="39"/>
        <v>1</v>
      </c>
      <c r="D177" s="962"/>
      <c r="E177" s="53">
        <f t="shared" si="40"/>
        <v>0.04</v>
      </c>
      <c r="F177" s="962"/>
      <c r="G177" s="53">
        <f t="shared" si="41"/>
        <v>0</v>
      </c>
      <c r="H177" s="962"/>
      <c r="I177" s="53">
        <f t="shared" si="42"/>
        <v>0</v>
      </c>
      <c r="J177" s="962"/>
      <c r="K177" s="53">
        <f t="shared" si="43"/>
        <v>0.03</v>
      </c>
      <c r="L177" s="962"/>
      <c r="M177" s="53">
        <f t="shared" si="44"/>
        <v>0.03</v>
      </c>
      <c r="N177" s="962"/>
      <c r="O177" s="53">
        <f t="shared" si="45"/>
        <v>7.0000000000000007E-2</v>
      </c>
      <c r="P177" s="962"/>
      <c r="Q177" s="53">
        <f t="shared" si="46"/>
        <v>1</v>
      </c>
      <c r="R177" s="493">
        <f t="shared" si="47"/>
        <v>0</v>
      </c>
      <c r="S177" s="800">
        <f t="shared" si="38"/>
        <v>0</v>
      </c>
    </row>
    <row r="178" spans="1:19">
      <c r="A178" s="964"/>
      <c r="B178" s="137"/>
      <c r="C178" s="53">
        <f t="shared" si="39"/>
        <v>1</v>
      </c>
      <c r="D178" s="962"/>
      <c r="E178" s="53">
        <f t="shared" si="40"/>
        <v>0.04</v>
      </c>
      <c r="F178" s="962"/>
      <c r="G178" s="53">
        <f t="shared" si="41"/>
        <v>0</v>
      </c>
      <c r="H178" s="962"/>
      <c r="I178" s="53">
        <f t="shared" si="42"/>
        <v>0</v>
      </c>
      <c r="J178" s="962"/>
      <c r="K178" s="53">
        <f t="shared" si="43"/>
        <v>0.03</v>
      </c>
      <c r="L178" s="962"/>
      <c r="M178" s="53">
        <f t="shared" si="44"/>
        <v>0.03</v>
      </c>
      <c r="N178" s="962"/>
      <c r="O178" s="53">
        <f t="shared" si="45"/>
        <v>7.0000000000000007E-2</v>
      </c>
      <c r="P178" s="962"/>
      <c r="Q178" s="53">
        <f t="shared" si="46"/>
        <v>1</v>
      </c>
      <c r="R178" s="493">
        <f t="shared" si="47"/>
        <v>0</v>
      </c>
      <c r="S178" s="800">
        <f t="shared" si="38"/>
        <v>0</v>
      </c>
    </row>
    <row r="179" spans="1:19">
      <c r="A179" s="964"/>
      <c r="B179" s="137"/>
      <c r="C179" s="53">
        <f t="shared" si="39"/>
        <v>1</v>
      </c>
      <c r="D179" s="962"/>
      <c r="E179" s="53">
        <f t="shared" si="40"/>
        <v>0.04</v>
      </c>
      <c r="F179" s="962"/>
      <c r="G179" s="53">
        <f t="shared" si="41"/>
        <v>0</v>
      </c>
      <c r="H179" s="962"/>
      <c r="I179" s="53">
        <f t="shared" si="42"/>
        <v>0</v>
      </c>
      <c r="J179" s="962"/>
      <c r="K179" s="53">
        <f t="shared" si="43"/>
        <v>0.03</v>
      </c>
      <c r="L179" s="962"/>
      <c r="M179" s="53">
        <f t="shared" si="44"/>
        <v>0.03</v>
      </c>
      <c r="N179" s="962"/>
      <c r="O179" s="53">
        <f t="shared" si="45"/>
        <v>7.0000000000000007E-2</v>
      </c>
      <c r="P179" s="962"/>
      <c r="Q179" s="53">
        <f t="shared" si="46"/>
        <v>1</v>
      </c>
      <c r="R179" s="493">
        <f t="shared" si="47"/>
        <v>0</v>
      </c>
      <c r="S179" s="800">
        <f t="shared" si="38"/>
        <v>0</v>
      </c>
    </row>
    <row r="180" spans="1:19">
      <c r="A180" s="964"/>
      <c r="B180" s="137"/>
      <c r="C180" s="53">
        <f t="shared" si="39"/>
        <v>1</v>
      </c>
      <c r="D180" s="962"/>
      <c r="E180" s="53">
        <f t="shared" si="40"/>
        <v>0.04</v>
      </c>
      <c r="F180" s="962"/>
      <c r="G180" s="53">
        <f t="shared" si="41"/>
        <v>0</v>
      </c>
      <c r="H180" s="962"/>
      <c r="I180" s="53">
        <f t="shared" si="42"/>
        <v>0</v>
      </c>
      <c r="J180" s="962"/>
      <c r="K180" s="53">
        <f t="shared" si="43"/>
        <v>0.03</v>
      </c>
      <c r="L180" s="962"/>
      <c r="M180" s="53">
        <f t="shared" si="44"/>
        <v>0.03</v>
      </c>
      <c r="N180" s="962"/>
      <c r="O180" s="53">
        <f t="shared" si="45"/>
        <v>7.0000000000000007E-2</v>
      </c>
      <c r="P180" s="962"/>
      <c r="Q180" s="53">
        <f t="shared" si="46"/>
        <v>1</v>
      </c>
      <c r="R180" s="493">
        <f t="shared" si="47"/>
        <v>0</v>
      </c>
      <c r="S180" s="800">
        <f t="shared" si="38"/>
        <v>0</v>
      </c>
    </row>
    <row r="181" spans="1:19">
      <c r="A181" s="964"/>
      <c r="B181" s="137"/>
      <c r="C181" s="53">
        <f t="shared" si="39"/>
        <v>1</v>
      </c>
      <c r="D181" s="962"/>
      <c r="E181" s="53">
        <f t="shared" si="40"/>
        <v>0.04</v>
      </c>
      <c r="F181" s="962"/>
      <c r="G181" s="53">
        <f t="shared" si="41"/>
        <v>0</v>
      </c>
      <c r="H181" s="962"/>
      <c r="I181" s="53">
        <f t="shared" si="42"/>
        <v>0</v>
      </c>
      <c r="J181" s="962"/>
      <c r="K181" s="53">
        <f t="shared" si="43"/>
        <v>0.03</v>
      </c>
      <c r="L181" s="962"/>
      <c r="M181" s="53">
        <f t="shared" si="44"/>
        <v>0.03</v>
      </c>
      <c r="N181" s="962"/>
      <c r="O181" s="53">
        <f t="shared" si="45"/>
        <v>7.0000000000000007E-2</v>
      </c>
      <c r="P181" s="962"/>
      <c r="Q181" s="53">
        <f t="shared" si="46"/>
        <v>1</v>
      </c>
      <c r="R181" s="493">
        <f t="shared" si="47"/>
        <v>0</v>
      </c>
      <c r="S181" s="800">
        <f t="shared" si="38"/>
        <v>0</v>
      </c>
    </row>
    <row r="182" spans="1:19">
      <c r="A182" s="964"/>
      <c r="B182" s="137"/>
      <c r="C182" s="53">
        <f t="shared" si="39"/>
        <v>1</v>
      </c>
      <c r="D182" s="962"/>
      <c r="E182" s="53">
        <f t="shared" si="40"/>
        <v>0.04</v>
      </c>
      <c r="F182" s="962"/>
      <c r="G182" s="53">
        <f t="shared" si="41"/>
        <v>0</v>
      </c>
      <c r="H182" s="962"/>
      <c r="I182" s="53">
        <f t="shared" si="42"/>
        <v>0</v>
      </c>
      <c r="J182" s="962"/>
      <c r="K182" s="53">
        <f t="shared" si="43"/>
        <v>0.03</v>
      </c>
      <c r="L182" s="962"/>
      <c r="M182" s="53">
        <f t="shared" si="44"/>
        <v>0.03</v>
      </c>
      <c r="N182" s="962"/>
      <c r="O182" s="53">
        <f t="shared" si="45"/>
        <v>7.0000000000000007E-2</v>
      </c>
      <c r="P182" s="962"/>
      <c r="Q182" s="53">
        <f t="shared" si="46"/>
        <v>1</v>
      </c>
      <c r="R182" s="493">
        <f t="shared" si="47"/>
        <v>0</v>
      </c>
      <c r="S182" s="800">
        <f t="shared" si="38"/>
        <v>0</v>
      </c>
    </row>
    <row r="183" spans="1:19">
      <c r="A183" s="964"/>
      <c r="B183" s="137"/>
      <c r="C183" s="53">
        <f t="shared" si="39"/>
        <v>1</v>
      </c>
      <c r="D183" s="962"/>
      <c r="E183" s="53">
        <f t="shared" si="40"/>
        <v>0.04</v>
      </c>
      <c r="F183" s="962"/>
      <c r="G183" s="53">
        <f t="shared" si="41"/>
        <v>0</v>
      </c>
      <c r="H183" s="962"/>
      <c r="I183" s="53">
        <f t="shared" si="42"/>
        <v>0</v>
      </c>
      <c r="J183" s="962"/>
      <c r="K183" s="53">
        <f t="shared" si="43"/>
        <v>0.03</v>
      </c>
      <c r="L183" s="962"/>
      <c r="M183" s="53">
        <f t="shared" si="44"/>
        <v>0.03</v>
      </c>
      <c r="N183" s="962"/>
      <c r="O183" s="53">
        <f t="shared" si="45"/>
        <v>7.0000000000000007E-2</v>
      </c>
      <c r="P183" s="962"/>
      <c r="Q183" s="53">
        <f t="shared" si="46"/>
        <v>1</v>
      </c>
      <c r="R183" s="493">
        <f t="shared" si="47"/>
        <v>0</v>
      </c>
      <c r="S183" s="800">
        <f t="shared" si="38"/>
        <v>0</v>
      </c>
    </row>
    <row r="184" spans="1:19">
      <c r="A184" s="964"/>
      <c r="B184" s="137"/>
      <c r="C184" s="53">
        <f t="shared" si="39"/>
        <v>1</v>
      </c>
      <c r="D184" s="962"/>
      <c r="E184" s="53">
        <f t="shared" si="40"/>
        <v>0.04</v>
      </c>
      <c r="F184" s="962"/>
      <c r="G184" s="53">
        <f t="shared" si="41"/>
        <v>0</v>
      </c>
      <c r="H184" s="962"/>
      <c r="I184" s="53">
        <f t="shared" si="42"/>
        <v>0</v>
      </c>
      <c r="J184" s="962"/>
      <c r="K184" s="53">
        <f t="shared" si="43"/>
        <v>0.03</v>
      </c>
      <c r="L184" s="962"/>
      <c r="M184" s="53">
        <f t="shared" si="44"/>
        <v>0.03</v>
      </c>
      <c r="N184" s="962"/>
      <c r="O184" s="53">
        <f t="shared" si="45"/>
        <v>7.0000000000000007E-2</v>
      </c>
      <c r="P184" s="962"/>
      <c r="Q184" s="53">
        <f t="shared" si="46"/>
        <v>1</v>
      </c>
      <c r="R184" s="493">
        <f t="shared" si="47"/>
        <v>0</v>
      </c>
      <c r="S184" s="800">
        <f t="shared" si="38"/>
        <v>0</v>
      </c>
    </row>
    <row r="185" spans="1:19">
      <c r="A185" s="964"/>
      <c r="B185" s="137"/>
      <c r="C185" s="53">
        <f t="shared" si="39"/>
        <v>1</v>
      </c>
      <c r="D185" s="962"/>
      <c r="E185" s="53">
        <f t="shared" si="40"/>
        <v>0.04</v>
      </c>
      <c r="F185" s="962"/>
      <c r="G185" s="53">
        <f t="shared" si="41"/>
        <v>0</v>
      </c>
      <c r="H185" s="962"/>
      <c r="I185" s="53">
        <f t="shared" si="42"/>
        <v>0</v>
      </c>
      <c r="J185" s="962"/>
      <c r="K185" s="53">
        <f t="shared" si="43"/>
        <v>0.03</v>
      </c>
      <c r="L185" s="962"/>
      <c r="M185" s="53">
        <f t="shared" si="44"/>
        <v>0.03</v>
      </c>
      <c r="N185" s="962"/>
      <c r="O185" s="53">
        <f t="shared" si="45"/>
        <v>7.0000000000000007E-2</v>
      </c>
      <c r="P185" s="962"/>
      <c r="Q185" s="53">
        <f t="shared" si="46"/>
        <v>1</v>
      </c>
      <c r="R185" s="493">
        <f t="shared" si="47"/>
        <v>0</v>
      </c>
      <c r="S185" s="800">
        <f t="shared" si="38"/>
        <v>0</v>
      </c>
    </row>
    <row r="186" spans="1:19">
      <c r="A186" s="964"/>
      <c r="B186" s="137"/>
      <c r="C186" s="53">
        <f t="shared" si="39"/>
        <v>1</v>
      </c>
      <c r="D186" s="962"/>
      <c r="E186" s="53">
        <f t="shared" si="40"/>
        <v>0.04</v>
      </c>
      <c r="F186" s="962"/>
      <c r="G186" s="53">
        <f t="shared" si="41"/>
        <v>0</v>
      </c>
      <c r="H186" s="962"/>
      <c r="I186" s="53">
        <f t="shared" si="42"/>
        <v>0</v>
      </c>
      <c r="J186" s="962"/>
      <c r="K186" s="53">
        <f t="shared" si="43"/>
        <v>0.03</v>
      </c>
      <c r="L186" s="962"/>
      <c r="M186" s="53">
        <f t="shared" si="44"/>
        <v>0.03</v>
      </c>
      <c r="N186" s="962"/>
      <c r="O186" s="53">
        <f t="shared" si="45"/>
        <v>7.0000000000000007E-2</v>
      </c>
      <c r="P186" s="962"/>
      <c r="Q186" s="53">
        <f t="shared" si="46"/>
        <v>1</v>
      </c>
      <c r="R186" s="493">
        <f t="shared" si="47"/>
        <v>0</v>
      </c>
      <c r="S186" s="800">
        <f t="shared" si="38"/>
        <v>0</v>
      </c>
    </row>
    <row r="187" spans="1:19">
      <c r="A187" s="964"/>
      <c r="B187" s="137"/>
      <c r="C187" s="53">
        <f t="shared" si="39"/>
        <v>1</v>
      </c>
      <c r="D187" s="962"/>
      <c r="E187" s="53">
        <f t="shared" si="40"/>
        <v>0.04</v>
      </c>
      <c r="F187" s="962"/>
      <c r="G187" s="53">
        <f t="shared" si="41"/>
        <v>0</v>
      </c>
      <c r="H187" s="962"/>
      <c r="I187" s="53">
        <f t="shared" si="42"/>
        <v>0</v>
      </c>
      <c r="J187" s="962"/>
      <c r="K187" s="53">
        <f t="shared" si="43"/>
        <v>0.03</v>
      </c>
      <c r="L187" s="962"/>
      <c r="M187" s="53">
        <f t="shared" si="44"/>
        <v>0.03</v>
      </c>
      <c r="N187" s="962"/>
      <c r="O187" s="53">
        <f t="shared" si="45"/>
        <v>7.0000000000000007E-2</v>
      </c>
      <c r="P187" s="962"/>
      <c r="Q187" s="53">
        <f t="shared" si="46"/>
        <v>1</v>
      </c>
      <c r="R187" s="493">
        <f t="shared" si="47"/>
        <v>0</v>
      </c>
      <c r="S187" s="800">
        <f t="shared" ref="S187:S222" si="48">ROUND(R187*B187/10000,0)</f>
        <v>0</v>
      </c>
    </row>
    <row r="188" spans="1:19">
      <c r="A188" s="964"/>
      <c r="B188" s="137"/>
      <c r="C188" s="53">
        <f t="shared" si="39"/>
        <v>1</v>
      </c>
      <c r="D188" s="962"/>
      <c r="E188" s="53">
        <f t="shared" si="40"/>
        <v>0.04</v>
      </c>
      <c r="F188" s="962"/>
      <c r="G188" s="53">
        <f t="shared" si="41"/>
        <v>0</v>
      </c>
      <c r="H188" s="962"/>
      <c r="I188" s="53">
        <f t="shared" si="42"/>
        <v>0</v>
      </c>
      <c r="J188" s="962"/>
      <c r="K188" s="53">
        <f t="shared" si="43"/>
        <v>0.03</v>
      </c>
      <c r="L188" s="962"/>
      <c r="M188" s="53">
        <f t="shared" si="44"/>
        <v>0.03</v>
      </c>
      <c r="N188" s="962"/>
      <c r="O188" s="53">
        <f t="shared" si="45"/>
        <v>7.0000000000000007E-2</v>
      </c>
      <c r="P188" s="962"/>
      <c r="Q188" s="53">
        <f t="shared" si="46"/>
        <v>1</v>
      </c>
      <c r="R188" s="493">
        <f t="shared" si="47"/>
        <v>0</v>
      </c>
      <c r="S188" s="800">
        <f t="shared" si="48"/>
        <v>0</v>
      </c>
    </row>
    <row r="189" spans="1:19">
      <c r="A189" s="964"/>
      <c r="B189" s="137"/>
      <c r="C189" s="53">
        <f t="shared" si="39"/>
        <v>1</v>
      </c>
      <c r="D189" s="962"/>
      <c r="E189" s="53">
        <f t="shared" si="40"/>
        <v>0.04</v>
      </c>
      <c r="F189" s="962"/>
      <c r="G189" s="53">
        <f t="shared" si="41"/>
        <v>0</v>
      </c>
      <c r="H189" s="962"/>
      <c r="I189" s="53">
        <f t="shared" si="42"/>
        <v>0</v>
      </c>
      <c r="J189" s="962"/>
      <c r="K189" s="53">
        <f t="shared" si="43"/>
        <v>0.03</v>
      </c>
      <c r="L189" s="962"/>
      <c r="M189" s="53">
        <f t="shared" si="44"/>
        <v>0.03</v>
      </c>
      <c r="N189" s="962"/>
      <c r="O189" s="53">
        <f t="shared" si="45"/>
        <v>7.0000000000000007E-2</v>
      </c>
      <c r="P189" s="962"/>
      <c r="Q189" s="53">
        <f t="shared" si="46"/>
        <v>1</v>
      </c>
      <c r="R189" s="493">
        <f t="shared" si="47"/>
        <v>0</v>
      </c>
      <c r="S189" s="800">
        <f t="shared" si="48"/>
        <v>0</v>
      </c>
    </row>
    <row r="190" spans="1:19">
      <c r="A190" s="964"/>
      <c r="B190" s="137"/>
      <c r="C190" s="53">
        <f t="shared" si="39"/>
        <v>1</v>
      </c>
      <c r="D190" s="962"/>
      <c r="E190" s="53">
        <f t="shared" si="40"/>
        <v>0.04</v>
      </c>
      <c r="F190" s="962"/>
      <c r="G190" s="53">
        <f t="shared" si="41"/>
        <v>0</v>
      </c>
      <c r="H190" s="962"/>
      <c r="I190" s="53">
        <f t="shared" si="42"/>
        <v>0</v>
      </c>
      <c r="J190" s="962"/>
      <c r="K190" s="53">
        <f t="shared" si="43"/>
        <v>0.03</v>
      </c>
      <c r="L190" s="962"/>
      <c r="M190" s="53">
        <f t="shared" si="44"/>
        <v>0.03</v>
      </c>
      <c r="N190" s="962"/>
      <c r="O190" s="53">
        <f t="shared" si="45"/>
        <v>7.0000000000000007E-2</v>
      </c>
      <c r="P190" s="962"/>
      <c r="Q190" s="53">
        <f t="shared" si="46"/>
        <v>1</v>
      </c>
      <c r="R190" s="493">
        <f t="shared" si="47"/>
        <v>0</v>
      </c>
      <c r="S190" s="800">
        <f t="shared" si="48"/>
        <v>0</v>
      </c>
    </row>
    <row r="191" spans="1:19">
      <c r="A191" s="964"/>
      <c r="B191" s="137"/>
      <c r="C191" s="53">
        <f t="shared" si="39"/>
        <v>1</v>
      </c>
      <c r="D191" s="962"/>
      <c r="E191" s="53">
        <f t="shared" si="40"/>
        <v>0.04</v>
      </c>
      <c r="F191" s="962"/>
      <c r="G191" s="53">
        <f t="shared" si="41"/>
        <v>0</v>
      </c>
      <c r="H191" s="962"/>
      <c r="I191" s="53">
        <f t="shared" si="42"/>
        <v>0</v>
      </c>
      <c r="J191" s="962"/>
      <c r="K191" s="53">
        <f t="shared" si="43"/>
        <v>0.03</v>
      </c>
      <c r="L191" s="962"/>
      <c r="M191" s="53">
        <f t="shared" si="44"/>
        <v>0.03</v>
      </c>
      <c r="N191" s="962"/>
      <c r="O191" s="53">
        <f t="shared" si="45"/>
        <v>7.0000000000000007E-2</v>
      </c>
      <c r="P191" s="962"/>
      <c r="Q191" s="53">
        <f t="shared" si="46"/>
        <v>1</v>
      </c>
      <c r="R191" s="493">
        <f t="shared" si="47"/>
        <v>0</v>
      </c>
      <c r="S191" s="800">
        <f t="shared" si="48"/>
        <v>0</v>
      </c>
    </row>
    <row r="192" spans="1:19">
      <c r="A192" s="964"/>
      <c r="B192" s="137"/>
      <c r="C192" s="53">
        <f t="shared" si="39"/>
        <v>1</v>
      </c>
      <c r="D192" s="962"/>
      <c r="E192" s="53">
        <f t="shared" si="40"/>
        <v>0.04</v>
      </c>
      <c r="F192" s="962"/>
      <c r="G192" s="53">
        <f t="shared" si="41"/>
        <v>0</v>
      </c>
      <c r="H192" s="962"/>
      <c r="I192" s="53">
        <f t="shared" si="42"/>
        <v>0</v>
      </c>
      <c r="J192" s="962"/>
      <c r="K192" s="53">
        <f t="shared" si="43"/>
        <v>0.03</v>
      </c>
      <c r="L192" s="962"/>
      <c r="M192" s="53">
        <f t="shared" si="44"/>
        <v>0.03</v>
      </c>
      <c r="N192" s="962"/>
      <c r="O192" s="53">
        <f t="shared" si="45"/>
        <v>7.0000000000000007E-2</v>
      </c>
      <c r="P192" s="962"/>
      <c r="Q192" s="53">
        <f t="shared" si="46"/>
        <v>1</v>
      </c>
      <c r="R192" s="493">
        <f t="shared" si="47"/>
        <v>0</v>
      </c>
      <c r="S192" s="800">
        <f t="shared" si="48"/>
        <v>0</v>
      </c>
    </row>
    <row r="193" spans="1:19">
      <c r="A193" s="964"/>
      <c r="B193" s="137"/>
      <c r="C193" s="53">
        <f t="shared" si="39"/>
        <v>1</v>
      </c>
      <c r="D193" s="962"/>
      <c r="E193" s="53">
        <f t="shared" si="40"/>
        <v>0.04</v>
      </c>
      <c r="F193" s="962"/>
      <c r="G193" s="53">
        <f t="shared" si="41"/>
        <v>0</v>
      </c>
      <c r="H193" s="962"/>
      <c r="I193" s="53">
        <f t="shared" si="42"/>
        <v>0</v>
      </c>
      <c r="J193" s="962"/>
      <c r="K193" s="53">
        <f t="shared" si="43"/>
        <v>0.03</v>
      </c>
      <c r="L193" s="962"/>
      <c r="M193" s="53">
        <f t="shared" si="44"/>
        <v>0.03</v>
      </c>
      <c r="N193" s="962"/>
      <c r="O193" s="53">
        <f t="shared" si="45"/>
        <v>7.0000000000000007E-2</v>
      </c>
      <c r="P193" s="962"/>
      <c r="Q193" s="53">
        <f t="shared" si="46"/>
        <v>1</v>
      </c>
      <c r="R193" s="493">
        <f t="shared" si="47"/>
        <v>0</v>
      </c>
      <c r="S193" s="800">
        <f t="shared" si="48"/>
        <v>0</v>
      </c>
    </row>
    <row r="194" spans="1:19">
      <c r="A194" s="964"/>
      <c r="B194" s="137"/>
      <c r="C194" s="53">
        <f t="shared" si="39"/>
        <v>1</v>
      </c>
      <c r="D194" s="962"/>
      <c r="E194" s="53">
        <f t="shared" si="40"/>
        <v>0.04</v>
      </c>
      <c r="F194" s="962"/>
      <c r="G194" s="53">
        <f t="shared" si="41"/>
        <v>0</v>
      </c>
      <c r="H194" s="962"/>
      <c r="I194" s="53">
        <f t="shared" si="42"/>
        <v>0</v>
      </c>
      <c r="J194" s="962"/>
      <c r="K194" s="53">
        <f t="shared" si="43"/>
        <v>0.03</v>
      </c>
      <c r="L194" s="962"/>
      <c r="M194" s="53">
        <f t="shared" si="44"/>
        <v>0.03</v>
      </c>
      <c r="N194" s="962"/>
      <c r="O194" s="53">
        <f t="shared" si="45"/>
        <v>7.0000000000000007E-2</v>
      </c>
      <c r="P194" s="962"/>
      <c r="Q194" s="53">
        <f t="shared" si="46"/>
        <v>1</v>
      </c>
      <c r="R194" s="493">
        <f t="shared" si="47"/>
        <v>0</v>
      </c>
      <c r="S194" s="800">
        <f t="shared" si="48"/>
        <v>0</v>
      </c>
    </row>
    <row r="195" spans="1:19">
      <c r="A195" s="964"/>
      <c r="B195" s="137"/>
      <c r="C195" s="53">
        <f t="shared" si="39"/>
        <v>1</v>
      </c>
      <c r="D195" s="962"/>
      <c r="E195" s="53">
        <f t="shared" si="40"/>
        <v>0.04</v>
      </c>
      <c r="F195" s="962"/>
      <c r="G195" s="53">
        <f t="shared" si="41"/>
        <v>0</v>
      </c>
      <c r="H195" s="962"/>
      <c r="I195" s="53">
        <f t="shared" si="42"/>
        <v>0</v>
      </c>
      <c r="J195" s="962"/>
      <c r="K195" s="53">
        <f t="shared" si="43"/>
        <v>0.03</v>
      </c>
      <c r="L195" s="962"/>
      <c r="M195" s="53">
        <f t="shared" si="44"/>
        <v>0.03</v>
      </c>
      <c r="N195" s="962"/>
      <c r="O195" s="53">
        <f t="shared" si="45"/>
        <v>7.0000000000000007E-2</v>
      </c>
      <c r="P195" s="962"/>
      <c r="Q195" s="53">
        <f t="shared" si="46"/>
        <v>1</v>
      </c>
      <c r="R195" s="493">
        <f t="shared" si="47"/>
        <v>0</v>
      </c>
      <c r="S195" s="800">
        <f t="shared" si="48"/>
        <v>0</v>
      </c>
    </row>
    <row r="196" spans="1:19">
      <c r="A196" s="964"/>
      <c r="B196" s="137"/>
      <c r="C196" s="53">
        <f t="shared" si="39"/>
        <v>1</v>
      </c>
      <c r="D196" s="962"/>
      <c r="E196" s="53">
        <f t="shared" si="40"/>
        <v>0.04</v>
      </c>
      <c r="F196" s="962"/>
      <c r="G196" s="53">
        <f t="shared" si="41"/>
        <v>0</v>
      </c>
      <c r="H196" s="962"/>
      <c r="I196" s="53">
        <f t="shared" si="42"/>
        <v>0</v>
      </c>
      <c r="J196" s="962"/>
      <c r="K196" s="53">
        <f t="shared" si="43"/>
        <v>0.03</v>
      </c>
      <c r="L196" s="962"/>
      <c r="M196" s="53">
        <f t="shared" si="44"/>
        <v>0.03</v>
      </c>
      <c r="N196" s="962"/>
      <c r="O196" s="53">
        <f t="shared" si="45"/>
        <v>7.0000000000000007E-2</v>
      </c>
      <c r="P196" s="962"/>
      <c r="Q196" s="53">
        <f t="shared" si="46"/>
        <v>1</v>
      </c>
      <c r="R196" s="493">
        <f t="shared" si="47"/>
        <v>0</v>
      </c>
      <c r="S196" s="800">
        <f t="shared" si="48"/>
        <v>0</v>
      </c>
    </row>
    <row r="197" spans="1:19">
      <c r="A197" s="964"/>
      <c r="B197" s="137"/>
      <c r="C197" s="53">
        <f t="shared" si="39"/>
        <v>1</v>
      </c>
      <c r="D197" s="962"/>
      <c r="E197" s="53">
        <f t="shared" si="40"/>
        <v>0.04</v>
      </c>
      <c r="F197" s="962"/>
      <c r="G197" s="53">
        <f t="shared" si="41"/>
        <v>0</v>
      </c>
      <c r="H197" s="962"/>
      <c r="I197" s="53">
        <f t="shared" si="42"/>
        <v>0</v>
      </c>
      <c r="J197" s="962"/>
      <c r="K197" s="53">
        <f t="shared" si="43"/>
        <v>0.03</v>
      </c>
      <c r="L197" s="962"/>
      <c r="M197" s="53">
        <f t="shared" si="44"/>
        <v>0.03</v>
      </c>
      <c r="N197" s="962"/>
      <c r="O197" s="53">
        <f t="shared" si="45"/>
        <v>7.0000000000000007E-2</v>
      </c>
      <c r="P197" s="962"/>
      <c r="Q197" s="53">
        <f t="shared" si="46"/>
        <v>1</v>
      </c>
      <c r="R197" s="493">
        <f t="shared" si="47"/>
        <v>0</v>
      </c>
      <c r="S197" s="800">
        <f t="shared" si="48"/>
        <v>0</v>
      </c>
    </row>
    <row r="198" spans="1:19">
      <c r="A198" s="964"/>
      <c r="B198" s="137"/>
      <c r="C198" s="53">
        <f t="shared" si="39"/>
        <v>1</v>
      </c>
      <c r="D198" s="962"/>
      <c r="E198" s="53">
        <f t="shared" si="40"/>
        <v>0.04</v>
      </c>
      <c r="F198" s="962"/>
      <c r="G198" s="53">
        <f t="shared" si="41"/>
        <v>0</v>
      </c>
      <c r="H198" s="962"/>
      <c r="I198" s="53">
        <f t="shared" si="42"/>
        <v>0</v>
      </c>
      <c r="J198" s="962"/>
      <c r="K198" s="53">
        <f t="shared" si="43"/>
        <v>0.03</v>
      </c>
      <c r="L198" s="962"/>
      <c r="M198" s="53">
        <f t="shared" si="44"/>
        <v>0.03</v>
      </c>
      <c r="N198" s="962"/>
      <c r="O198" s="53">
        <f t="shared" si="45"/>
        <v>7.0000000000000007E-2</v>
      </c>
      <c r="P198" s="962"/>
      <c r="Q198" s="53">
        <f t="shared" si="46"/>
        <v>1</v>
      </c>
      <c r="R198" s="493">
        <f t="shared" si="47"/>
        <v>0</v>
      </c>
      <c r="S198" s="800">
        <f t="shared" si="48"/>
        <v>0</v>
      </c>
    </row>
    <row r="199" spans="1:19">
      <c r="A199" s="964"/>
      <c r="B199" s="137"/>
      <c r="C199" s="53">
        <f t="shared" si="39"/>
        <v>1</v>
      </c>
      <c r="D199" s="962"/>
      <c r="E199" s="53">
        <f t="shared" si="40"/>
        <v>0.04</v>
      </c>
      <c r="F199" s="962"/>
      <c r="G199" s="53">
        <f t="shared" si="41"/>
        <v>0</v>
      </c>
      <c r="H199" s="962"/>
      <c r="I199" s="53">
        <f t="shared" si="42"/>
        <v>0</v>
      </c>
      <c r="J199" s="962"/>
      <c r="K199" s="53">
        <f t="shared" si="43"/>
        <v>0.03</v>
      </c>
      <c r="L199" s="962"/>
      <c r="M199" s="53">
        <f t="shared" si="44"/>
        <v>0.03</v>
      </c>
      <c r="N199" s="962"/>
      <c r="O199" s="53">
        <f t="shared" si="45"/>
        <v>7.0000000000000007E-2</v>
      </c>
      <c r="P199" s="962"/>
      <c r="Q199" s="53">
        <f t="shared" si="46"/>
        <v>1</v>
      </c>
      <c r="R199" s="493">
        <f t="shared" si="47"/>
        <v>0</v>
      </c>
      <c r="S199" s="800">
        <f t="shared" si="48"/>
        <v>0</v>
      </c>
    </row>
    <row r="200" spans="1:19">
      <c r="A200" s="964"/>
      <c r="B200" s="137"/>
      <c r="C200" s="53">
        <f t="shared" si="39"/>
        <v>1</v>
      </c>
      <c r="D200" s="962"/>
      <c r="E200" s="53">
        <f t="shared" si="40"/>
        <v>0.04</v>
      </c>
      <c r="F200" s="962"/>
      <c r="G200" s="53">
        <f t="shared" si="41"/>
        <v>0</v>
      </c>
      <c r="H200" s="962"/>
      <c r="I200" s="53">
        <f t="shared" si="42"/>
        <v>0</v>
      </c>
      <c r="J200" s="962"/>
      <c r="K200" s="53">
        <f t="shared" si="43"/>
        <v>0.03</v>
      </c>
      <c r="L200" s="962"/>
      <c r="M200" s="53">
        <f t="shared" si="44"/>
        <v>0.03</v>
      </c>
      <c r="N200" s="962"/>
      <c r="O200" s="53">
        <f t="shared" si="45"/>
        <v>7.0000000000000007E-2</v>
      </c>
      <c r="P200" s="962"/>
      <c r="Q200" s="53">
        <f t="shared" si="46"/>
        <v>1</v>
      </c>
      <c r="R200" s="493">
        <f t="shared" si="47"/>
        <v>0</v>
      </c>
      <c r="S200" s="800">
        <f t="shared" si="48"/>
        <v>0</v>
      </c>
    </row>
    <row r="201" spans="1:19">
      <c r="A201" s="964"/>
      <c r="B201" s="137"/>
      <c r="C201" s="53">
        <f t="shared" si="39"/>
        <v>1</v>
      </c>
      <c r="D201" s="962"/>
      <c r="E201" s="53">
        <f t="shared" si="40"/>
        <v>0.04</v>
      </c>
      <c r="F201" s="962"/>
      <c r="G201" s="53">
        <f t="shared" si="41"/>
        <v>0</v>
      </c>
      <c r="H201" s="962"/>
      <c r="I201" s="53">
        <f t="shared" si="42"/>
        <v>0</v>
      </c>
      <c r="J201" s="962"/>
      <c r="K201" s="53">
        <f t="shared" si="43"/>
        <v>0.03</v>
      </c>
      <c r="L201" s="962"/>
      <c r="M201" s="53">
        <f t="shared" si="44"/>
        <v>0.03</v>
      </c>
      <c r="N201" s="962"/>
      <c r="O201" s="53">
        <f t="shared" si="45"/>
        <v>7.0000000000000007E-2</v>
      </c>
      <c r="P201" s="962"/>
      <c r="Q201" s="53">
        <f t="shared" si="46"/>
        <v>1</v>
      </c>
      <c r="R201" s="493">
        <f t="shared" si="47"/>
        <v>0</v>
      </c>
      <c r="S201" s="800">
        <f t="shared" si="48"/>
        <v>0</v>
      </c>
    </row>
    <row r="202" spans="1:19">
      <c r="A202" s="964"/>
      <c r="B202" s="137"/>
      <c r="C202" s="53">
        <f t="shared" si="39"/>
        <v>1</v>
      </c>
      <c r="D202" s="962"/>
      <c r="E202" s="53">
        <f t="shared" si="40"/>
        <v>0.04</v>
      </c>
      <c r="F202" s="962"/>
      <c r="G202" s="53">
        <f t="shared" si="41"/>
        <v>0</v>
      </c>
      <c r="H202" s="962"/>
      <c r="I202" s="53">
        <f t="shared" si="42"/>
        <v>0</v>
      </c>
      <c r="J202" s="962"/>
      <c r="K202" s="53">
        <f t="shared" si="43"/>
        <v>0.03</v>
      </c>
      <c r="L202" s="962"/>
      <c r="M202" s="53">
        <f t="shared" si="44"/>
        <v>0.03</v>
      </c>
      <c r="N202" s="962"/>
      <c r="O202" s="53">
        <f t="shared" si="45"/>
        <v>7.0000000000000007E-2</v>
      </c>
      <c r="P202" s="962"/>
      <c r="Q202" s="53">
        <f t="shared" si="46"/>
        <v>1</v>
      </c>
      <c r="R202" s="493">
        <f t="shared" si="47"/>
        <v>0</v>
      </c>
      <c r="S202" s="800">
        <f t="shared" si="48"/>
        <v>0</v>
      </c>
    </row>
    <row r="203" spans="1:19">
      <c r="A203" s="964"/>
      <c r="B203" s="137"/>
      <c r="C203" s="53">
        <f t="shared" si="39"/>
        <v>1</v>
      </c>
      <c r="D203" s="962"/>
      <c r="E203" s="53">
        <f t="shared" si="40"/>
        <v>0.04</v>
      </c>
      <c r="F203" s="962"/>
      <c r="G203" s="53">
        <f t="shared" si="41"/>
        <v>0</v>
      </c>
      <c r="H203" s="962"/>
      <c r="I203" s="53">
        <f t="shared" si="42"/>
        <v>0</v>
      </c>
      <c r="J203" s="962"/>
      <c r="K203" s="53">
        <f t="shared" si="43"/>
        <v>0.03</v>
      </c>
      <c r="L203" s="962"/>
      <c r="M203" s="53">
        <f t="shared" si="44"/>
        <v>0.03</v>
      </c>
      <c r="N203" s="962"/>
      <c r="O203" s="53">
        <f t="shared" si="45"/>
        <v>7.0000000000000007E-2</v>
      </c>
      <c r="P203" s="962"/>
      <c r="Q203" s="53">
        <f t="shared" si="46"/>
        <v>1</v>
      </c>
      <c r="R203" s="493">
        <f t="shared" si="47"/>
        <v>0</v>
      </c>
      <c r="S203" s="800">
        <f t="shared" si="48"/>
        <v>0</v>
      </c>
    </row>
    <row r="204" spans="1:19">
      <c r="A204" s="964"/>
      <c r="B204" s="137"/>
      <c r="C204" s="53">
        <f t="shared" si="39"/>
        <v>1</v>
      </c>
      <c r="D204" s="962"/>
      <c r="E204" s="53">
        <f t="shared" si="40"/>
        <v>0.04</v>
      </c>
      <c r="F204" s="962"/>
      <c r="G204" s="53">
        <f t="shared" si="41"/>
        <v>0</v>
      </c>
      <c r="H204" s="962"/>
      <c r="I204" s="53">
        <f t="shared" si="42"/>
        <v>0</v>
      </c>
      <c r="J204" s="962"/>
      <c r="K204" s="53">
        <f t="shared" si="43"/>
        <v>0.03</v>
      </c>
      <c r="L204" s="962"/>
      <c r="M204" s="53">
        <f t="shared" si="44"/>
        <v>0.03</v>
      </c>
      <c r="N204" s="962"/>
      <c r="O204" s="53">
        <f t="shared" si="45"/>
        <v>7.0000000000000007E-2</v>
      </c>
      <c r="P204" s="962"/>
      <c r="Q204" s="53">
        <f t="shared" si="46"/>
        <v>1</v>
      </c>
      <c r="R204" s="493">
        <f t="shared" si="47"/>
        <v>0</v>
      </c>
      <c r="S204" s="800">
        <f t="shared" si="48"/>
        <v>0</v>
      </c>
    </row>
    <row r="205" spans="1:19">
      <c r="A205" s="964"/>
      <c r="B205" s="137"/>
      <c r="C205" s="53">
        <f t="shared" si="39"/>
        <v>1</v>
      </c>
      <c r="D205" s="962"/>
      <c r="E205" s="53">
        <f t="shared" si="40"/>
        <v>0.04</v>
      </c>
      <c r="F205" s="962"/>
      <c r="G205" s="53">
        <f t="shared" si="41"/>
        <v>0</v>
      </c>
      <c r="H205" s="962"/>
      <c r="I205" s="53">
        <f t="shared" si="42"/>
        <v>0</v>
      </c>
      <c r="J205" s="962"/>
      <c r="K205" s="53">
        <f t="shared" si="43"/>
        <v>0.03</v>
      </c>
      <c r="L205" s="962"/>
      <c r="M205" s="53">
        <f t="shared" si="44"/>
        <v>0.03</v>
      </c>
      <c r="N205" s="962"/>
      <c r="O205" s="53">
        <f t="shared" si="45"/>
        <v>7.0000000000000007E-2</v>
      </c>
      <c r="P205" s="962"/>
      <c r="Q205" s="53">
        <f t="shared" si="46"/>
        <v>1</v>
      </c>
      <c r="R205" s="493">
        <f t="shared" si="47"/>
        <v>0</v>
      </c>
      <c r="S205" s="800">
        <f t="shared" si="48"/>
        <v>0</v>
      </c>
    </row>
    <row r="206" spans="1:19">
      <c r="A206" s="964"/>
      <c r="B206" s="137"/>
      <c r="C206" s="53">
        <f t="shared" si="39"/>
        <v>1</v>
      </c>
      <c r="D206" s="962"/>
      <c r="E206" s="53">
        <f t="shared" si="40"/>
        <v>0.04</v>
      </c>
      <c r="F206" s="962"/>
      <c r="G206" s="53">
        <f t="shared" si="41"/>
        <v>0</v>
      </c>
      <c r="H206" s="962"/>
      <c r="I206" s="53">
        <f t="shared" si="42"/>
        <v>0</v>
      </c>
      <c r="J206" s="962"/>
      <c r="K206" s="53">
        <f t="shared" si="43"/>
        <v>0.03</v>
      </c>
      <c r="L206" s="962"/>
      <c r="M206" s="53">
        <f t="shared" si="44"/>
        <v>0.03</v>
      </c>
      <c r="N206" s="962"/>
      <c r="O206" s="53">
        <f t="shared" si="45"/>
        <v>7.0000000000000007E-2</v>
      </c>
      <c r="P206" s="962"/>
      <c r="Q206" s="53">
        <f t="shared" si="46"/>
        <v>1</v>
      </c>
      <c r="R206" s="493">
        <f t="shared" si="47"/>
        <v>0</v>
      </c>
      <c r="S206" s="800">
        <f t="shared" si="48"/>
        <v>0</v>
      </c>
    </row>
    <row r="207" spans="1:19">
      <c r="A207" s="964"/>
      <c r="B207" s="137"/>
      <c r="C207" s="53">
        <f t="shared" si="39"/>
        <v>1</v>
      </c>
      <c r="D207" s="962"/>
      <c r="E207" s="53">
        <f t="shared" si="40"/>
        <v>0.04</v>
      </c>
      <c r="F207" s="962"/>
      <c r="G207" s="53">
        <f t="shared" si="41"/>
        <v>0</v>
      </c>
      <c r="H207" s="962"/>
      <c r="I207" s="53">
        <f t="shared" si="42"/>
        <v>0</v>
      </c>
      <c r="J207" s="962"/>
      <c r="K207" s="53">
        <f t="shared" si="43"/>
        <v>0.03</v>
      </c>
      <c r="L207" s="962"/>
      <c r="M207" s="53">
        <f t="shared" si="44"/>
        <v>0.03</v>
      </c>
      <c r="N207" s="962"/>
      <c r="O207" s="53">
        <f t="shared" si="45"/>
        <v>7.0000000000000007E-2</v>
      </c>
      <c r="P207" s="962"/>
      <c r="Q207" s="53">
        <f t="shared" si="46"/>
        <v>1</v>
      </c>
      <c r="R207" s="493">
        <f t="shared" si="47"/>
        <v>0</v>
      </c>
      <c r="S207" s="800">
        <f t="shared" si="48"/>
        <v>0</v>
      </c>
    </row>
    <row r="208" spans="1:19">
      <c r="A208" s="964"/>
      <c r="B208" s="137"/>
      <c r="C208" s="53">
        <f t="shared" si="39"/>
        <v>1</v>
      </c>
      <c r="D208" s="962"/>
      <c r="E208" s="53">
        <f t="shared" si="40"/>
        <v>0.04</v>
      </c>
      <c r="F208" s="962"/>
      <c r="G208" s="53">
        <f t="shared" si="41"/>
        <v>0</v>
      </c>
      <c r="H208" s="962"/>
      <c r="I208" s="53">
        <f t="shared" si="42"/>
        <v>0</v>
      </c>
      <c r="J208" s="962"/>
      <c r="K208" s="53">
        <f t="shared" si="43"/>
        <v>0.03</v>
      </c>
      <c r="L208" s="962"/>
      <c r="M208" s="53">
        <f t="shared" si="44"/>
        <v>0.03</v>
      </c>
      <c r="N208" s="962"/>
      <c r="O208" s="53">
        <f t="shared" si="45"/>
        <v>7.0000000000000007E-2</v>
      </c>
      <c r="P208" s="962"/>
      <c r="Q208" s="53">
        <f t="shared" si="46"/>
        <v>1</v>
      </c>
      <c r="R208" s="493">
        <f t="shared" si="47"/>
        <v>0</v>
      </c>
      <c r="S208" s="800">
        <f t="shared" si="48"/>
        <v>0</v>
      </c>
    </row>
    <row r="209" spans="1:19">
      <c r="A209" s="964"/>
      <c r="B209" s="137"/>
      <c r="C209" s="53">
        <f t="shared" si="39"/>
        <v>1</v>
      </c>
      <c r="D209" s="962"/>
      <c r="E209" s="53">
        <f t="shared" si="40"/>
        <v>0.04</v>
      </c>
      <c r="F209" s="962"/>
      <c r="G209" s="53">
        <f t="shared" si="41"/>
        <v>0</v>
      </c>
      <c r="H209" s="962"/>
      <c r="I209" s="53">
        <f t="shared" si="42"/>
        <v>0</v>
      </c>
      <c r="J209" s="962"/>
      <c r="K209" s="53">
        <f t="shared" si="43"/>
        <v>0.03</v>
      </c>
      <c r="L209" s="962"/>
      <c r="M209" s="53">
        <f t="shared" si="44"/>
        <v>0.03</v>
      </c>
      <c r="N209" s="962"/>
      <c r="O209" s="53">
        <f t="shared" si="45"/>
        <v>7.0000000000000007E-2</v>
      </c>
      <c r="P209" s="962"/>
      <c r="Q209" s="53">
        <f t="shared" si="46"/>
        <v>1</v>
      </c>
      <c r="R209" s="493">
        <f t="shared" si="47"/>
        <v>0</v>
      </c>
      <c r="S209" s="800">
        <f t="shared" si="48"/>
        <v>0</v>
      </c>
    </row>
    <row r="210" spans="1:19">
      <c r="A210" s="964"/>
      <c r="B210" s="137"/>
      <c r="C210" s="53">
        <f t="shared" si="39"/>
        <v>1</v>
      </c>
      <c r="D210" s="962"/>
      <c r="E210" s="53">
        <f t="shared" si="40"/>
        <v>0.04</v>
      </c>
      <c r="F210" s="962"/>
      <c r="G210" s="53">
        <f t="shared" si="41"/>
        <v>0</v>
      </c>
      <c r="H210" s="962"/>
      <c r="I210" s="53">
        <f t="shared" si="42"/>
        <v>0</v>
      </c>
      <c r="J210" s="962"/>
      <c r="K210" s="53">
        <f t="shared" si="43"/>
        <v>0.03</v>
      </c>
      <c r="L210" s="962"/>
      <c r="M210" s="53">
        <f t="shared" si="44"/>
        <v>0.03</v>
      </c>
      <c r="N210" s="962"/>
      <c r="O210" s="53">
        <f t="shared" si="45"/>
        <v>7.0000000000000007E-2</v>
      </c>
      <c r="P210" s="962"/>
      <c r="Q210" s="53">
        <f t="shared" si="46"/>
        <v>1</v>
      </c>
      <c r="R210" s="493">
        <f t="shared" si="47"/>
        <v>0</v>
      </c>
      <c r="S210" s="800">
        <f t="shared" si="48"/>
        <v>0</v>
      </c>
    </row>
    <row r="211" spans="1:19">
      <c r="A211" s="964"/>
      <c r="B211" s="137"/>
      <c r="C211" s="53">
        <f t="shared" si="39"/>
        <v>1</v>
      </c>
      <c r="D211" s="962"/>
      <c r="E211" s="53">
        <f t="shared" si="40"/>
        <v>0.04</v>
      </c>
      <c r="F211" s="962"/>
      <c r="G211" s="53">
        <f t="shared" si="41"/>
        <v>0</v>
      </c>
      <c r="H211" s="962"/>
      <c r="I211" s="53">
        <f t="shared" si="42"/>
        <v>0</v>
      </c>
      <c r="J211" s="962"/>
      <c r="K211" s="53">
        <f t="shared" si="43"/>
        <v>0.03</v>
      </c>
      <c r="L211" s="962"/>
      <c r="M211" s="53">
        <f t="shared" si="44"/>
        <v>0.03</v>
      </c>
      <c r="N211" s="962"/>
      <c r="O211" s="53">
        <f t="shared" si="45"/>
        <v>7.0000000000000007E-2</v>
      </c>
      <c r="P211" s="962"/>
      <c r="Q211" s="53">
        <f t="shared" si="46"/>
        <v>1</v>
      </c>
      <c r="R211" s="493">
        <f t="shared" si="47"/>
        <v>0</v>
      </c>
      <c r="S211" s="800">
        <f t="shared" si="48"/>
        <v>0</v>
      </c>
    </row>
    <row r="212" spans="1:19">
      <c r="A212" s="964"/>
      <c r="B212" s="137"/>
      <c r="C212" s="53">
        <f t="shared" si="39"/>
        <v>1</v>
      </c>
      <c r="D212" s="962"/>
      <c r="E212" s="53">
        <f t="shared" si="40"/>
        <v>0.04</v>
      </c>
      <c r="F212" s="962"/>
      <c r="G212" s="53">
        <f t="shared" si="41"/>
        <v>0</v>
      </c>
      <c r="H212" s="962"/>
      <c r="I212" s="53">
        <f t="shared" si="42"/>
        <v>0</v>
      </c>
      <c r="J212" s="962"/>
      <c r="K212" s="53">
        <f t="shared" si="43"/>
        <v>0.03</v>
      </c>
      <c r="L212" s="962"/>
      <c r="M212" s="53">
        <f t="shared" si="44"/>
        <v>0.03</v>
      </c>
      <c r="N212" s="962"/>
      <c r="O212" s="53">
        <f t="shared" si="45"/>
        <v>7.0000000000000007E-2</v>
      </c>
      <c r="P212" s="962"/>
      <c r="Q212" s="53">
        <f t="shared" si="46"/>
        <v>1</v>
      </c>
      <c r="R212" s="493">
        <f t="shared" si="47"/>
        <v>0</v>
      </c>
      <c r="S212" s="800">
        <f t="shared" si="48"/>
        <v>0</v>
      </c>
    </row>
    <row r="213" spans="1:19">
      <c r="A213" s="964"/>
      <c r="B213" s="137"/>
      <c r="C213" s="53">
        <f t="shared" si="39"/>
        <v>1</v>
      </c>
      <c r="D213" s="962"/>
      <c r="E213" s="53">
        <f t="shared" si="40"/>
        <v>0.04</v>
      </c>
      <c r="F213" s="962"/>
      <c r="G213" s="53">
        <f t="shared" si="41"/>
        <v>0</v>
      </c>
      <c r="H213" s="962"/>
      <c r="I213" s="53">
        <f t="shared" si="42"/>
        <v>0</v>
      </c>
      <c r="J213" s="962"/>
      <c r="K213" s="53">
        <f t="shared" si="43"/>
        <v>0.03</v>
      </c>
      <c r="L213" s="962"/>
      <c r="M213" s="53">
        <f t="shared" si="44"/>
        <v>0.03</v>
      </c>
      <c r="N213" s="962"/>
      <c r="O213" s="53">
        <f t="shared" si="45"/>
        <v>7.0000000000000007E-2</v>
      </c>
      <c r="P213" s="962"/>
      <c r="Q213" s="53">
        <f t="shared" si="46"/>
        <v>1</v>
      </c>
      <c r="R213" s="493">
        <f t="shared" si="47"/>
        <v>0</v>
      </c>
      <c r="S213" s="800">
        <f t="shared" si="48"/>
        <v>0</v>
      </c>
    </row>
    <row r="214" spans="1:19">
      <c r="A214" s="964"/>
      <c r="B214" s="137"/>
      <c r="C214" s="53">
        <f t="shared" si="39"/>
        <v>1</v>
      </c>
      <c r="D214" s="962"/>
      <c r="E214" s="53">
        <f t="shared" si="40"/>
        <v>0.04</v>
      </c>
      <c r="F214" s="962"/>
      <c r="G214" s="53">
        <f t="shared" si="41"/>
        <v>0</v>
      </c>
      <c r="H214" s="962"/>
      <c r="I214" s="53">
        <f t="shared" si="42"/>
        <v>0</v>
      </c>
      <c r="J214" s="962"/>
      <c r="K214" s="53">
        <f t="shared" si="43"/>
        <v>0.03</v>
      </c>
      <c r="L214" s="962"/>
      <c r="M214" s="53">
        <f t="shared" si="44"/>
        <v>0.03</v>
      </c>
      <c r="N214" s="962"/>
      <c r="O214" s="53">
        <f t="shared" si="45"/>
        <v>7.0000000000000007E-2</v>
      </c>
      <c r="P214" s="962"/>
      <c r="Q214" s="53">
        <f t="shared" si="46"/>
        <v>1</v>
      </c>
      <c r="R214" s="493">
        <f t="shared" si="47"/>
        <v>0</v>
      </c>
      <c r="S214" s="800">
        <f t="shared" si="48"/>
        <v>0</v>
      </c>
    </row>
    <row r="215" spans="1:19">
      <c r="A215" s="964"/>
      <c r="B215" s="137"/>
      <c r="C215" s="53">
        <f t="shared" si="39"/>
        <v>1</v>
      </c>
      <c r="D215" s="962"/>
      <c r="E215" s="53">
        <f t="shared" si="40"/>
        <v>0.04</v>
      </c>
      <c r="F215" s="962"/>
      <c r="G215" s="53">
        <f t="shared" si="41"/>
        <v>0</v>
      </c>
      <c r="H215" s="962"/>
      <c r="I215" s="53">
        <f t="shared" si="42"/>
        <v>0</v>
      </c>
      <c r="J215" s="962"/>
      <c r="K215" s="53">
        <f t="shared" si="43"/>
        <v>0.03</v>
      </c>
      <c r="L215" s="962"/>
      <c r="M215" s="53">
        <f t="shared" si="44"/>
        <v>0.03</v>
      </c>
      <c r="N215" s="962"/>
      <c r="O215" s="53">
        <f t="shared" si="45"/>
        <v>7.0000000000000007E-2</v>
      </c>
      <c r="P215" s="962"/>
      <c r="Q215" s="53">
        <f t="shared" si="46"/>
        <v>1</v>
      </c>
      <c r="R215" s="493">
        <f t="shared" si="47"/>
        <v>0</v>
      </c>
      <c r="S215" s="800">
        <f t="shared" si="48"/>
        <v>0</v>
      </c>
    </row>
    <row r="216" spans="1:19">
      <c r="A216" s="964"/>
      <c r="B216" s="137"/>
      <c r="C216" s="53">
        <f t="shared" si="39"/>
        <v>1</v>
      </c>
      <c r="D216" s="962"/>
      <c r="E216" s="53">
        <f t="shared" si="40"/>
        <v>0.04</v>
      </c>
      <c r="F216" s="962"/>
      <c r="G216" s="53">
        <f t="shared" si="41"/>
        <v>0</v>
      </c>
      <c r="H216" s="962"/>
      <c r="I216" s="53">
        <f t="shared" si="42"/>
        <v>0</v>
      </c>
      <c r="J216" s="962"/>
      <c r="K216" s="53">
        <f t="shared" si="43"/>
        <v>0.03</v>
      </c>
      <c r="L216" s="962"/>
      <c r="M216" s="53">
        <f t="shared" si="44"/>
        <v>0.03</v>
      </c>
      <c r="N216" s="962"/>
      <c r="O216" s="53">
        <f t="shared" si="45"/>
        <v>7.0000000000000007E-2</v>
      </c>
      <c r="P216" s="962"/>
      <c r="Q216" s="53">
        <f t="shared" si="46"/>
        <v>1</v>
      </c>
      <c r="R216" s="493">
        <f t="shared" si="47"/>
        <v>0</v>
      </c>
      <c r="S216" s="800">
        <f t="shared" si="48"/>
        <v>0</v>
      </c>
    </row>
    <row r="217" spans="1:19">
      <c r="A217" s="964"/>
      <c r="B217" s="137"/>
      <c r="C217" s="53">
        <f t="shared" si="39"/>
        <v>1</v>
      </c>
      <c r="D217" s="962"/>
      <c r="E217" s="53">
        <f t="shared" si="40"/>
        <v>0.04</v>
      </c>
      <c r="F217" s="962"/>
      <c r="G217" s="53">
        <f t="shared" si="41"/>
        <v>0</v>
      </c>
      <c r="H217" s="962"/>
      <c r="I217" s="53">
        <f t="shared" si="42"/>
        <v>0</v>
      </c>
      <c r="J217" s="962"/>
      <c r="K217" s="53">
        <f t="shared" si="43"/>
        <v>0.03</v>
      </c>
      <c r="L217" s="962"/>
      <c r="M217" s="53">
        <f t="shared" si="44"/>
        <v>0.03</v>
      </c>
      <c r="N217" s="962"/>
      <c r="O217" s="53">
        <f t="shared" si="45"/>
        <v>7.0000000000000007E-2</v>
      </c>
      <c r="P217" s="962"/>
      <c r="Q217" s="53">
        <f t="shared" si="46"/>
        <v>1</v>
      </c>
      <c r="R217" s="493">
        <f t="shared" si="47"/>
        <v>0</v>
      </c>
      <c r="S217" s="800">
        <f t="shared" si="48"/>
        <v>0</v>
      </c>
    </row>
    <row r="218" spans="1:19">
      <c r="A218" s="964"/>
      <c r="B218" s="137"/>
      <c r="C218" s="53">
        <f t="shared" ref="C218:C281" si="49">IF(B218="",1,(LOOKUP(B218,$3:$3,$4:$4)-LOOKUP($B$24,$3:$3,$4:$4)+100)/100)</f>
        <v>1</v>
      </c>
      <c r="D218" s="962"/>
      <c r="E218" s="53">
        <f t="shared" ref="E218:E281" si="50">(SUMIF($5:$5,D218,$6:$6)-SUMIF($5:$5,$D$24,$6:$6)+100)/100</f>
        <v>0.04</v>
      </c>
      <c r="F218" s="962"/>
      <c r="G218" s="53">
        <f t="shared" ref="G218:G281" si="51">(SUMIF($7:$7,F218,$8:$8)-SUMIF($7:$7,$F$24,$8:$8)+100)/100</f>
        <v>0</v>
      </c>
      <c r="H218" s="962"/>
      <c r="I218" s="53">
        <f t="shared" ref="I218:I281" si="52">(SUMIF($9:$9,H218,$10:$10)-SUMIF($9:$9,$H$24,$10:$10)+100)/100</f>
        <v>0</v>
      </c>
      <c r="J218" s="962"/>
      <c r="K218" s="53">
        <f t="shared" ref="K218:K281" si="53">(SUMIF($11:$11,J218,$12:$12)-SUMIF($11:$11,$J$24,$12:$12)+100)/100</f>
        <v>0.03</v>
      </c>
      <c r="L218" s="962"/>
      <c r="M218" s="53">
        <f t="shared" ref="M218:M281" si="54">(SUMIF($13:$13,L218,$14:$14)-SUMIF($13:$13,$L$24,$14:$14)+100)/100</f>
        <v>0.03</v>
      </c>
      <c r="N218" s="962"/>
      <c r="O218" s="53">
        <f t="shared" ref="O218:O281" si="55">(SUMIF($15:$15,N218,$16:$16)-SUMIF($15:$15,$N$24,$16:$16)+100)/100</f>
        <v>7.0000000000000007E-2</v>
      </c>
      <c r="P218" s="962"/>
      <c r="Q218" s="53">
        <f t="shared" ref="Q218:Q281" si="56">(SUMIF($17:$17,P218,$18:$18)-SUMIF($17:$17,$P$24,$18:$18)+100)/100</f>
        <v>1</v>
      </c>
      <c r="R218" s="493">
        <f t="shared" ref="R218:R281" si="57">IF(B218="",0,ROUND($R$24*C218*E218*G218*I218*K218*M218*O218*Q218,0))</f>
        <v>0</v>
      </c>
      <c r="S218" s="800">
        <f t="shared" si="48"/>
        <v>0</v>
      </c>
    </row>
    <row r="219" spans="1:19">
      <c r="A219" s="964"/>
      <c r="B219" s="137"/>
      <c r="C219" s="53">
        <f t="shared" si="49"/>
        <v>1</v>
      </c>
      <c r="D219" s="962"/>
      <c r="E219" s="53">
        <f t="shared" si="50"/>
        <v>0.04</v>
      </c>
      <c r="F219" s="962"/>
      <c r="G219" s="53">
        <f t="shared" si="51"/>
        <v>0</v>
      </c>
      <c r="H219" s="962"/>
      <c r="I219" s="53">
        <f t="shared" si="52"/>
        <v>0</v>
      </c>
      <c r="J219" s="962"/>
      <c r="K219" s="53">
        <f t="shared" si="53"/>
        <v>0.03</v>
      </c>
      <c r="L219" s="962"/>
      <c r="M219" s="53">
        <f t="shared" si="54"/>
        <v>0.03</v>
      </c>
      <c r="N219" s="962"/>
      <c r="O219" s="53">
        <f t="shared" si="55"/>
        <v>7.0000000000000007E-2</v>
      </c>
      <c r="P219" s="962"/>
      <c r="Q219" s="53">
        <f t="shared" si="56"/>
        <v>1</v>
      </c>
      <c r="R219" s="493">
        <f t="shared" si="57"/>
        <v>0</v>
      </c>
      <c r="S219" s="800">
        <f t="shared" si="48"/>
        <v>0</v>
      </c>
    </row>
    <row r="220" spans="1:19">
      <c r="A220" s="964"/>
      <c r="B220" s="137"/>
      <c r="C220" s="53">
        <f t="shared" si="49"/>
        <v>1</v>
      </c>
      <c r="D220" s="962"/>
      <c r="E220" s="53">
        <f t="shared" si="50"/>
        <v>0.04</v>
      </c>
      <c r="F220" s="962"/>
      <c r="G220" s="53">
        <f t="shared" si="51"/>
        <v>0</v>
      </c>
      <c r="H220" s="962"/>
      <c r="I220" s="53">
        <f t="shared" si="52"/>
        <v>0</v>
      </c>
      <c r="J220" s="962"/>
      <c r="K220" s="53">
        <f t="shared" si="53"/>
        <v>0.03</v>
      </c>
      <c r="L220" s="962"/>
      <c r="M220" s="53">
        <f t="shared" si="54"/>
        <v>0.03</v>
      </c>
      <c r="N220" s="962"/>
      <c r="O220" s="53">
        <f t="shared" si="55"/>
        <v>7.0000000000000007E-2</v>
      </c>
      <c r="P220" s="962"/>
      <c r="Q220" s="53">
        <f t="shared" si="56"/>
        <v>1</v>
      </c>
      <c r="R220" s="493">
        <f t="shared" si="57"/>
        <v>0</v>
      </c>
      <c r="S220" s="800">
        <f t="shared" si="48"/>
        <v>0</v>
      </c>
    </row>
    <row r="221" spans="1:19">
      <c r="A221" s="964"/>
      <c r="B221" s="137"/>
      <c r="C221" s="53">
        <f t="shared" si="49"/>
        <v>1</v>
      </c>
      <c r="D221" s="962"/>
      <c r="E221" s="53">
        <f t="shared" si="50"/>
        <v>0.04</v>
      </c>
      <c r="F221" s="962"/>
      <c r="G221" s="53">
        <f t="shared" si="51"/>
        <v>0</v>
      </c>
      <c r="H221" s="962"/>
      <c r="I221" s="53">
        <f t="shared" si="52"/>
        <v>0</v>
      </c>
      <c r="J221" s="962"/>
      <c r="K221" s="53">
        <f t="shared" si="53"/>
        <v>0.03</v>
      </c>
      <c r="L221" s="962"/>
      <c r="M221" s="53">
        <f t="shared" si="54"/>
        <v>0.03</v>
      </c>
      <c r="N221" s="962"/>
      <c r="O221" s="53">
        <f t="shared" si="55"/>
        <v>7.0000000000000007E-2</v>
      </c>
      <c r="P221" s="962"/>
      <c r="Q221" s="53">
        <f t="shared" si="56"/>
        <v>1</v>
      </c>
      <c r="R221" s="493">
        <f t="shared" si="57"/>
        <v>0</v>
      </c>
      <c r="S221" s="800">
        <f t="shared" si="48"/>
        <v>0</v>
      </c>
    </row>
    <row r="222" spans="1:19">
      <c r="A222" s="964"/>
      <c r="B222" s="137"/>
      <c r="C222" s="53">
        <f t="shared" si="49"/>
        <v>1</v>
      </c>
      <c r="D222" s="962"/>
      <c r="E222" s="53">
        <f t="shared" si="50"/>
        <v>0.04</v>
      </c>
      <c r="F222" s="962"/>
      <c r="G222" s="53">
        <f t="shared" si="51"/>
        <v>0</v>
      </c>
      <c r="H222" s="962"/>
      <c r="I222" s="53">
        <f t="shared" si="52"/>
        <v>0</v>
      </c>
      <c r="J222" s="962"/>
      <c r="K222" s="53">
        <f t="shared" si="53"/>
        <v>0.03</v>
      </c>
      <c r="L222" s="962"/>
      <c r="M222" s="53">
        <f t="shared" si="54"/>
        <v>0.03</v>
      </c>
      <c r="N222" s="962"/>
      <c r="O222" s="53">
        <f t="shared" si="55"/>
        <v>7.0000000000000007E-2</v>
      </c>
      <c r="P222" s="962"/>
      <c r="Q222" s="53">
        <f t="shared" si="56"/>
        <v>1</v>
      </c>
      <c r="R222" s="493">
        <f t="shared" si="57"/>
        <v>0</v>
      </c>
      <c r="S222" s="800">
        <f t="shared" si="48"/>
        <v>0</v>
      </c>
    </row>
    <row r="223" spans="1:19">
      <c r="A223" s="964"/>
      <c r="B223" s="137"/>
      <c r="C223" s="53">
        <f t="shared" si="49"/>
        <v>1</v>
      </c>
      <c r="D223" s="962"/>
      <c r="E223" s="53">
        <f t="shared" si="50"/>
        <v>0.04</v>
      </c>
      <c r="F223" s="962"/>
      <c r="G223" s="53">
        <f t="shared" si="51"/>
        <v>0</v>
      </c>
      <c r="H223" s="962"/>
      <c r="I223" s="53">
        <f t="shared" si="52"/>
        <v>0</v>
      </c>
      <c r="J223" s="962"/>
      <c r="K223" s="53">
        <f t="shared" si="53"/>
        <v>0.03</v>
      </c>
      <c r="L223" s="962"/>
      <c r="M223" s="53">
        <f t="shared" si="54"/>
        <v>0.03</v>
      </c>
      <c r="N223" s="962"/>
      <c r="O223" s="53">
        <f t="shared" si="55"/>
        <v>7.0000000000000007E-2</v>
      </c>
      <c r="P223" s="962"/>
      <c r="Q223" s="53">
        <f t="shared" si="56"/>
        <v>1</v>
      </c>
      <c r="R223" s="493">
        <f t="shared" si="57"/>
        <v>0</v>
      </c>
      <c r="S223" s="800">
        <f t="shared" ref="S223:S286" si="58">ROUND(R223*B223/10000,0)</f>
        <v>0</v>
      </c>
    </row>
    <row r="224" spans="1:19">
      <c r="A224" s="964"/>
      <c r="B224" s="137"/>
      <c r="C224" s="53">
        <f t="shared" si="49"/>
        <v>1</v>
      </c>
      <c r="D224" s="962"/>
      <c r="E224" s="53">
        <f t="shared" si="50"/>
        <v>0.04</v>
      </c>
      <c r="F224" s="962"/>
      <c r="G224" s="53">
        <f t="shared" si="51"/>
        <v>0</v>
      </c>
      <c r="H224" s="962"/>
      <c r="I224" s="53">
        <f t="shared" si="52"/>
        <v>0</v>
      </c>
      <c r="J224" s="962"/>
      <c r="K224" s="53">
        <f t="shared" si="53"/>
        <v>0.03</v>
      </c>
      <c r="L224" s="962"/>
      <c r="M224" s="53">
        <f t="shared" si="54"/>
        <v>0.03</v>
      </c>
      <c r="N224" s="962"/>
      <c r="O224" s="53">
        <f t="shared" si="55"/>
        <v>7.0000000000000007E-2</v>
      </c>
      <c r="P224" s="962"/>
      <c r="Q224" s="53">
        <f t="shared" si="56"/>
        <v>1</v>
      </c>
      <c r="R224" s="493">
        <f t="shared" si="57"/>
        <v>0</v>
      </c>
      <c r="S224" s="800">
        <f t="shared" si="58"/>
        <v>0</v>
      </c>
    </row>
    <row r="225" spans="1:19">
      <c r="A225" s="964"/>
      <c r="B225" s="137"/>
      <c r="C225" s="53">
        <f t="shared" si="49"/>
        <v>1</v>
      </c>
      <c r="D225" s="962"/>
      <c r="E225" s="53">
        <f t="shared" si="50"/>
        <v>0.04</v>
      </c>
      <c r="F225" s="962"/>
      <c r="G225" s="53">
        <f t="shared" si="51"/>
        <v>0</v>
      </c>
      <c r="H225" s="962"/>
      <c r="I225" s="53">
        <f t="shared" si="52"/>
        <v>0</v>
      </c>
      <c r="J225" s="962"/>
      <c r="K225" s="53">
        <f t="shared" si="53"/>
        <v>0.03</v>
      </c>
      <c r="L225" s="962"/>
      <c r="M225" s="53">
        <f t="shared" si="54"/>
        <v>0.03</v>
      </c>
      <c r="N225" s="962"/>
      <c r="O225" s="53">
        <f t="shared" si="55"/>
        <v>7.0000000000000007E-2</v>
      </c>
      <c r="P225" s="962"/>
      <c r="Q225" s="53">
        <f t="shared" si="56"/>
        <v>1</v>
      </c>
      <c r="R225" s="493">
        <f t="shared" si="57"/>
        <v>0</v>
      </c>
      <c r="S225" s="800">
        <f t="shared" si="58"/>
        <v>0</v>
      </c>
    </row>
    <row r="226" spans="1:19">
      <c r="A226" s="964"/>
      <c r="B226" s="137"/>
      <c r="C226" s="53">
        <f t="shared" si="49"/>
        <v>1</v>
      </c>
      <c r="D226" s="962"/>
      <c r="E226" s="53">
        <f t="shared" si="50"/>
        <v>0.04</v>
      </c>
      <c r="F226" s="962"/>
      <c r="G226" s="53">
        <f t="shared" si="51"/>
        <v>0</v>
      </c>
      <c r="H226" s="962"/>
      <c r="I226" s="53">
        <f t="shared" si="52"/>
        <v>0</v>
      </c>
      <c r="J226" s="962"/>
      <c r="K226" s="53">
        <f t="shared" si="53"/>
        <v>0.03</v>
      </c>
      <c r="L226" s="962"/>
      <c r="M226" s="53">
        <f t="shared" si="54"/>
        <v>0.03</v>
      </c>
      <c r="N226" s="962"/>
      <c r="O226" s="53">
        <f t="shared" si="55"/>
        <v>7.0000000000000007E-2</v>
      </c>
      <c r="P226" s="962"/>
      <c r="Q226" s="53">
        <f t="shared" si="56"/>
        <v>1</v>
      </c>
      <c r="R226" s="493">
        <f t="shared" si="57"/>
        <v>0</v>
      </c>
      <c r="S226" s="800">
        <f t="shared" si="58"/>
        <v>0</v>
      </c>
    </row>
    <row r="227" spans="1:19">
      <c r="A227" s="964"/>
      <c r="B227" s="137"/>
      <c r="C227" s="53">
        <f t="shared" si="49"/>
        <v>1</v>
      </c>
      <c r="D227" s="962"/>
      <c r="E227" s="53">
        <f t="shared" si="50"/>
        <v>0.04</v>
      </c>
      <c r="F227" s="962"/>
      <c r="G227" s="53">
        <f t="shared" si="51"/>
        <v>0</v>
      </c>
      <c r="H227" s="962"/>
      <c r="I227" s="53">
        <f t="shared" si="52"/>
        <v>0</v>
      </c>
      <c r="J227" s="962"/>
      <c r="K227" s="53">
        <f t="shared" si="53"/>
        <v>0.03</v>
      </c>
      <c r="L227" s="962"/>
      <c r="M227" s="53">
        <f t="shared" si="54"/>
        <v>0.03</v>
      </c>
      <c r="N227" s="962"/>
      <c r="O227" s="53">
        <f t="shared" si="55"/>
        <v>7.0000000000000007E-2</v>
      </c>
      <c r="P227" s="962"/>
      <c r="Q227" s="53">
        <f t="shared" si="56"/>
        <v>1</v>
      </c>
      <c r="R227" s="493">
        <f t="shared" si="57"/>
        <v>0</v>
      </c>
      <c r="S227" s="800">
        <f t="shared" si="58"/>
        <v>0</v>
      </c>
    </row>
    <row r="228" spans="1:19">
      <c r="A228" s="964"/>
      <c r="B228" s="137"/>
      <c r="C228" s="53">
        <f t="shared" si="49"/>
        <v>1</v>
      </c>
      <c r="D228" s="962"/>
      <c r="E228" s="53">
        <f t="shared" si="50"/>
        <v>0.04</v>
      </c>
      <c r="F228" s="962"/>
      <c r="G228" s="53">
        <f t="shared" si="51"/>
        <v>0</v>
      </c>
      <c r="H228" s="962"/>
      <c r="I228" s="53">
        <f t="shared" si="52"/>
        <v>0</v>
      </c>
      <c r="J228" s="962"/>
      <c r="K228" s="53">
        <f t="shared" si="53"/>
        <v>0.03</v>
      </c>
      <c r="L228" s="962"/>
      <c r="M228" s="53">
        <f t="shared" si="54"/>
        <v>0.03</v>
      </c>
      <c r="N228" s="962"/>
      <c r="O228" s="53">
        <f t="shared" si="55"/>
        <v>7.0000000000000007E-2</v>
      </c>
      <c r="P228" s="962"/>
      <c r="Q228" s="53">
        <f t="shared" si="56"/>
        <v>1</v>
      </c>
      <c r="R228" s="493">
        <f t="shared" si="57"/>
        <v>0</v>
      </c>
      <c r="S228" s="800">
        <f t="shared" si="58"/>
        <v>0</v>
      </c>
    </row>
    <row r="229" spans="1:19">
      <c r="A229" s="964"/>
      <c r="B229" s="137"/>
      <c r="C229" s="53">
        <f t="shared" si="49"/>
        <v>1</v>
      </c>
      <c r="D229" s="962"/>
      <c r="E229" s="53">
        <f t="shared" si="50"/>
        <v>0.04</v>
      </c>
      <c r="F229" s="962"/>
      <c r="G229" s="53">
        <f t="shared" si="51"/>
        <v>0</v>
      </c>
      <c r="H229" s="962"/>
      <c r="I229" s="53">
        <f t="shared" si="52"/>
        <v>0</v>
      </c>
      <c r="J229" s="962"/>
      <c r="K229" s="53">
        <f t="shared" si="53"/>
        <v>0.03</v>
      </c>
      <c r="L229" s="962"/>
      <c r="M229" s="53">
        <f t="shared" si="54"/>
        <v>0.03</v>
      </c>
      <c r="N229" s="962"/>
      <c r="O229" s="53">
        <f t="shared" si="55"/>
        <v>7.0000000000000007E-2</v>
      </c>
      <c r="P229" s="962"/>
      <c r="Q229" s="53">
        <f t="shared" si="56"/>
        <v>1</v>
      </c>
      <c r="R229" s="493">
        <f t="shared" si="57"/>
        <v>0</v>
      </c>
      <c r="S229" s="800">
        <f t="shared" si="58"/>
        <v>0</v>
      </c>
    </row>
    <row r="230" spans="1:19">
      <c r="A230" s="964"/>
      <c r="B230" s="137"/>
      <c r="C230" s="53">
        <f t="shared" si="49"/>
        <v>1</v>
      </c>
      <c r="D230" s="962"/>
      <c r="E230" s="53">
        <f t="shared" si="50"/>
        <v>0.04</v>
      </c>
      <c r="F230" s="962"/>
      <c r="G230" s="53">
        <f t="shared" si="51"/>
        <v>0</v>
      </c>
      <c r="H230" s="962"/>
      <c r="I230" s="53">
        <f t="shared" si="52"/>
        <v>0</v>
      </c>
      <c r="J230" s="962"/>
      <c r="K230" s="53">
        <f t="shared" si="53"/>
        <v>0.03</v>
      </c>
      <c r="L230" s="962"/>
      <c r="M230" s="53">
        <f t="shared" si="54"/>
        <v>0.03</v>
      </c>
      <c r="N230" s="962"/>
      <c r="O230" s="53">
        <f t="shared" si="55"/>
        <v>7.0000000000000007E-2</v>
      </c>
      <c r="P230" s="962"/>
      <c r="Q230" s="53">
        <f t="shared" si="56"/>
        <v>1</v>
      </c>
      <c r="R230" s="493">
        <f t="shared" si="57"/>
        <v>0</v>
      </c>
      <c r="S230" s="800">
        <f t="shared" si="58"/>
        <v>0</v>
      </c>
    </row>
    <row r="231" spans="1:19">
      <c r="A231" s="964"/>
      <c r="B231" s="137"/>
      <c r="C231" s="53">
        <f t="shared" si="49"/>
        <v>1</v>
      </c>
      <c r="D231" s="962"/>
      <c r="E231" s="53">
        <f t="shared" si="50"/>
        <v>0.04</v>
      </c>
      <c r="F231" s="962"/>
      <c r="G231" s="53">
        <f t="shared" si="51"/>
        <v>0</v>
      </c>
      <c r="H231" s="962"/>
      <c r="I231" s="53">
        <f t="shared" si="52"/>
        <v>0</v>
      </c>
      <c r="J231" s="962"/>
      <c r="K231" s="53">
        <f t="shared" si="53"/>
        <v>0.03</v>
      </c>
      <c r="L231" s="962"/>
      <c r="M231" s="53">
        <f t="shared" si="54"/>
        <v>0.03</v>
      </c>
      <c r="N231" s="962"/>
      <c r="O231" s="53">
        <f t="shared" si="55"/>
        <v>7.0000000000000007E-2</v>
      </c>
      <c r="P231" s="962"/>
      <c r="Q231" s="53">
        <f t="shared" si="56"/>
        <v>1</v>
      </c>
      <c r="R231" s="493">
        <f t="shared" si="57"/>
        <v>0</v>
      </c>
      <c r="S231" s="800">
        <f t="shared" si="58"/>
        <v>0</v>
      </c>
    </row>
    <row r="232" spans="1:19">
      <c r="A232" s="964"/>
      <c r="B232" s="137"/>
      <c r="C232" s="53">
        <f t="shared" si="49"/>
        <v>1</v>
      </c>
      <c r="D232" s="962"/>
      <c r="E232" s="53">
        <f t="shared" si="50"/>
        <v>0.04</v>
      </c>
      <c r="F232" s="962"/>
      <c r="G232" s="53">
        <f t="shared" si="51"/>
        <v>0</v>
      </c>
      <c r="H232" s="962"/>
      <c r="I232" s="53">
        <f t="shared" si="52"/>
        <v>0</v>
      </c>
      <c r="J232" s="962"/>
      <c r="K232" s="53">
        <f t="shared" si="53"/>
        <v>0.03</v>
      </c>
      <c r="L232" s="962"/>
      <c r="M232" s="53">
        <f t="shared" si="54"/>
        <v>0.03</v>
      </c>
      <c r="N232" s="962"/>
      <c r="O232" s="53">
        <f t="shared" si="55"/>
        <v>7.0000000000000007E-2</v>
      </c>
      <c r="P232" s="962"/>
      <c r="Q232" s="53">
        <f t="shared" si="56"/>
        <v>1</v>
      </c>
      <c r="R232" s="493">
        <f t="shared" si="57"/>
        <v>0</v>
      </c>
      <c r="S232" s="800">
        <f t="shared" si="58"/>
        <v>0</v>
      </c>
    </row>
    <row r="233" spans="1:19">
      <c r="A233" s="964"/>
      <c r="B233" s="137"/>
      <c r="C233" s="53">
        <f t="shared" si="49"/>
        <v>1</v>
      </c>
      <c r="D233" s="962"/>
      <c r="E233" s="53">
        <f t="shared" si="50"/>
        <v>0.04</v>
      </c>
      <c r="F233" s="962"/>
      <c r="G233" s="53">
        <f t="shared" si="51"/>
        <v>0</v>
      </c>
      <c r="H233" s="962"/>
      <c r="I233" s="53">
        <f t="shared" si="52"/>
        <v>0</v>
      </c>
      <c r="J233" s="962"/>
      <c r="K233" s="53">
        <f t="shared" si="53"/>
        <v>0.03</v>
      </c>
      <c r="L233" s="962"/>
      <c r="M233" s="53">
        <f t="shared" si="54"/>
        <v>0.03</v>
      </c>
      <c r="N233" s="962"/>
      <c r="O233" s="53">
        <f t="shared" si="55"/>
        <v>7.0000000000000007E-2</v>
      </c>
      <c r="P233" s="962"/>
      <c r="Q233" s="53">
        <f t="shared" si="56"/>
        <v>1</v>
      </c>
      <c r="R233" s="493">
        <f t="shared" si="57"/>
        <v>0</v>
      </c>
      <c r="S233" s="800">
        <f t="shared" si="58"/>
        <v>0</v>
      </c>
    </row>
    <row r="234" spans="1:19">
      <c r="A234" s="964"/>
      <c r="B234" s="137"/>
      <c r="C234" s="53">
        <f t="shared" si="49"/>
        <v>1</v>
      </c>
      <c r="D234" s="962"/>
      <c r="E234" s="53">
        <f t="shared" si="50"/>
        <v>0.04</v>
      </c>
      <c r="F234" s="962"/>
      <c r="G234" s="53">
        <f t="shared" si="51"/>
        <v>0</v>
      </c>
      <c r="H234" s="962"/>
      <c r="I234" s="53">
        <f t="shared" si="52"/>
        <v>0</v>
      </c>
      <c r="J234" s="962"/>
      <c r="K234" s="53">
        <f t="shared" si="53"/>
        <v>0.03</v>
      </c>
      <c r="L234" s="962"/>
      <c r="M234" s="53">
        <f t="shared" si="54"/>
        <v>0.03</v>
      </c>
      <c r="N234" s="962"/>
      <c r="O234" s="53">
        <f t="shared" si="55"/>
        <v>7.0000000000000007E-2</v>
      </c>
      <c r="P234" s="962"/>
      <c r="Q234" s="53">
        <f t="shared" si="56"/>
        <v>1</v>
      </c>
      <c r="R234" s="493">
        <f t="shared" si="57"/>
        <v>0</v>
      </c>
      <c r="S234" s="800">
        <f t="shared" si="58"/>
        <v>0</v>
      </c>
    </row>
    <row r="235" spans="1:19">
      <c r="A235" s="964"/>
      <c r="B235" s="137"/>
      <c r="C235" s="53">
        <f t="shared" si="49"/>
        <v>1</v>
      </c>
      <c r="D235" s="962"/>
      <c r="E235" s="53">
        <f t="shared" si="50"/>
        <v>0.04</v>
      </c>
      <c r="F235" s="962"/>
      <c r="G235" s="53">
        <f t="shared" si="51"/>
        <v>0</v>
      </c>
      <c r="H235" s="962"/>
      <c r="I235" s="53">
        <f t="shared" si="52"/>
        <v>0</v>
      </c>
      <c r="J235" s="962"/>
      <c r="K235" s="53">
        <f t="shared" si="53"/>
        <v>0.03</v>
      </c>
      <c r="L235" s="962"/>
      <c r="M235" s="53">
        <f t="shared" si="54"/>
        <v>0.03</v>
      </c>
      <c r="N235" s="962"/>
      <c r="O235" s="53">
        <f t="shared" si="55"/>
        <v>7.0000000000000007E-2</v>
      </c>
      <c r="P235" s="962"/>
      <c r="Q235" s="53">
        <f t="shared" si="56"/>
        <v>1</v>
      </c>
      <c r="R235" s="493">
        <f t="shared" si="57"/>
        <v>0</v>
      </c>
      <c r="S235" s="800">
        <f t="shared" si="58"/>
        <v>0</v>
      </c>
    </row>
    <row r="236" spans="1:19">
      <c r="A236" s="964"/>
      <c r="B236" s="137"/>
      <c r="C236" s="53">
        <f t="shared" si="49"/>
        <v>1</v>
      </c>
      <c r="D236" s="962"/>
      <c r="E236" s="53">
        <f t="shared" si="50"/>
        <v>0.04</v>
      </c>
      <c r="F236" s="962"/>
      <c r="G236" s="53">
        <f t="shared" si="51"/>
        <v>0</v>
      </c>
      <c r="H236" s="962"/>
      <c r="I236" s="53">
        <f t="shared" si="52"/>
        <v>0</v>
      </c>
      <c r="J236" s="962"/>
      <c r="K236" s="53">
        <f t="shared" si="53"/>
        <v>0.03</v>
      </c>
      <c r="L236" s="962"/>
      <c r="M236" s="53">
        <f t="shared" si="54"/>
        <v>0.03</v>
      </c>
      <c r="N236" s="962"/>
      <c r="O236" s="53">
        <f t="shared" si="55"/>
        <v>7.0000000000000007E-2</v>
      </c>
      <c r="P236" s="962"/>
      <c r="Q236" s="53">
        <f t="shared" si="56"/>
        <v>1</v>
      </c>
      <c r="R236" s="493">
        <f t="shared" si="57"/>
        <v>0</v>
      </c>
      <c r="S236" s="800">
        <f t="shared" si="58"/>
        <v>0</v>
      </c>
    </row>
    <row r="237" spans="1:19">
      <c r="A237" s="964"/>
      <c r="B237" s="137"/>
      <c r="C237" s="53">
        <f t="shared" si="49"/>
        <v>1</v>
      </c>
      <c r="D237" s="962"/>
      <c r="E237" s="53">
        <f t="shared" si="50"/>
        <v>0.04</v>
      </c>
      <c r="F237" s="962"/>
      <c r="G237" s="53">
        <f t="shared" si="51"/>
        <v>0</v>
      </c>
      <c r="H237" s="962"/>
      <c r="I237" s="53">
        <f t="shared" si="52"/>
        <v>0</v>
      </c>
      <c r="J237" s="962"/>
      <c r="K237" s="53">
        <f t="shared" si="53"/>
        <v>0.03</v>
      </c>
      <c r="L237" s="962"/>
      <c r="M237" s="53">
        <f t="shared" si="54"/>
        <v>0.03</v>
      </c>
      <c r="N237" s="962"/>
      <c r="O237" s="53">
        <f t="shared" si="55"/>
        <v>7.0000000000000007E-2</v>
      </c>
      <c r="P237" s="962"/>
      <c r="Q237" s="53">
        <f t="shared" si="56"/>
        <v>1</v>
      </c>
      <c r="R237" s="493">
        <f t="shared" si="57"/>
        <v>0</v>
      </c>
      <c r="S237" s="800">
        <f t="shared" si="58"/>
        <v>0</v>
      </c>
    </row>
    <row r="238" spans="1:19">
      <c r="A238" s="964"/>
      <c r="B238" s="137"/>
      <c r="C238" s="53">
        <f t="shared" si="49"/>
        <v>1</v>
      </c>
      <c r="D238" s="962"/>
      <c r="E238" s="53">
        <f t="shared" si="50"/>
        <v>0.04</v>
      </c>
      <c r="F238" s="962"/>
      <c r="G238" s="53">
        <f t="shared" si="51"/>
        <v>0</v>
      </c>
      <c r="H238" s="962"/>
      <c r="I238" s="53">
        <f t="shared" si="52"/>
        <v>0</v>
      </c>
      <c r="J238" s="962"/>
      <c r="K238" s="53">
        <f t="shared" si="53"/>
        <v>0.03</v>
      </c>
      <c r="L238" s="962"/>
      <c r="M238" s="53">
        <f t="shared" si="54"/>
        <v>0.03</v>
      </c>
      <c r="N238" s="962"/>
      <c r="O238" s="53">
        <f t="shared" si="55"/>
        <v>7.0000000000000007E-2</v>
      </c>
      <c r="P238" s="962"/>
      <c r="Q238" s="53">
        <f t="shared" si="56"/>
        <v>1</v>
      </c>
      <c r="R238" s="493">
        <f t="shared" si="57"/>
        <v>0</v>
      </c>
      <c r="S238" s="800">
        <f t="shared" si="58"/>
        <v>0</v>
      </c>
    </row>
    <row r="239" spans="1:19">
      <c r="A239" s="964"/>
      <c r="B239" s="137"/>
      <c r="C239" s="53">
        <f t="shared" si="49"/>
        <v>1</v>
      </c>
      <c r="D239" s="962"/>
      <c r="E239" s="53">
        <f t="shared" si="50"/>
        <v>0.04</v>
      </c>
      <c r="F239" s="962"/>
      <c r="G239" s="53">
        <f t="shared" si="51"/>
        <v>0</v>
      </c>
      <c r="H239" s="962"/>
      <c r="I239" s="53">
        <f t="shared" si="52"/>
        <v>0</v>
      </c>
      <c r="J239" s="962"/>
      <c r="K239" s="53">
        <f t="shared" si="53"/>
        <v>0.03</v>
      </c>
      <c r="L239" s="962"/>
      <c r="M239" s="53">
        <f t="shared" si="54"/>
        <v>0.03</v>
      </c>
      <c r="N239" s="962"/>
      <c r="O239" s="53">
        <f t="shared" si="55"/>
        <v>7.0000000000000007E-2</v>
      </c>
      <c r="P239" s="962"/>
      <c r="Q239" s="53">
        <f t="shared" si="56"/>
        <v>1</v>
      </c>
      <c r="R239" s="493">
        <f t="shared" si="57"/>
        <v>0</v>
      </c>
      <c r="S239" s="800">
        <f t="shared" si="58"/>
        <v>0</v>
      </c>
    </row>
    <row r="240" spans="1:19">
      <c r="A240" s="964"/>
      <c r="B240" s="137"/>
      <c r="C240" s="53">
        <f t="shared" si="49"/>
        <v>1</v>
      </c>
      <c r="D240" s="962"/>
      <c r="E240" s="53">
        <f t="shared" si="50"/>
        <v>0.04</v>
      </c>
      <c r="F240" s="962"/>
      <c r="G240" s="53">
        <f t="shared" si="51"/>
        <v>0</v>
      </c>
      <c r="H240" s="962"/>
      <c r="I240" s="53">
        <f t="shared" si="52"/>
        <v>0</v>
      </c>
      <c r="J240" s="962"/>
      <c r="K240" s="53">
        <f t="shared" si="53"/>
        <v>0.03</v>
      </c>
      <c r="L240" s="962"/>
      <c r="M240" s="53">
        <f t="shared" si="54"/>
        <v>0.03</v>
      </c>
      <c r="N240" s="962"/>
      <c r="O240" s="53">
        <f t="shared" si="55"/>
        <v>7.0000000000000007E-2</v>
      </c>
      <c r="P240" s="962"/>
      <c r="Q240" s="53">
        <f t="shared" si="56"/>
        <v>1</v>
      </c>
      <c r="R240" s="493">
        <f t="shared" si="57"/>
        <v>0</v>
      </c>
      <c r="S240" s="800">
        <f t="shared" si="58"/>
        <v>0</v>
      </c>
    </row>
    <row r="241" spans="1:19">
      <c r="A241" s="964"/>
      <c r="B241" s="137"/>
      <c r="C241" s="53">
        <f t="shared" si="49"/>
        <v>1</v>
      </c>
      <c r="D241" s="962"/>
      <c r="E241" s="53">
        <f t="shared" si="50"/>
        <v>0.04</v>
      </c>
      <c r="F241" s="962"/>
      <c r="G241" s="53">
        <f t="shared" si="51"/>
        <v>0</v>
      </c>
      <c r="H241" s="962"/>
      <c r="I241" s="53">
        <f t="shared" si="52"/>
        <v>0</v>
      </c>
      <c r="J241" s="962"/>
      <c r="K241" s="53">
        <f t="shared" si="53"/>
        <v>0.03</v>
      </c>
      <c r="L241" s="962"/>
      <c r="M241" s="53">
        <f t="shared" si="54"/>
        <v>0.03</v>
      </c>
      <c r="N241" s="962"/>
      <c r="O241" s="53">
        <f t="shared" si="55"/>
        <v>7.0000000000000007E-2</v>
      </c>
      <c r="P241" s="962"/>
      <c r="Q241" s="53">
        <f t="shared" si="56"/>
        <v>1</v>
      </c>
      <c r="R241" s="493">
        <f t="shared" si="57"/>
        <v>0</v>
      </c>
      <c r="S241" s="800">
        <f t="shared" si="58"/>
        <v>0</v>
      </c>
    </row>
    <row r="242" spans="1:19">
      <c r="A242" s="964"/>
      <c r="B242" s="137"/>
      <c r="C242" s="53">
        <f t="shared" si="49"/>
        <v>1</v>
      </c>
      <c r="D242" s="962"/>
      <c r="E242" s="53">
        <f t="shared" si="50"/>
        <v>0.04</v>
      </c>
      <c r="F242" s="962"/>
      <c r="G242" s="53">
        <f t="shared" si="51"/>
        <v>0</v>
      </c>
      <c r="H242" s="962"/>
      <c r="I242" s="53">
        <f t="shared" si="52"/>
        <v>0</v>
      </c>
      <c r="J242" s="962"/>
      <c r="K242" s="53">
        <f t="shared" si="53"/>
        <v>0.03</v>
      </c>
      <c r="L242" s="962"/>
      <c r="M242" s="53">
        <f t="shared" si="54"/>
        <v>0.03</v>
      </c>
      <c r="N242" s="962"/>
      <c r="O242" s="53">
        <f t="shared" si="55"/>
        <v>7.0000000000000007E-2</v>
      </c>
      <c r="P242" s="962"/>
      <c r="Q242" s="53">
        <f t="shared" si="56"/>
        <v>1</v>
      </c>
      <c r="R242" s="493">
        <f t="shared" si="57"/>
        <v>0</v>
      </c>
      <c r="S242" s="800">
        <f t="shared" si="58"/>
        <v>0</v>
      </c>
    </row>
    <row r="243" spans="1:19">
      <c r="A243" s="964"/>
      <c r="B243" s="137"/>
      <c r="C243" s="53">
        <f t="shared" si="49"/>
        <v>1</v>
      </c>
      <c r="D243" s="962"/>
      <c r="E243" s="53">
        <f t="shared" si="50"/>
        <v>0.04</v>
      </c>
      <c r="F243" s="962"/>
      <c r="G243" s="53">
        <f t="shared" si="51"/>
        <v>0</v>
      </c>
      <c r="H243" s="962"/>
      <c r="I243" s="53">
        <f t="shared" si="52"/>
        <v>0</v>
      </c>
      <c r="J243" s="962"/>
      <c r="K243" s="53">
        <f t="shared" si="53"/>
        <v>0.03</v>
      </c>
      <c r="L243" s="962"/>
      <c r="M243" s="53">
        <f t="shared" si="54"/>
        <v>0.03</v>
      </c>
      <c r="N243" s="962"/>
      <c r="O243" s="53">
        <f t="shared" si="55"/>
        <v>7.0000000000000007E-2</v>
      </c>
      <c r="P243" s="962"/>
      <c r="Q243" s="53">
        <f t="shared" si="56"/>
        <v>1</v>
      </c>
      <c r="R243" s="493">
        <f t="shared" si="57"/>
        <v>0</v>
      </c>
      <c r="S243" s="800">
        <f t="shared" si="58"/>
        <v>0</v>
      </c>
    </row>
    <row r="244" spans="1:19">
      <c r="A244" s="964"/>
      <c r="B244" s="137"/>
      <c r="C244" s="53">
        <f t="shared" si="49"/>
        <v>1</v>
      </c>
      <c r="D244" s="962"/>
      <c r="E244" s="53">
        <f t="shared" si="50"/>
        <v>0.04</v>
      </c>
      <c r="F244" s="962"/>
      <c r="G244" s="53">
        <f t="shared" si="51"/>
        <v>0</v>
      </c>
      <c r="H244" s="962"/>
      <c r="I244" s="53">
        <f t="shared" si="52"/>
        <v>0</v>
      </c>
      <c r="J244" s="962"/>
      <c r="K244" s="53">
        <f t="shared" si="53"/>
        <v>0.03</v>
      </c>
      <c r="L244" s="962"/>
      <c r="M244" s="53">
        <f t="shared" si="54"/>
        <v>0.03</v>
      </c>
      <c r="N244" s="962"/>
      <c r="O244" s="53">
        <f t="shared" si="55"/>
        <v>7.0000000000000007E-2</v>
      </c>
      <c r="P244" s="962"/>
      <c r="Q244" s="53">
        <f t="shared" si="56"/>
        <v>1</v>
      </c>
      <c r="R244" s="493">
        <f t="shared" si="57"/>
        <v>0</v>
      </c>
      <c r="S244" s="800">
        <f t="shared" si="58"/>
        <v>0</v>
      </c>
    </row>
    <row r="245" spans="1:19">
      <c r="A245" s="964"/>
      <c r="B245" s="137"/>
      <c r="C245" s="53">
        <f t="shared" si="49"/>
        <v>1</v>
      </c>
      <c r="D245" s="962"/>
      <c r="E245" s="53">
        <f t="shared" si="50"/>
        <v>0.04</v>
      </c>
      <c r="F245" s="962"/>
      <c r="G245" s="53">
        <f t="shared" si="51"/>
        <v>0</v>
      </c>
      <c r="H245" s="962"/>
      <c r="I245" s="53">
        <f t="shared" si="52"/>
        <v>0</v>
      </c>
      <c r="J245" s="962"/>
      <c r="K245" s="53">
        <f t="shared" si="53"/>
        <v>0.03</v>
      </c>
      <c r="L245" s="962"/>
      <c r="M245" s="53">
        <f t="shared" si="54"/>
        <v>0.03</v>
      </c>
      <c r="N245" s="962"/>
      <c r="O245" s="53">
        <f t="shared" si="55"/>
        <v>7.0000000000000007E-2</v>
      </c>
      <c r="P245" s="962"/>
      <c r="Q245" s="53">
        <f t="shared" si="56"/>
        <v>1</v>
      </c>
      <c r="R245" s="493">
        <f t="shared" si="57"/>
        <v>0</v>
      </c>
      <c r="S245" s="800">
        <f t="shared" si="58"/>
        <v>0</v>
      </c>
    </row>
    <row r="246" spans="1:19">
      <c r="A246" s="964"/>
      <c r="B246" s="137"/>
      <c r="C246" s="53">
        <f t="shared" si="49"/>
        <v>1</v>
      </c>
      <c r="D246" s="962"/>
      <c r="E246" s="53">
        <f t="shared" si="50"/>
        <v>0.04</v>
      </c>
      <c r="F246" s="962"/>
      <c r="G246" s="53">
        <f t="shared" si="51"/>
        <v>0</v>
      </c>
      <c r="H246" s="962"/>
      <c r="I246" s="53">
        <f t="shared" si="52"/>
        <v>0</v>
      </c>
      <c r="J246" s="962"/>
      <c r="K246" s="53">
        <f t="shared" si="53"/>
        <v>0.03</v>
      </c>
      <c r="L246" s="962"/>
      <c r="M246" s="53">
        <f t="shared" si="54"/>
        <v>0.03</v>
      </c>
      <c r="N246" s="962"/>
      <c r="O246" s="53">
        <f t="shared" si="55"/>
        <v>7.0000000000000007E-2</v>
      </c>
      <c r="P246" s="962"/>
      <c r="Q246" s="53">
        <f t="shared" si="56"/>
        <v>1</v>
      </c>
      <c r="R246" s="493">
        <f t="shared" si="57"/>
        <v>0</v>
      </c>
      <c r="S246" s="800">
        <f t="shared" si="58"/>
        <v>0</v>
      </c>
    </row>
    <row r="247" spans="1:19">
      <c r="A247" s="964"/>
      <c r="B247" s="137"/>
      <c r="C247" s="53">
        <f t="shared" si="49"/>
        <v>1</v>
      </c>
      <c r="D247" s="962"/>
      <c r="E247" s="53">
        <f t="shared" si="50"/>
        <v>0.04</v>
      </c>
      <c r="F247" s="962"/>
      <c r="G247" s="53">
        <f t="shared" si="51"/>
        <v>0</v>
      </c>
      <c r="H247" s="962"/>
      <c r="I247" s="53">
        <f t="shared" si="52"/>
        <v>0</v>
      </c>
      <c r="J247" s="962"/>
      <c r="K247" s="53">
        <f t="shared" si="53"/>
        <v>0.03</v>
      </c>
      <c r="L247" s="962"/>
      <c r="M247" s="53">
        <f t="shared" si="54"/>
        <v>0.03</v>
      </c>
      <c r="N247" s="962"/>
      <c r="O247" s="53">
        <f t="shared" si="55"/>
        <v>7.0000000000000007E-2</v>
      </c>
      <c r="P247" s="962"/>
      <c r="Q247" s="53">
        <f t="shared" si="56"/>
        <v>1</v>
      </c>
      <c r="R247" s="493">
        <f t="shared" si="57"/>
        <v>0</v>
      </c>
      <c r="S247" s="800">
        <f t="shared" si="58"/>
        <v>0</v>
      </c>
    </row>
    <row r="248" spans="1:19">
      <c r="A248" s="964"/>
      <c r="B248" s="137"/>
      <c r="C248" s="53">
        <f t="shared" si="49"/>
        <v>1</v>
      </c>
      <c r="D248" s="962"/>
      <c r="E248" s="53">
        <f t="shared" si="50"/>
        <v>0.04</v>
      </c>
      <c r="F248" s="962"/>
      <c r="G248" s="53">
        <f t="shared" si="51"/>
        <v>0</v>
      </c>
      <c r="H248" s="962"/>
      <c r="I248" s="53">
        <f t="shared" si="52"/>
        <v>0</v>
      </c>
      <c r="J248" s="962"/>
      <c r="K248" s="53">
        <f t="shared" si="53"/>
        <v>0.03</v>
      </c>
      <c r="L248" s="962"/>
      <c r="M248" s="53">
        <f t="shared" si="54"/>
        <v>0.03</v>
      </c>
      <c r="N248" s="962"/>
      <c r="O248" s="53">
        <f t="shared" si="55"/>
        <v>7.0000000000000007E-2</v>
      </c>
      <c r="P248" s="962"/>
      <c r="Q248" s="53">
        <f t="shared" si="56"/>
        <v>1</v>
      </c>
      <c r="R248" s="493">
        <f t="shared" si="57"/>
        <v>0</v>
      </c>
      <c r="S248" s="800">
        <f t="shared" si="58"/>
        <v>0</v>
      </c>
    </row>
    <row r="249" spans="1:19">
      <c r="A249" s="964"/>
      <c r="B249" s="137"/>
      <c r="C249" s="53">
        <f t="shared" si="49"/>
        <v>1</v>
      </c>
      <c r="D249" s="962"/>
      <c r="E249" s="53">
        <f t="shared" si="50"/>
        <v>0.04</v>
      </c>
      <c r="F249" s="962"/>
      <c r="G249" s="53">
        <f t="shared" si="51"/>
        <v>0</v>
      </c>
      <c r="H249" s="962"/>
      <c r="I249" s="53">
        <f t="shared" si="52"/>
        <v>0</v>
      </c>
      <c r="J249" s="962"/>
      <c r="K249" s="53">
        <f t="shared" si="53"/>
        <v>0.03</v>
      </c>
      <c r="L249" s="962"/>
      <c r="M249" s="53">
        <f t="shared" si="54"/>
        <v>0.03</v>
      </c>
      <c r="N249" s="962"/>
      <c r="O249" s="53">
        <f t="shared" si="55"/>
        <v>7.0000000000000007E-2</v>
      </c>
      <c r="P249" s="962"/>
      <c r="Q249" s="53">
        <f t="shared" si="56"/>
        <v>1</v>
      </c>
      <c r="R249" s="493">
        <f t="shared" si="57"/>
        <v>0</v>
      </c>
      <c r="S249" s="800">
        <f t="shared" si="58"/>
        <v>0</v>
      </c>
    </row>
    <row r="250" spans="1:19">
      <c r="A250" s="964"/>
      <c r="B250" s="137"/>
      <c r="C250" s="53">
        <f t="shared" si="49"/>
        <v>1</v>
      </c>
      <c r="D250" s="962"/>
      <c r="E250" s="53">
        <f t="shared" si="50"/>
        <v>0.04</v>
      </c>
      <c r="F250" s="962"/>
      <c r="G250" s="53">
        <f t="shared" si="51"/>
        <v>0</v>
      </c>
      <c r="H250" s="962"/>
      <c r="I250" s="53">
        <f t="shared" si="52"/>
        <v>0</v>
      </c>
      <c r="J250" s="962"/>
      <c r="K250" s="53">
        <f t="shared" si="53"/>
        <v>0.03</v>
      </c>
      <c r="L250" s="962"/>
      <c r="M250" s="53">
        <f t="shared" si="54"/>
        <v>0.03</v>
      </c>
      <c r="N250" s="962"/>
      <c r="O250" s="53">
        <f t="shared" si="55"/>
        <v>7.0000000000000007E-2</v>
      </c>
      <c r="P250" s="962"/>
      <c r="Q250" s="53">
        <f t="shared" si="56"/>
        <v>1</v>
      </c>
      <c r="R250" s="493">
        <f t="shared" si="57"/>
        <v>0</v>
      </c>
      <c r="S250" s="800">
        <f t="shared" si="58"/>
        <v>0</v>
      </c>
    </row>
    <row r="251" spans="1:19">
      <c r="A251" s="964"/>
      <c r="B251" s="137"/>
      <c r="C251" s="53">
        <f t="shared" si="49"/>
        <v>1</v>
      </c>
      <c r="D251" s="962"/>
      <c r="E251" s="53">
        <f t="shared" si="50"/>
        <v>0.04</v>
      </c>
      <c r="F251" s="962"/>
      <c r="G251" s="53">
        <f t="shared" si="51"/>
        <v>0</v>
      </c>
      <c r="H251" s="962"/>
      <c r="I251" s="53">
        <f t="shared" si="52"/>
        <v>0</v>
      </c>
      <c r="J251" s="962"/>
      <c r="K251" s="53">
        <f t="shared" si="53"/>
        <v>0.03</v>
      </c>
      <c r="L251" s="962"/>
      <c r="M251" s="53">
        <f t="shared" si="54"/>
        <v>0.03</v>
      </c>
      <c r="N251" s="962"/>
      <c r="O251" s="53">
        <f t="shared" si="55"/>
        <v>7.0000000000000007E-2</v>
      </c>
      <c r="P251" s="962"/>
      <c r="Q251" s="53">
        <f t="shared" si="56"/>
        <v>1</v>
      </c>
      <c r="R251" s="493">
        <f t="shared" si="57"/>
        <v>0</v>
      </c>
      <c r="S251" s="800">
        <f t="shared" si="58"/>
        <v>0</v>
      </c>
    </row>
    <row r="252" spans="1:19">
      <c r="A252" s="964"/>
      <c r="B252" s="137"/>
      <c r="C252" s="53">
        <f t="shared" si="49"/>
        <v>1</v>
      </c>
      <c r="D252" s="962"/>
      <c r="E252" s="53">
        <f t="shared" si="50"/>
        <v>0.04</v>
      </c>
      <c r="F252" s="962"/>
      <c r="G252" s="53">
        <f t="shared" si="51"/>
        <v>0</v>
      </c>
      <c r="H252" s="962"/>
      <c r="I252" s="53">
        <f t="shared" si="52"/>
        <v>0</v>
      </c>
      <c r="J252" s="962"/>
      <c r="K252" s="53">
        <f t="shared" si="53"/>
        <v>0.03</v>
      </c>
      <c r="L252" s="962"/>
      <c r="M252" s="53">
        <f t="shared" si="54"/>
        <v>0.03</v>
      </c>
      <c r="N252" s="962"/>
      <c r="O252" s="53">
        <f t="shared" si="55"/>
        <v>7.0000000000000007E-2</v>
      </c>
      <c r="P252" s="962"/>
      <c r="Q252" s="53">
        <f t="shared" si="56"/>
        <v>1</v>
      </c>
      <c r="R252" s="493">
        <f t="shared" si="57"/>
        <v>0</v>
      </c>
      <c r="S252" s="800">
        <f t="shared" si="58"/>
        <v>0</v>
      </c>
    </row>
    <row r="253" spans="1:19">
      <c r="A253" s="964"/>
      <c r="B253" s="137"/>
      <c r="C253" s="53">
        <f t="shared" si="49"/>
        <v>1</v>
      </c>
      <c r="D253" s="962"/>
      <c r="E253" s="53">
        <f t="shared" si="50"/>
        <v>0.04</v>
      </c>
      <c r="F253" s="962"/>
      <c r="G253" s="53">
        <f t="shared" si="51"/>
        <v>0</v>
      </c>
      <c r="H253" s="962"/>
      <c r="I253" s="53">
        <f t="shared" si="52"/>
        <v>0</v>
      </c>
      <c r="J253" s="962"/>
      <c r="K253" s="53">
        <f t="shared" si="53"/>
        <v>0.03</v>
      </c>
      <c r="L253" s="962"/>
      <c r="M253" s="53">
        <f t="shared" si="54"/>
        <v>0.03</v>
      </c>
      <c r="N253" s="962"/>
      <c r="O253" s="53">
        <f t="shared" si="55"/>
        <v>7.0000000000000007E-2</v>
      </c>
      <c r="P253" s="962"/>
      <c r="Q253" s="53">
        <f t="shared" si="56"/>
        <v>1</v>
      </c>
      <c r="R253" s="493">
        <f t="shared" si="57"/>
        <v>0</v>
      </c>
      <c r="S253" s="800">
        <f t="shared" si="58"/>
        <v>0</v>
      </c>
    </row>
    <row r="254" spans="1:19">
      <c r="A254" s="964"/>
      <c r="B254" s="137"/>
      <c r="C254" s="53">
        <f t="shared" si="49"/>
        <v>1</v>
      </c>
      <c r="D254" s="962"/>
      <c r="E254" s="53">
        <f t="shared" si="50"/>
        <v>0.04</v>
      </c>
      <c r="F254" s="962"/>
      <c r="G254" s="53">
        <f t="shared" si="51"/>
        <v>0</v>
      </c>
      <c r="H254" s="962"/>
      <c r="I254" s="53">
        <f t="shared" si="52"/>
        <v>0</v>
      </c>
      <c r="J254" s="962"/>
      <c r="K254" s="53">
        <f t="shared" si="53"/>
        <v>0.03</v>
      </c>
      <c r="L254" s="962"/>
      <c r="M254" s="53">
        <f t="shared" si="54"/>
        <v>0.03</v>
      </c>
      <c r="N254" s="962"/>
      <c r="O254" s="53">
        <f t="shared" si="55"/>
        <v>7.0000000000000007E-2</v>
      </c>
      <c r="P254" s="962"/>
      <c r="Q254" s="53">
        <f t="shared" si="56"/>
        <v>1</v>
      </c>
      <c r="R254" s="493">
        <f t="shared" si="57"/>
        <v>0</v>
      </c>
      <c r="S254" s="800">
        <f t="shared" si="58"/>
        <v>0</v>
      </c>
    </row>
    <row r="255" spans="1:19">
      <c r="A255" s="964"/>
      <c r="B255" s="137"/>
      <c r="C255" s="53">
        <f t="shared" si="49"/>
        <v>1</v>
      </c>
      <c r="D255" s="962"/>
      <c r="E255" s="53">
        <f t="shared" si="50"/>
        <v>0.04</v>
      </c>
      <c r="F255" s="962"/>
      <c r="G255" s="53">
        <f t="shared" si="51"/>
        <v>0</v>
      </c>
      <c r="H255" s="962"/>
      <c r="I255" s="53">
        <f t="shared" si="52"/>
        <v>0</v>
      </c>
      <c r="J255" s="962"/>
      <c r="K255" s="53">
        <f t="shared" si="53"/>
        <v>0.03</v>
      </c>
      <c r="L255" s="962"/>
      <c r="M255" s="53">
        <f t="shared" si="54"/>
        <v>0.03</v>
      </c>
      <c r="N255" s="962"/>
      <c r="O255" s="53">
        <f t="shared" si="55"/>
        <v>7.0000000000000007E-2</v>
      </c>
      <c r="P255" s="962"/>
      <c r="Q255" s="53">
        <f t="shared" si="56"/>
        <v>1</v>
      </c>
      <c r="R255" s="493">
        <f t="shared" si="57"/>
        <v>0</v>
      </c>
      <c r="S255" s="800">
        <f t="shared" si="58"/>
        <v>0</v>
      </c>
    </row>
    <row r="256" spans="1:19">
      <c r="A256" s="964"/>
      <c r="B256" s="137"/>
      <c r="C256" s="53">
        <f t="shared" si="49"/>
        <v>1</v>
      </c>
      <c r="D256" s="962"/>
      <c r="E256" s="53">
        <f t="shared" si="50"/>
        <v>0.04</v>
      </c>
      <c r="F256" s="962"/>
      <c r="G256" s="53">
        <f t="shared" si="51"/>
        <v>0</v>
      </c>
      <c r="H256" s="962"/>
      <c r="I256" s="53">
        <f t="shared" si="52"/>
        <v>0</v>
      </c>
      <c r="J256" s="962"/>
      <c r="K256" s="53">
        <f t="shared" si="53"/>
        <v>0.03</v>
      </c>
      <c r="L256" s="962"/>
      <c r="M256" s="53">
        <f t="shared" si="54"/>
        <v>0.03</v>
      </c>
      <c r="N256" s="962"/>
      <c r="O256" s="53">
        <f t="shared" si="55"/>
        <v>7.0000000000000007E-2</v>
      </c>
      <c r="P256" s="962"/>
      <c r="Q256" s="53">
        <f t="shared" si="56"/>
        <v>1</v>
      </c>
      <c r="R256" s="493">
        <f t="shared" si="57"/>
        <v>0</v>
      </c>
      <c r="S256" s="800">
        <f t="shared" si="58"/>
        <v>0</v>
      </c>
    </row>
    <row r="257" spans="1:19">
      <c r="A257" s="964"/>
      <c r="B257" s="137"/>
      <c r="C257" s="53">
        <f t="shared" si="49"/>
        <v>1</v>
      </c>
      <c r="D257" s="962"/>
      <c r="E257" s="53">
        <f t="shared" si="50"/>
        <v>0.04</v>
      </c>
      <c r="F257" s="962"/>
      <c r="G257" s="53">
        <f t="shared" si="51"/>
        <v>0</v>
      </c>
      <c r="H257" s="962"/>
      <c r="I257" s="53">
        <f t="shared" si="52"/>
        <v>0</v>
      </c>
      <c r="J257" s="962"/>
      <c r="K257" s="53">
        <f t="shared" si="53"/>
        <v>0.03</v>
      </c>
      <c r="L257" s="962"/>
      <c r="M257" s="53">
        <f t="shared" si="54"/>
        <v>0.03</v>
      </c>
      <c r="N257" s="962"/>
      <c r="O257" s="53">
        <f t="shared" si="55"/>
        <v>7.0000000000000007E-2</v>
      </c>
      <c r="P257" s="962"/>
      <c r="Q257" s="53">
        <f t="shared" si="56"/>
        <v>1</v>
      </c>
      <c r="R257" s="493">
        <f t="shared" si="57"/>
        <v>0</v>
      </c>
      <c r="S257" s="800">
        <f t="shared" si="58"/>
        <v>0</v>
      </c>
    </row>
    <row r="258" spans="1:19">
      <c r="A258" s="964"/>
      <c r="B258" s="137"/>
      <c r="C258" s="53">
        <f t="shared" si="49"/>
        <v>1</v>
      </c>
      <c r="D258" s="962"/>
      <c r="E258" s="53">
        <f t="shared" si="50"/>
        <v>0.04</v>
      </c>
      <c r="F258" s="962"/>
      <c r="G258" s="53">
        <f t="shared" si="51"/>
        <v>0</v>
      </c>
      <c r="H258" s="962"/>
      <c r="I258" s="53">
        <f t="shared" si="52"/>
        <v>0</v>
      </c>
      <c r="J258" s="962"/>
      <c r="K258" s="53">
        <f t="shared" si="53"/>
        <v>0.03</v>
      </c>
      <c r="L258" s="962"/>
      <c r="M258" s="53">
        <f t="shared" si="54"/>
        <v>0.03</v>
      </c>
      <c r="N258" s="962"/>
      <c r="O258" s="53">
        <f t="shared" si="55"/>
        <v>7.0000000000000007E-2</v>
      </c>
      <c r="P258" s="962"/>
      <c r="Q258" s="53">
        <f t="shared" si="56"/>
        <v>1</v>
      </c>
      <c r="R258" s="493">
        <f t="shared" si="57"/>
        <v>0</v>
      </c>
      <c r="S258" s="800">
        <f t="shared" si="58"/>
        <v>0</v>
      </c>
    </row>
    <row r="259" spans="1:19">
      <c r="A259" s="964"/>
      <c r="B259" s="137"/>
      <c r="C259" s="53">
        <f t="shared" si="49"/>
        <v>1</v>
      </c>
      <c r="D259" s="962"/>
      <c r="E259" s="53">
        <f t="shared" si="50"/>
        <v>0.04</v>
      </c>
      <c r="F259" s="962"/>
      <c r="G259" s="53">
        <f t="shared" si="51"/>
        <v>0</v>
      </c>
      <c r="H259" s="962"/>
      <c r="I259" s="53">
        <f t="shared" si="52"/>
        <v>0</v>
      </c>
      <c r="J259" s="962"/>
      <c r="K259" s="53">
        <f t="shared" si="53"/>
        <v>0.03</v>
      </c>
      <c r="L259" s="962"/>
      <c r="M259" s="53">
        <f t="shared" si="54"/>
        <v>0.03</v>
      </c>
      <c r="N259" s="962"/>
      <c r="O259" s="53">
        <f t="shared" si="55"/>
        <v>7.0000000000000007E-2</v>
      </c>
      <c r="P259" s="962"/>
      <c r="Q259" s="53">
        <f t="shared" si="56"/>
        <v>1</v>
      </c>
      <c r="R259" s="493">
        <f t="shared" si="57"/>
        <v>0</v>
      </c>
      <c r="S259" s="800">
        <f t="shared" si="58"/>
        <v>0</v>
      </c>
    </row>
    <row r="260" spans="1:19">
      <c r="A260" s="964"/>
      <c r="B260" s="137"/>
      <c r="C260" s="53">
        <f t="shared" si="49"/>
        <v>1</v>
      </c>
      <c r="D260" s="962"/>
      <c r="E260" s="53">
        <f t="shared" si="50"/>
        <v>0.04</v>
      </c>
      <c r="F260" s="962"/>
      <c r="G260" s="53">
        <f t="shared" si="51"/>
        <v>0</v>
      </c>
      <c r="H260" s="962"/>
      <c r="I260" s="53">
        <f t="shared" si="52"/>
        <v>0</v>
      </c>
      <c r="J260" s="962"/>
      <c r="K260" s="53">
        <f t="shared" si="53"/>
        <v>0.03</v>
      </c>
      <c r="L260" s="962"/>
      <c r="M260" s="53">
        <f t="shared" si="54"/>
        <v>0.03</v>
      </c>
      <c r="N260" s="962"/>
      <c r="O260" s="53">
        <f t="shared" si="55"/>
        <v>7.0000000000000007E-2</v>
      </c>
      <c r="P260" s="962"/>
      <c r="Q260" s="53">
        <f t="shared" si="56"/>
        <v>1</v>
      </c>
      <c r="R260" s="493">
        <f t="shared" si="57"/>
        <v>0</v>
      </c>
      <c r="S260" s="800">
        <f t="shared" si="58"/>
        <v>0</v>
      </c>
    </row>
    <row r="261" spans="1:19">
      <c r="A261" s="964"/>
      <c r="B261" s="137"/>
      <c r="C261" s="53">
        <f t="shared" si="49"/>
        <v>1</v>
      </c>
      <c r="D261" s="962"/>
      <c r="E261" s="53">
        <f t="shared" si="50"/>
        <v>0.04</v>
      </c>
      <c r="F261" s="962"/>
      <c r="G261" s="53">
        <f t="shared" si="51"/>
        <v>0</v>
      </c>
      <c r="H261" s="962"/>
      <c r="I261" s="53">
        <f t="shared" si="52"/>
        <v>0</v>
      </c>
      <c r="J261" s="962"/>
      <c r="K261" s="53">
        <f t="shared" si="53"/>
        <v>0.03</v>
      </c>
      <c r="L261" s="962"/>
      <c r="M261" s="53">
        <f t="shared" si="54"/>
        <v>0.03</v>
      </c>
      <c r="N261" s="962"/>
      <c r="O261" s="53">
        <f t="shared" si="55"/>
        <v>7.0000000000000007E-2</v>
      </c>
      <c r="P261" s="962"/>
      <c r="Q261" s="53">
        <f t="shared" si="56"/>
        <v>1</v>
      </c>
      <c r="R261" s="493">
        <f t="shared" si="57"/>
        <v>0</v>
      </c>
      <c r="S261" s="800">
        <f t="shared" si="58"/>
        <v>0</v>
      </c>
    </row>
    <row r="262" spans="1:19">
      <c r="A262" s="964"/>
      <c r="B262" s="137"/>
      <c r="C262" s="53">
        <f t="shared" si="49"/>
        <v>1</v>
      </c>
      <c r="D262" s="962"/>
      <c r="E262" s="53">
        <f t="shared" si="50"/>
        <v>0.04</v>
      </c>
      <c r="F262" s="962"/>
      <c r="G262" s="53">
        <f t="shared" si="51"/>
        <v>0</v>
      </c>
      <c r="H262" s="962"/>
      <c r="I262" s="53">
        <f t="shared" si="52"/>
        <v>0</v>
      </c>
      <c r="J262" s="962"/>
      <c r="K262" s="53">
        <f t="shared" si="53"/>
        <v>0.03</v>
      </c>
      <c r="L262" s="962"/>
      <c r="M262" s="53">
        <f t="shared" si="54"/>
        <v>0.03</v>
      </c>
      <c r="N262" s="962"/>
      <c r="O262" s="53">
        <f t="shared" si="55"/>
        <v>7.0000000000000007E-2</v>
      </c>
      <c r="P262" s="962"/>
      <c r="Q262" s="53">
        <f t="shared" si="56"/>
        <v>1</v>
      </c>
      <c r="R262" s="493">
        <f t="shared" si="57"/>
        <v>0</v>
      </c>
      <c r="S262" s="800">
        <f t="shared" si="58"/>
        <v>0</v>
      </c>
    </row>
    <row r="263" spans="1:19">
      <c r="A263" s="964"/>
      <c r="B263" s="137"/>
      <c r="C263" s="53">
        <f t="shared" si="49"/>
        <v>1</v>
      </c>
      <c r="D263" s="962"/>
      <c r="E263" s="53">
        <f t="shared" si="50"/>
        <v>0.04</v>
      </c>
      <c r="F263" s="962"/>
      <c r="G263" s="53">
        <f t="shared" si="51"/>
        <v>0</v>
      </c>
      <c r="H263" s="962"/>
      <c r="I263" s="53">
        <f t="shared" si="52"/>
        <v>0</v>
      </c>
      <c r="J263" s="962"/>
      <c r="K263" s="53">
        <f t="shared" si="53"/>
        <v>0.03</v>
      </c>
      <c r="L263" s="962"/>
      <c r="M263" s="53">
        <f t="shared" si="54"/>
        <v>0.03</v>
      </c>
      <c r="N263" s="962"/>
      <c r="O263" s="53">
        <f t="shared" si="55"/>
        <v>7.0000000000000007E-2</v>
      </c>
      <c r="P263" s="962"/>
      <c r="Q263" s="53">
        <f t="shared" si="56"/>
        <v>1</v>
      </c>
      <c r="R263" s="493">
        <f t="shared" si="57"/>
        <v>0</v>
      </c>
      <c r="S263" s="800">
        <f t="shared" si="58"/>
        <v>0</v>
      </c>
    </row>
    <row r="264" spans="1:19">
      <c r="A264" s="964"/>
      <c r="B264" s="137"/>
      <c r="C264" s="53">
        <f t="shared" si="49"/>
        <v>1</v>
      </c>
      <c r="D264" s="962"/>
      <c r="E264" s="53">
        <f t="shared" si="50"/>
        <v>0.04</v>
      </c>
      <c r="F264" s="962"/>
      <c r="G264" s="53">
        <f t="shared" si="51"/>
        <v>0</v>
      </c>
      <c r="H264" s="962"/>
      <c r="I264" s="53">
        <f t="shared" si="52"/>
        <v>0</v>
      </c>
      <c r="J264" s="962"/>
      <c r="K264" s="53">
        <f t="shared" si="53"/>
        <v>0.03</v>
      </c>
      <c r="L264" s="962"/>
      <c r="M264" s="53">
        <f t="shared" si="54"/>
        <v>0.03</v>
      </c>
      <c r="N264" s="962"/>
      <c r="O264" s="53">
        <f t="shared" si="55"/>
        <v>7.0000000000000007E-2</v>
      </c>
      <c r="P264" s="962"/>
      <c r="Q264" s="53">
        <f t="shared" si="56"/>
        <v>1</v>
      </c>
      <c r="R264" s="493">
        <f t="shared" si="57"/>
        <v>0</v>
      </c>
      <c r="S264" s="800">
        <f t="shared" si="58"/>
        <v>0</v>
      </c>
    </row>
    <row r="265" spans="1:19">
      <c r="A265" s="964"/>
      <c r="B265" s="137"/>
      <c r="C265" s="53">
        <f t="shared" si="49"/>
        <v>1</v>
      </c>
      <c r="D265" s="962"/>
      <c r="E265" s="53">
        <f t="shared" si="50"/>
        <v>0.04</v>
      </c>
      <c r="F265" s="962"/>
      <c r="G265" s="53">
        <f t="shared" si="51"/>
        <v>0</v>
      </c>
      <c r="H265" s="962"/>
      <c r="I265" s="53">
        <f t="shared" si="52"/>
        <v>0</v>
      </c>
      <c r="J265" s="962"/>
      <c r="K265" s="53">
        <f t="shared" si="53"/>
        <v>0.03</v>
      </c>
      <c r="L265" s="962"/>
      <c r="M265" s="53">
        <f t="shared" si="54"/>
        <v>0.03</v>
      </c>
      <c r="N265" s="962"/>
      <c r="O265" s="53">
        <f t="shared" si="55"/>
        <v>7.0000000000000007E-2</v>
      </c>
      <c r="P265" s="962"/>
      <c r="Q265" s="53">
        <f t="shared" si="56"/>
        <v>1</v>
      </c>
      <c r="R265" s="493">
        <f t="shared" si="57"/>
        <v>0</v>
      </c>
      <c r="S265" s="800">
        <f t="shared" si="58"/>
        <v>0</v>
      </c>
    </row>
    <row r="266" spans="1:19">
      <c r="A266" s="964"/>
      <c r="B266" s="137"/>
      <c r="C266" s="53">
        <f t="shared" si="49"/>
        <v>1</v>
      </c>
      <c r="D266" s="962"/>
      <c r="E266" s="53">
        <f t="shared" si="50"/>
        <v>0.04</v>
      </c>
      <c r="F266" s="962"/>
      <c r="G266" s="53">
        <f t="shared" si="51"/>
        <v>0</v>
      </c>
      <c r="H266" s="962"/>
      <c r="I266" s="53">
        <f t="shared" si="52"/>
        <v>0</v>
      </c>
      <c r="J266" s="962"/>
      <c r="K266" s="53">
        <f t="shared" si="53"/>
        <v>0.03</v>
      </c>
      <c r="L266" s="962"/>
      <c r="M266" s="53">
        <f t="shared" si="54"/>
        <v>0.03</v>
      </c>
      <c r="N266" s="962"/>
      <c r="O266" s="53">
        <f t="shared" si="55"/>
        <v>7.0000000000000007E-2</v>
      </c>
      <c r="P266" s="962"/>
      <c r="Q266" s="53">
        <f t="shared" si="56"/>
        <v>1</v>
      </c>
      <c r="R266" s="493">
        <f t="shared" si="57"/>
        <v>0</v>
      </c>
      <c r="S266" s="800">
        <f t="shared" si="58"/>
        <v>0</v>
      </c>
    </row>
    <row r="267" spans="1:19">
      <c r="A267" s="964"/>
      <c r="B267" s="137"/>
      <c r="C267" s="53">
        <f t="shared" si="49"/>
        <v>1</v>
      </c>
      <c r="D267" s="962"/>
      <c r="E267" s="53">
        <f t="shared" si="50"/>
        <v>0.04</v>
      </c>
      <c r="F267" s="962"/>
      <c r="G267" s="53">
        <f t="shared" si="51"/>
        <v>0</v>
      </c>
      <c r="H267" s="962"/>
      <c r="I267" s="53">
        <f t="shared" si="52"/>
        <v>0</v>
      </c>
      <c r="J267" s="962"/>
      <c r="K267" s="53">
        <f t="shared" si="53"/>
        <v>0.03</v>
      </c>
      <c r="L267" s="962"/>
      <c r="M267" s="53">
        <f t="shared" si="54"/>
        <v>0.03</v>
      </c>
      <c r="N267" s="962"/>
      <c r="O267" s="53">
        <f t="shared" si="55"/>
        <v>7.0000000000000007E-2</v>
      </c>
      <c r="P267" s="962"/>
      <c r="Q267" s="53">
        <f t="shared" si="56"/>
        <v>1</v>
      </c>
      <c r="R267" s="493">
        <f t="shared" si="57"/>
        <v>0</v>
      </c>
      <c r="S267" s="800">
        <f t="shared" si="58"/>
        <v>0</v>
      </c>
    </row>
    <row r="268" spans="1:19">
      <c r="A268" s="964"/>
      <c r="B268" s="137"/>
      <c r="C268" s="53">
        <f t="shared" si="49"/>
        <v>1</v>
      </c>
      <c r="D268" s="962"/>
      <c r="E268" s="53">
        <f t="shared" si="50"/>
        <v>0.04</v>
      </c>
      <c r="F268" s="962"/>
      <c r="G268" s="53">
        <f t="shared" si="51"/>
        <v>0</v>
      </c>
      <c r="H268" s="962"/>
      <c r="I268" s="53">
        <f t="shared" si="52"/>
        <v>0</v>
      </c>
      <c r="J268" s="962"/>
      <c r="K268" s="53">
        <f t="shared" si="53"/>
        <v>0.03</v>
      </c>
      <c r="L268" s="962"/>
      <c r="M268" s="53">
        <f t="shared" si="54"/>
        <v>0.03</v>
      </c>
      <c r="N268" s="962"/>
      <c r="O268" s="53">
        <f t="shared" si="55"/>
        <v>7.0000000000000007E-2</v>
      </c>
      <c r="P268" s="962"/>
      <c r="Q268" s="53">
        <f t="shared" si="56"/>
        <v>1</v>
      </c>
      <c r="R268" s="493">
        <f t="shared" si="57"/>
        <v>0</v>
      </c>
      <c r="S268" s="800">
        <f t="shared" si="58"/>
        <v>0</v>
      </c>
    </row>
    <row r="269" spans="1:19">
      <c r="A269" s="964"/>
      <c r="B269" s="137"/>
      <c r="C269" s="53">
        <f t="shared" si="49"/>
        <v>1</v>
      </c>
      <c r="D269" s="962"/>
      <c r="E269" s="53">
        <f t="shared" si="50"/>
        <v>0.04</v>
      </c>
      <c r="F269" s="962"/>
      <c r="G269" s="53">
        <f t="shared" si="51"/>
        <v>0</v>
      </c>
      <c r="H269" s="962"/>
      <c r="I269" s="53">
        <f t="shared" si="52"/>
        <v>0</v>
      </c>
      <c r="J269" s="962"/>
      <c r="K269" s="53">
        <f t="shared" si="53"/>
        <v>0.03</v>
      </c>
      <c r="L269" s="962"/>
      <c r="M269" s="53">
        <f t="shared" si="54"/>
        <v>0.03</v>
      </c>
      <c r="N269" s="962"/>
      <c r="O269" s="53">
        <f t="shared" si="55"/>
        <v>7.0000000000000007E-2</v>
      </c>
      <c r="P269" s="962"/>
      <c r="Q269" s="53">
        <f t="shared" si="56"/>
        <v>1</v>
      </c>
      <c r="R269" s="493">
        <f t="shared" si="57"/>
        <v>0</v>
      </c>
      <c r="S269" s="800">
        <f t="shared" si="58"/>
        <v>0</v>
      </c>
    </row>
    <row r="270" spans="1:19">
      <c r="A270" s="964"/>
      <c r="B270" s="137"/>
      <c r="C270" s="53">
        <f t="shared" si="49"/>
        <v>1</v>
      </c>
      <c r="D270" s="962"/>
      <c r="E270" s="53">
        <f t="shared" si="50"/>
        <v>0.04</v>
      </c>
      <c r="F270" s="962"/>
      <c r="G270" s="53">
        <f t="shared" si="51"/>
        <v>0</v>
      </c>
      <c r="H270" s="962"/>
      <c r="I270" s="53">
        <f t="shared" si="52"/>
        <v>0</v>
      </c>
      <c r="J270" s="962"/>
      <c r="K270" s="53">
        <f t="shared" si="53"/>
        <v>0.03</v>
      </c>
      <c r="L270" s="962"/>
      <c r="M270" s="53">
        <f t="shared" si="54"/>
        <v>0.03</v>
      </c>
      <c r="N270" s="962"/>
      <c r="O270" s="53">
        <f t="shared" si="55"/>
        <v>7.0000000000000007E-2</v>
      </c>
      <c r="P270" s="962"/>
      <c r="Q270" s="53">
        <f t="shared" si="56"/>
        <v>1</v>
      </c>
      <c r="R270" s="493">
        <f t="shared" si="57"/>
        <v>0</v>
      </c>
      <c r="S270" s="800">
        <f t="shared" si="58"/>
        <v>0</v>
      </c>
    </row>
    <row r="271" spans="1:19">
      <c r="A271" s="964"/>
      <c r="B271" s="137"/>
      <c r="C271" s="53">
        <f t="shared" si="49"/>
        <v>1</v>
      </c>
      <c r="D271" s="962"/>
      <c r="E271" s="53">
        <f t="shared" si="50"/>
        <v>0.04</v>
      </c>
      <c r="F271" s="962"/>
      <c r="G271" s="53">
        <f t="shared" si="51"/>
        <v>0</v>
      </c>
      <c r="H271" s="962"/>
      <c r="I271" s="53">
        <f t="shared" si="52"/>
        <v>0</v>
      </c>
      <c r="J271" s="962"/>
      <c r="K271" s="53">
        <f t="shared" si="53"/>
        <v>0.03</v>
      </c>
      <c r="L271" s="962"/>
      <c r="M271" s="53">
        <f t="shared" si="54"/>
        <v>0.03</v>
      </c>
      <c r="N271" s="962"/>
      <c r="O271" s="53">
        <f t="shared" si="55"/>
        <v>7.0000000000000007E-2</v>
      </c>
      <c r="P271" s="962"/>
      <c r="Q271" s="53">
        <f t="shared" si="56"/>
        <v>1</v>
      </c>
      <c r="R271" s="493">
        <f t="shared" si="57"/>
        <v>0</v>
      </c>
      <c r="S271" s="800">
        <f t="shared" si="58"/>
        <v>0</v>
      </c>
    </row>
    <row r="272" spans="1:19">
      <c r="A272" s="964"/>
      <c r="B272" s="137"/>
      <c r="C272" s="53">
        <f t="shared" si="49"/>
        <v>1</v>
      </c>
      <c r="D272" s="962"/>
      <c r="E272" s="53">
        <f t="shared" si="50"/>
        <v>0.04</v>
      </c>
      <c r="F272" s="962"/>
      <c r="G272" s="53">
        <f t="shared" si="51"/>
        <v>0</v>
      </c>
      <c r="H272" s="962"/>
      <c r="I272" s="53">
        <f t="shared" si="52"/>
        <v>0</v>
      </c>
      <c r="J272" s="962"/>
      <c r="K272" s="53">
        <f t="shared" si="53"/>
        <v>0.03</v>
      </c>
      <c r="L272" s="962"/>
      <c r="M272" s="53">
        <f t="shared" si="54"/>
        <v>0.03</v>
      </c>
      <c r="N272" s="962"/>
      <c r="O272" s="53">
        <f t="shared" si="55"/>
        <v>7.0000000000000007E-2</v>
      </c>
      <c r="P272" s="962"/>
      <c r="Q272" s="53">
        <f t="shared" si="56"/>
        <v>1</v>
      </c>
      <c r="R272" s="493">
        <f t="shared" si="57"/>
        <v>0</v>
      </c>
      <c r="S272" s="800">
        <f t="shared" si="58"/>
        <v>0</v>
      </c>
    </row>
    <row r="273" spans="1:19">
      <c r="A273" s="964"/>
      <c r="B273" s="137"/>
      <c r="C273" s="53">
        <f t="shared" si="49"/>
        <v>1</v>
      </c>
      <c r="D273" s="962"/>
      <c r="E273" s="53">
        <f t="shared" si="50"/>
        <v>0.04</v>
      </c>
      <c r="F273" s="962"/>
      <c r="G273" s="53">
        <f t="shared" si="51"/>
        <v>0</v>
      </c>
      <c r="H273" s="962"/>
      <c r="I273" s="53">
        <f t="shared" si="52"/>
        <v>0</v>
      </c>
      <c r="J273" s="962"/>
      <c r="K273" s="53">
        <f t="shared" si="53"/>
        <v>0.03</v>
      </c>
      <c r="L273" s="962"/>
      <c r="M273" s="53">
        <f t="shared" si="54"/>
        <v>0.03</v>
      </c>
      <c r="N273" s="962"/>
      <c r="O273" s="53">
        <f t="shared" si="55"/>
        <v>7.0000000000000007E-2</v>
      </c>
      <c r="P273" s="962"/>
      <c r="Q273" s="53">
        <f t="shared" si="56"/>
        <v>1</v>
      </c>
      <c r="R273" s="493">
        <f t="shared" si="57"/>
        <v>0</v>
      </c>
      <c r="S273" s="800">
        <f t="shared" si="58"/>
        <v>0</v>
      </c>
    </row>
    <row r="274" spans="1:19">
      <c r="A274" s="964"/>
      <c r="B274" s="137"/>
      <c r="C274" s="53">
        <f t="shared" si="49"/>
        <v>1</v>
      </c>
      <c r="D274" s="962"/>
      <c r="E274" s="53">
        <f t="shared" si="50"/>
        <v>0.04</v>
      </c>
      <c r="F274" s="962"/>
      <c r="G274" s="53">
        <f t="shared" si="51"/>
        <v>0</v>
      </c>
      <c r="H274" s="962"/>
      <c r="I274" s="53">
        <f t="shared" si="52"/>
        <v>0</v>
      </c>
      <c r="J274" s="962"/>
      <c r="K274" s="53">
        <f t="shared" si="53"/>
        <v>0.03</v>
      </c>
      <c r="L274" s="962"/>
      <c r="M274" s="53">
        <f t="shared" si="54"/>
        <v>0.03</v>
      </c>
      <c r="N274" s="962"/>
      <c r="O274" s="53">
        <f t="shared" si="55"/>
        <v>7.0000000000000007E-2</v>
      </c>
      <c r="P274" s="962"/>
      <c r="Q274" s="53">
        <f t="shared" si="56"/>
        <v>1</v>
      </c>
      <c r="R274" s="493">
        <f t="shared" si="57"/>
        <v>0</v>
      </c>
      <c r="S274" s="800">
        <f t="shared" si="58"/>
        <v>0</v>
      </c>
    </row>
    <row r="275" spans="1:19">
      <c r="A275" s="964"/>
      <c r="B275" s="137"/>
      <c r="C275" s="53">
        <f t="shared" si="49"/>
        <v>1</v>
      </c>
      <c r="D275" s="962"/>
      <c r="E275" s="53">
        <f t="shared" si="50"/>
        <v>0.04</v>
      </c>
      <c r="F275" s="962"/>
      <c r="G275" s="53">
        <f t="shared" si="51"/>
        <v>0</v>
      </c>
      <c r="H275" s="962"/>
      <c r="I275" s="53">
        <f t="shared" si="52"/>
        <v>0</v>
      </c>
      <c r="J275" s="962"/>
      <c r="K275" s="53">
        <f t="shared" si="53"/>
        <v>0.03</v>
      </c>
      <c r="L275" s="962"/>
      <c r="M275" s="53">
        <f t="shared" si="54"/>
        <v>0.03</v>
      </c>
      <c r="N275" s="962"/>
      <c r="O275" s="53">
        <f t="shared" si="55"/>
        <v>7.0000000000000007E-2</v>
      </c>
      <c r="P275" s="962"/>
      <c r="Q275" s="53">
        <f t="shared" si="56"/>
        <v>1</v>
      </c>
      <c r="R275" s="493">
        <f t="shared" si="57"/>
        <v>0</v>
      </c>
      <c r="S275" s="800">
        <f t="shared" si="58"/>
        <v>0</v>
      </c>
    </row>
    <row r="276" spans="1:19">
      <c r="A276" s="964"/>
      <c r="B276" s="137"/>
      <c r="C276" s="53">
        <f t="shared" si="49"/>
        <v>1</v>
      </c>
      <c r="D276" s="962"/>
      <c r="E276" s="53">
        <f t="shared" si="50"/>
        <v>0.04</v>
      </c>
      <c r="F276" s="962"/>
      <c r="G276" s="53">
        <f t="shared" si="51"/>
        <v>0</v>
      </c>
      <c r="H276" s="962"/>
      <c r="I276" s="53">
        <f t="shared" si="52"/>
        <v>0</v>
      </c>
      <c r="J276" s="962"/>
      <c r="K276" s="53">
        <f t="shared" si="53"/>
        <v>0.03</v>
      </c>
      <c r="L276" s="962"/>
      <c r="M276" s="53">
        <f t="shared" si="54"/>
        <v>0.03</v>
      </c>
      <c r="N276" s="962"/>
      <c r="O276" s="53">
        <f t="shared" si="55"/>
        <v>7.0000000000000007E-2</v>
      </c>
      <c r="P276" s="962"/>
      <c r="Q276" s="53">
        <f t="shared" si="56"/>
        <v>1</v>
      </c>
      <c r="R276" s="493">
        <f t="shared" si="57"/>
        <v>0</v>
      </c>
      <c r="S276" s="800">
        <f t="shared" si="58"/>
        <v>0</v>
      </c>
    </row>
    <row r="277" spans="1:19">
      <c r="A277" s="964"/>
      <c r="B277" s="137"/>
      <c r="C277" s="53">
        <f t="shared" si="49"/>
        <v>1</v>
      </c>
      <c r="D277" s="962"/>
      <c r="E277" s="53">
        <f t="shared" si="50"/>
        <v>0.04</v>
      </c>
      <c r="F277" s="962"/>
      <c r="G277" s="53">
        <f t="shared" si="51"/>
        <v>0</v>
      </c>
      <c r="H277" s="962"/>
      <c r="I277" s="53">
        <f t="shared" si="52"/>
        <v>0</v>
      </c>
      <c r="J277" s="962"/>
      <c r="K277" s="53">
        <f t="shared" si="53"/>
        <v>0.03</v>
      </c>
      <c r="L277" s="962"/>
      <c r="M277" s="53">
        <f t="shared" si="54"/>
        <v>0.03</v>
      </c>
      <c r="N277" s="962"/>
      <c r="O277" s="53">
        <f t="shared" si="55"/>
        <v>7.0000000000000007E-2</v>
      </c>
      <c r="P277" s="962"/>
      <c r="Q277" s="53">
        <f t="shared" si="56"/>
        <v>1</v>
      </c>
      <c r="R277" s="493">
        <f t="shared" si="57"/>
        <v>0</v>
      </c>
      <c r="S277" s="800">
        <f t="shared" si="58"/>
        <v>0</v>
      </c>
    </row>
    <row r="278" spans="1:19">
      <c r="A278" s="964"/>
      <c r="B278" s="137"/>
      <c r="C278" s="53">
        <f t="shared" si="49"/>
        <v>1</v>
      </c>
      <c r="D278" s="962"/>
      <c r="E278" s="53">
        <f t="shared" si="50"/>
        <v>0.04</v>
      </c>
      <c r="F278" s="962"/>
      <c r="G278" s="53">
        <f t="shared" si="51"/>
        <v>0</v>
      </c>
      <c r="H278" s="962"/>
      <c r="I278" s="53">
        <f t="shared" si="52"/>
        <v>0</v>
      </c>
      <c r="J278" s="962"/>
      <c r="K278" s="53">
        <f t="shared" si="53"/>
        <v>0.03</v>
      </c>
      <c r="L278" s="962"/>
      <c r="M278" s="53">
        <f t="shared" si="54"/>
        <v>0.03</v>
      </c>
      <c r="N278" s="962"/>
      <c r="O278" s="53">
        <f t="shared" si="55"/>
        <v>7.0000000000000007E-2</v>
      </c>
      <c r="P278" s="962"/>
      <c r="Q278" s="53">
        <f t="shared" si="56"/>
        <v>1</v>
      </c>
      <c r="R278" s="493">
        <f t="shared" si="57"/>
        <v>0</v>
      </c>
      <c r="S278" s="800">
        <f t="shared" si="58"/>
        <v>0</v>
      </c>
    </row>
    <row r="279" spans="1:19">
      <c r="A279" s="964"/>
      <c r="B279" s="137"/>
      <c r="C279" s="53">
        <f t="shared" si="49"/>
        <v>1</v>
      </c>
      <c r="D279" s="962"/>
      <c r="E279" s="53">
        <f t="shared" si="50"/>
        <v>0.04</v>
      </c>
      <c r="F279" s="962"/>
      <c r="G279" s="53">
        <f t="shared" si="51"/>
        <v>0</v>
      </c>
      <c r="H279" s="962"/>
      <c r="I279" s="53">
        <f t="shared" si="52"/>
        <v>0</v>
      </c>
      <c r="J279" s="962"/>
      <c r="K279" s="53">
        <f t="shared" si="53"/>
        <v>0.03</v>
      </c>
      <c r="L279" s="962"/>
      <c r="M279" s="53">
        <f t="shared" si="54"/>
        <v>0.03</v>
      </c>
      <c r="N279" s="962"/>
      <c r="O279" s="53">
        <f t="shared" si="55"/>
        <v>7.0000000000000007E-2</v>
      </c>
      <c r="P279" s="962"/>
      <c r="Q279" s="53">
        <f t="shared" si="56"/>
        <v>1</v>
      </c>
      <c r="R279" s="493">
        <f t="shared" si="57"/>
        <v>0</v>
      </c>
      <c r="S279" s="800">
        <f t="shared" si="58"/>
        <v>0</v>
      </c>
    </row>
    <row r="280" spans="1:19">
      <c r="A280" s="964"/>
      <c r="B280" s="137"/>
      <c r="C280" s="53">
        <f t="shared" si="49"/>
        <v>1</v>
      </c>
      <c r="D280" s="962"/>
      <c r="E280" s="53">
        <f t="shared" si="50"/>
        <v>0.04</v>
      </c>
      <c r="F280" s="962"/>
      <c r="G280" s="53">
        <f t="shared" si="51"/>
        <v>0</v>
      </c>
      <c r="H280" s="962"/>
      <c r="I280" s="53">
        <f t="shared" si="52"/>
        <v>0</v>
      </c>
      <c r="J280" s="962"/>
      <c r="K280" s="53">
        <f t="shared" si="53"/>
        <v>0.03</v>
      </c>
      <c r="L280" s="962"/>
      <c r="M280" s="53">
        <f t="shared" si="54"/>
        <v>0.03</v>
      </c>
      <c r="N280" s="962"/>
      <c r="O280" s="53">
        <f t="shared" si="55"/>
        <v>7.0000000000000007E-2</v>
      </c>
      <c r="P280" s="962"/>
      <c r="Q280" s="53">
        <f t="shared" si="56"/>
        <v>1</v>
      </c>
      <c r="R280" s="493">
        <f t="shared" si="57"/>
        <v>0</v>
      </c>
      <c r="S280" s="800">
        <f t="shared" si="58"/>
        <v>0</v>
      </c>
    </row>
    <row r="281" spans="1:19">
      <c r="A281" s="964"/>
      <c r="B281" s="137"/>
      <c r="C281" s="53">
        <f t="shared" si="49"/>
        <v>1</v>
      </c>
      <c r="D281" s="962"/>
      <c r="E281" s="53">
        <f t="shared" si="50"/>
        <v>0.04</v>
      </c>
      <c r="F281" s="962"/>
      <c r="G281" s="53">
        <f t="shared" si="51"/>
        <v>0</v>
      </c>
      <c r="H281" s="962"/>
      <c r="I281" s="53">
        <f t="shared" si="52"/>
        <v>0</v>
      </c>
      <c r="J281" s="962"/>
      <c r="K281" s="53">
        <f t="shared" si="53"/>
        <v>0.03</v>
      </c>
      <c r="L281" s="962"/>
      <c r="M281" s="53">
        <f t="shared" si="54"/>
        <v>0.03</v>
      </c>
      <c r="N281" s="962"/>
      <c r="O281" s="53">
        <f t="shared" si="55"/>
        <v>7.0000000000000007E-2</v>
      </c>
      <c r="P281" s="962"/>
      <c r="Q281" s="53">
        <f t="shared" si="56"/>
        <v>1</v>
      </c>
      <c r="R281" s="493">
        <f t="shared" si="57"/>
        <v>0</v>
      </c>
      <c r="S281" s="800">
        <f t="shared" si="58"/>
        <v>0</v>
      </c>
    </row>
    <row r="282" spans="1:19">
      <c r="A282" s="964"/>
      <c r="B282" s="137"/>
      <c r="C282" s="53">
        <f t="shared" ref="C282:C345" si="59">IF(B282="",1,(LOOKUP(B282,$3:$3,$4:$4)-LOOKUP($B$24,$3:$3,$4:$4)+100)/100)</f>
        <v>1</v>
      </c>
      <c r="D282" s="962"/>
      <c r="E282" s="53">
        <f t="shared" ref="E282:E345" si="60">(SUMIF($5:$5,D282,$6:$6)-SUMIF($5:$5,$D$24,$6:$6)+100)/100</f>
        <v>0.04</v>
      </c>
      <c r="F282" s="962"/>
      <c r="G282" s="53">
        <f t="shared" ref="G282:G345" si="61">(SUMIF($7:$7,F282,$8:$8)-SUMIF($7:$7,$F$24,$8:$8)+100)/100</f>
        <v>0</v>
      </c>
      <c r="H282" s="962"/>
      <c r="I282" s="53">
        <f t="shared" ref="I282:I345" si="62">(SUMIF($9:$9,H282,$10:$10)-SUMIF($9:$9,$H$24,$10:$10)+100)/100</f>
        <v>0</v>
      </c>
      <c r="J282" s="962"/>
      <c r="K282" s="53">
        <f t="shared" ref="K282:K345" si="63">(SUMIF($11:$11,J282,$12:$12)-SUMIF($11:$11,$J$24,$12:$12)+100)/100</f>
        <v>0.03</v>
      </c>
      <c r="L282" s="962"/>
      <c r="M282" s="53">
        <f t="shared" ref="M282:M345" si="64">(SUMIF($13:$13,L282,$14:$14)-SUMIF($13:$13,$L$24,$14:$14)+100)/100</f>
        <v>0.03</v>
      </c>
      <c r="N282" s="962"/>
      <c r="O282" s="53">
        <f t="shared" ref="O282:O345" si="65">(SUMIF($15:$15,N282,$16:$16)-SUMIF($15:$15,$N$24,$16:$16)+100)/100</f>
        <v>7.0000000000000007E-2</v>
      </c>
      <c r="P282" s="962"/>
      <c r="Q282" s="53">
        <f t="shared" ref="Q282:Q345" si="66">(SUMIF($17:$17,P282,$18:$18)-SUMIF($17:$17,$P$24,$18:$18)+100)/100</f>
        <v>1</v>
      </c>
      <c r="R282" s="493">
        <f t="shared" ref="R282:R345" si="67">IF(B282="",0,ROUND($R$24*C282*E282*G282*I282*K282*M282*O282*Q282,0))</f>
        <v>0</v>
      </c>
      <c r="S282" s="800">
        <f t="shared" si="58"/>
        <v>0</v>
      </c>
    </row>
    <row r="283" spans="1:19">
      <c r="A283" s="964"/>
      <c r="B283" s="137"/>
      <c r="C283" s="53">
        <f t="shared" si="59"/>
        <v>1</v>
      </c>
      <c r="D283" s="962"/>
      <c r="E283" s="53">
        <f t="shared" si="60"/>
        <v>0.04</v>
      </c>
      <c r="F283" s="962"/>
      <c r="G283" s="53">
        <f t="shared" si="61"/>
        <v>0</v>
      </c>
      <c r="H283" s="962"/>
      <c r="I283" s="53">
        <f t="shared" si="62"/>
        <v>0</v>
      </c>
      <c r="J283" s="962"/>
      <c r="K283" s="53">
        <f t="shared" si="63"/>
        <v>0.03</v>
      </c>
      <c r="L283" s="962"/>
      <c r="M283" s="53">
        <f t="shared" si="64"/>
        <v>0.03</v>
      </c>
      <c r="N283" s="962"/>
      <c r="O283" s="53">
        <f t="shared" si="65"/>
        <v>7.0000000000000007E-2</v>
      </c>
      <c r="P283" s="962"/>
      <c r="Q283" s="53">
        <f t="shared" si="66"/>
        <v>1</v>
      </c>
      <c r="R283" s="493">
        <f t="shared" si="67"/>
        <v>0</v>
      </c>
      <c r="S283" s="800">
        <f t="shared" si="58"/>
        <v>0</v>
      </c>
    </row>
    <row r="284" spans="1:19">
      <c r="A284" s="964"/>
      <c r="B284" s="137"/>
      <c r="C284" s="53">
        <f t="shared" si="59"/>
        <v>1</v>
      </c>
      <c r="D284" s="962"/>
      <c r="E284" s="53">
        <f t="shared" si="60"/>
        <v>0.04</v>
      </c>
      <c r="F284" s="962"/>
      <c r="G284" s="53">
        <f t="shared" si="61"/>
        <v>0</v>
      </c>
      <c r="H284" s="962"/>
      <c r="I284" s="53">
        <f t="shared" si="62"/>
        <v>0</v>
      </c>
      <c r="J284" s="962"/>
      <c r="K284" s="53">
        <f t="shared" si="63"/>
        <v>0.03</v>
      </c>
      <c r="L284" s="962"/>
      <c r="M284" s="53">
        <f t="shared" si="64"/>
        <v>0.03</v>
      </c>
      <c r="N284" s="962"/>
      <c r="O284" s="53">
        <f t="shared" si="65"/>
        <v>7.0000000000000007E-2</v>
      </c>
      <c r="P284" s="962"/>
      <c r="Q284" s="53">
        <f t="shared" si="66"/>
        <v>1</v>
      </c>
      <c r="R284" s="493">
        <f t="shared" si="67"/>
        <v>0</v>
      </c>
      <c r="S284" s="800">
        <f t="shared" si="58"/>
        <v>0</v>
      </c>
    </row>
    <row r="285" spans="1:19">
      <c r="A285" s="964"/>
      <c r="B285" s="137"/>
      <c r="C285" s="53">
        <f t="shared" si="59"/>
        <v>1</v>
      </c>
      <c r="D285" s="962"/>
      <c r="E285" s="53">
        <f t="shared" si="60"/>
        <v>0.04</v>
      </c>
      <c r="F285" s="962"/>
      <c r="G285" s="53">
        <f t="shared" si="61"/>
        <v>0</v>
      </c>
      <c r="H285" s="962"/>
      <c r="I285" s="53">
        <f t="shared" si="62"/>
        <v>0</v>
      </c>
      <c r="J285" s="962"/>
      <c r="K285" s="53">
        <f t="shared" si="63"/>
        <v>0.03</v>
      </c>
      <c r="L285" s="962"/>
      <c r="M285" s="53">
        <f t="shared" si="64"/>
        <v>0.03</v>
      </c>
      <c r="N285" s="962"/>
      <c r="O285" s="53">
        <f t="shared" si="65"/>
        <v>7.0000000000000007E-2</v>
      </c>
      <c r="P285" s="962"/>
      <c r="Q285" s="53">
        <f t="shared" si="66"/>
        <v>1</v>
      </c>
      <c r="R285" s="493">
        <f t="shared" si="67"/>
        <v>0</v>
      </c>
      <c r="S285" s="800">
        <f t="shared" si="58"/>
        <v>0</v>
      </c>
    </row>
    <row r="286" spans="1:19">
      <c r="A286" s="964"/>
      <c r="B286" s="137"/>
      <c r="C286" s="53">
        <f t="shared" si="59"/>
        <v>1</v>
      </c>
      <c r="D286" s="962"/>
      <c r="E286" s="53">
        <f t="shared" si="60"/>
        <v>0.04</v>
      </c>
      <c r="F286" s="962"/>
      <c r="G286" s="53">
        <f t="shared" si="61"/>
        <v>0</v>
      </c>
      <c r="H286" s="962"/>
      <c r="I286" s="53">
        <f t="shared" si="62"/>
        <v>0</v>
      </c>
      <c r="J286" s="962"/>
      <c r="K286" s="53">
        <f t="shared" si="63"/>
        <v>0.03</v>
      </c>
      <c r="L286" s="962"/>
      <c r="M286" s="53">
        <f t="shared" si="64"/>
        <v>0.03</v>
      </c>
      <c r="N286" s="962"/>
      <c r="O286" s="53">
        <f t="shared" si="65"/>
        <v>7.0000000000000007E-2</v>
      </c>
      <c r="P286" s="962"/>
      <c r="Q286" s="53">
        <f t="shared" si="66"/>
        <v>1</v>
      </c>
      <c r="R286" s="493">
        <f t="shared" si="67"/>
        <v>0</v>
      </c>
      <c r="S286" s="800">
        <f t="shared" si="58"/>
        <v>0</v>
      </c>
    </row>
    <row r="287" spans="1:19">
      <c r="A287" s="964"/>
      <c r="B287" s="137"/>
      <c r="C287" s="53">
        <f t="shared" si="59"/>
        <v>1</v>
      </c>
      <c r="D287" s="962"/>
      <c r="E287" s="53">
        <f t="shared" si="60"/>
        <v>0.04</v>
      </c>
      <c r="F287" s="962"/>
      <c r="G287" s="53">
        <f t="shared" si="61"/>
        <v>0</v>
      </c>
      <c r="H287" s="962"/>
      <c r="I287" s="53">
        <f t="shared" si="62"/>
        <v>0</v>
      </c>
      <c r="J287" s="962"/>
      <c r="K287" s="53">
        <f t="shared" si="63"/>
        <v>0.03</v>
      </c>
      <c r="L287" s="962"/>
      <c r="M287" s="53">
        <f t="shared" si="64"/>
        <v>0.03</v>
      </c>
      <c r="N287" s="962"/>
      <c r="O287" s="53">
        <f t="shared" si="65"/>
        <v>7.0000000000000007E-2</v>
      </c>
      <c r="P287" s="962"/>
      <c r="Q287" s="53">
        <f t="shared" si="66"/>
        <v>1</v>
      </c>
      <c r="R287" s="493">
        <f t="shared" si="67"/>
        <v>0</v>
      </c>
      <c r="S287" s="800">
        <f t="shared" ref="S287:S320" si="68">ROUND(R287*B287/10000,0)</f>
        <v>0</v>
      </c>
    </row>
    <row r="288" spans="1:19">
      <c r="A288" s="964"/>
      <c r="B288" s="137"/>
      <c r="C288" s="53">
        <f t="shared" si="59"/>
        <v>1</v>
      </c>
      <c r="D288" s="962"/>
      <c r="E288" s="53">
        <f t="shared" si="60"/>
        <v>0.04</v>
      </c>
      <c r="F288" s="962"/>
      <c r="G288" s="53">
        <f t="shared" si="61"/>
        <v>0</v>
      </c>
      <c r="H288" s="962"/>
      <c r="I288" s="53">
        <f t="shared" si="62"/>
        <v>0</v>
      </c>
      <c r="J288" s="962"/>
      <c r="K288" s="53">
        <f t="shared" si="63"/>
        <v>0.03</v>
      </c>
      <c r="L288" s="962"/>
      <c r="M288" s="53">
        <f t="shared" si="64"/>
        <v>0.03</v>
      </c>
      <c r="N288" s="962"/>
      <c r="O288" s="53">
        <f t="shared" si="65"/>
        <v>7.0000000000000007E-2</v>
      </c>
      <c r="P288" s="962"/>
      <c r="Q288" s="53">
        <f t="shared" si="66"/>
        <v>1</v>
      </c>
      <c r="R288" s="493">
        <f t="shared" si="67"/>
        <v>0</v>
      </c>
      <c r="S288" s="800">
        <f t="shared" si="68"/>
        <v>0</v>
      </c>
    </row>
    <row r="289" spans="1:19">
      <c r="A289" s="964"/>
      <c r="B289" s="137"/>
      <c r="C289" s="53">
        <f t="shared" si="59"/>
        <v>1</v>
      </c>
      <c r="D289" s="962"/>
      <c r="E289" s="53">
        <f t="shared" si="60"/>
        <v>0.04</v>
      </c>
      <c r="F289" s="962"/>
      <c r="G289" s="53">
        <f t="shared" si="61"/>
        <v>0</v>
      </c>
      <c r="H289" s="962"/>
      <c r="I289" s="53">
        <f t="shared" si="62"/>
        <v>0</v>
      </c>
      <c r="J289" s="962"/>
      <c r="K289" s="53">
        <f t="shared" si="63"/>
        <v>0.03</v>
      </c>
      <c r="L289" s="962"/>
      <c r="M289" s="53">
        <f t="shared" si="64"/>
        <v>0.03</v>
      </c>
      <c r="N289" s="962"/>
      <c r="O289" s="53">
        <f t="shared" si="65"/>
        <v>7.0000000000000007E-2</v>
      </c>
      <c r="P289" s="962"/>
      <c r="Q289" s="53">
        <f t="shared" si="66"/>
        <v>1</v>
      </c>
      <c r="R289" s="493">
        <f t="shared" si="67"/>
        <v>0</v>
      </c>
      <c r="S289" s="800">
        <f t="shared" si="68"/>
        <v>0</v>
      </c>
    </row>
    <row r="290" spans="1:19">
      <c r="A290" s="964"/>
      <c r="B290" s="137"/>
      <c r="C290" s="53">
        <f t="shared" si="59"/>
        <v>1</v>
      </c>
      <c r="D290" s="962"/>
      <c r="E290" s="53">
        <f t="shared" si="60"/>
        <v>0.04</v>
      </c>
      <c r="F290" s="962"/>
      <c r="G290" s="53">
        <f t="shared" si="61"/>
        <v>0</v>
      </c>
      <c r="H290" s="962"/>
      <c r="I290" s="53">
        <f t="shared" si="62"/>
        <v>0</v>
      </c>
      <c r="J290" s="962"/>
      <c r="K290" s="53">
        <f t="shared" si="63"/>
        <v>0.03</v>
      </c>
      <c r="L290" s="962"/>
      <c r="M290" s="53">
        <f t="shared" si="64"/>
        <v>0.03</v>
      </c>
      <c r="N290" s="962"/>
      <c r="O290" s="53">
        <f t="shared" si="65"/>
        <v>7.0000000000000007E-2</v>
      </c>
      <c r="P290" s="962"/>
      <c r="Q290" s="53">
        <f t="shared" si="66"/>
        <v>1</v>
      </c>
      <c r="R290" s="493">
        <f t="shared" si="67"/>
        <v>0</v>
      </c>
      <c r="S290" s="800">
        <f t="shared" si="68"/>
        <v>0</v>
      </c>
    </row>
    <row r="291" spans="1:19">
      <c r="A291" s="964"/>
      <c r="B291" s="137"/>
      <c r="C291" s="53">
        <f t="shared" si="59"/>
        <v>1</v>
      </c>
      <c r="D291" s="962"/>
      <c r="E291" s="53">
        <f t="shared" si="60"/>
        <v>0.04</v>
      </c>
      <c r="F291" s="962"/>
      <c r="G291" s="53">
        <f t="shared" si="61"/>
        <v>0</v>
      </c>
      <c r="H291" s="962"/>
      <c r="I291" s="53">
        <f t="shared" si="62"/>
        <v>0</v>
      </c>
      <c r="J291" s="962"/>
      <c r="K291" s="53">
        <f t="shared" si="63"/>
        <v>0.03</v>
      </c>
      <c r="L291" s="962"/>
      <c r="M291" s="53">
        <f t="shared" si="64"/>
        <v>0.03</v>
      </c>
      <c r="N291" s="962"/>
      <c r="O291" s="53">
        <f t="shared" si="65"/>
        <v>7.0000000000000007E-2</v>
      </c>
      <c r="P291" s="962"/>
      <c r="Q291" s="53">
        <f t="shared" si="66"/>
        <v>1</v>
      </c>
      <c r="R291" s="493">
        <f t="shared" si="67"/>
        <v>0</v>
      </c>
      <c r="S291" s="800">
        <f t="shared" si="68"/>
        <v>0</v>
      </c>
    </row>
    <row r="292" spans="1:19">
      <c r="A292" s="964"/>
      <c r="B292" s="137"/>
      <c r="C292" s="53">
        <f t="shared" si="59"/>
        <v>1</v>
      </c>
      <c r="D292" s="962"/>
      <c r="E292" s="53">
        <f t="shared" si="60"/>
        <v>0.04</v>
      </c>
      <c r="F292" s="962"/>
      <c r="G292" s="53">
        <f t="shared" si="61"/>
        <v>0</v>
      </c>
      <c r="H292" s="962"/>
      <c r="I292" s="53">
        <f t="shared" si="62"/>
        <v>0</v>
      </c>
      <c r="J292" s="962"/>
      <c r="K292" s="53">
        <f t="shared" si="63"/>
        <v>0.03</v>
      </c>
      <c r="L292" s="962"/>
      <c r="M292" s="53">
        <f t="shared" si="64"/>
        <v>0.03</v>
      </c>
      <c r="N292" s="962"/>
      <c r="O292" s="53">
        <f t="shared" si="65"/>
        <v>7.0000000000000007E-2</v>
      </c>
      <c r="P292" s="962"/>
      <c r="Q292" s="53">
        <f t="shared" si="66"/>
        <v>1</v>
      </c>
      <c r="R292" s="493">
        <f t="shared" si="67"/>
        <v>0</v>
      </c>
      <c r="S292" s="800">
        <f t="shared" si="68"/>
        <v>0</v>
      </c>
    </row>
    <row r="293" spans="1:19">
      <c r="A293" s="964"/>
      <c r="B293" s="137"/>
      <c r="C293" s="53">
        <f t="shared" si="59"/>
        <v>1</v>
      </c>
      <c r="D293" s="962"/>
      <c r="E293" s="53">
        <f t="shared" si="60"/>
        <v>0.04</v>
      </c>
      <c r="F293" s="962"/>
      <c r="G293" s="53">
        <f t="shared" si="61"/>
        <v>0</v>
      </c>
      <c r="H293" s="962"/>
      <c r="I293" s="53">
        <f t="shared" si="62"/>
        <v>0</v>
      </c>
      <c r="J293" s="962"/>
      <c r="K293" s="53">
        <f t="shared" si="63"/>
        <v>0.03</v>
      </c>
      <c r="L293" s="962"/>
      <c r="M293" s="53">
        <f t="shared" si="64"/>
        <v>0.03</v>
      </c>
      <c r="N293" s="962"/>
      <c r="O293" s="53">
        <f t="shared" si="65"/>
        <v>7.0000000000000007E-2</v>
      </c>
      <c r="P293" s="962"/>
      <c r="Q293" s="53">
        <f t="shared" si="66"/>
        <v>1</v>
      </c>
      <c r="R293" s="493">
        <f t="shared" si="67"/>
        <v>0</v>
      </c>
      <c r="S293" s="800">
        <f t="shared" si="68"/>
        <v>0</v>
      </c>
    </row>
    <row r="294" spans="1:19">
      <c r="A294" s="964"/>
      <c r="B294" s="137"/>
      <c r="C294" s="53">
        <f t="shared" si="59"/>
        <v>1</v>
      </c>
      <c r="D294" s="962"/>
      <c r="E294" s="53">
        <f t="shared" si="60"/>
        <v>0.04</v>
      </c>
      <c r="F294" s="962"/>
      <c r="G294" s="53">
        <f t="shared" si="61"/>
        <v>0</v>
      </c>
      <c r="H294" s="962"/>
      <c r="I294" s="53">
        <f t="shared" si="62"/>
        <v>0</v>
      </c>
      <c r="J294" s="962"/>
      <c r="K294" s="53">
        <f t="shared" si="63"/>
        <v>0.03</v>
      </c>
      <c r="L294" s="962"/>
      <c r="M294" s="53">
        <f t="shared" si="64"/>
        <v>0.03</v>
      </c>
      <c r="N294" s="962"/>
      <c r="O294" s="53">
        <f t="shared" si="65"/>
        <v>7.0000000000000007E-2</v>
      </c>
      <c r="P294" s="962"/>
      <c r="Q294" s="53">
        <f t="shared" si="66"/>
        <v>1</v>
      </c>
      <c r="R294" s="493">
        <f t="shared" si="67"/>
        <v>0</v>
      </c>
      <c r="S294" s="800">
        <f t="shared" si="68"/>
        <v>0</v>
      </c>
    </row>
    <row r="295" spans="1:19">
      <c r="A295" s="964"/>
      <c r="B295" s="137"/>
      <c r="C295" s="53">
        <f t="shared" si="59"/>
        <v>1</v>
      </c>
      <c r="D295" s="962"/>
      <c r="E295" s="53">
        <f t="shared" si="60"/>
        <v>0.04</v>
      </c>
      <c r="F295" s="962"/>
      <c r="G295" s="53">
        <f t="shared" si="61"/>
        <v>0</v>
      </c>
      <c r="H295" s="962"/>
      <c r="I295" s="53">
        <f t="shared" si="62"/>
        <v>0</v>
      </c>
      <c r="J295" s="962"/>
      <c r="K295" s="53">
        <f t="shared" si="63"/>
        <v>0.03</v>
      </c>
      <c r="L295" s="962"/>
      <c r="M295" s="53">
        <f t="shared" si="64"/>
        <v>0.03</v>
      </c>
      <c r="N295" s="962"/>
      <c r="O295" s="53">
        <f t="shared" si="65"/>
        <v>7.0000000000000007E-2</v>
      </c>
      <c r="P295" s="962"/>
      <c r="Q295" s="53">
        <f t="shared" si="66"/>
        <v>1</v>
      </c>
      <c r="R295" s="493">
        <f t="shared" si="67"/>
        <v>0</v>
      </c>
      <c r="S295" s="800">
        <f t="shared" si="68"/>
        <v>0</v>
      </c>
    </row>
    <row r="296" spans="1:19">
      <c r="A296" s="964"/>
      <c r="B296" s="137"/>
      <c r="C296" s="53">
        <f t="shared" si="59"/>
        <v>1</v>
      </c>
      <c r="D296" s="962"/>
      <c r="E296" s="53">
        <f t="shared" si="60"/>
        <v>0.04</v>
      </c>
      <c r="F296" s="962"/>
      <c r="G296" s="53">
        <f t="shared" si="61"/>
        <v>0</v>
      </c>
      <c r="H296" s="962"/>
      <c r="I296" s="53">
        <f t="shared" si="62"/>
        <v>0</v>
      </c>
      <c r="J296" s="962"/>
      <c r="K296" s="53">
        <f t="shared" si="63"/>
        <v>0.03</v>
      </c>
      <c r="L296" s="962"/>
      <c r="M296" s="53">
        <f t="shared" si="64"/>
        <v>0.03</v>
      </c>
      <c r="N296" s="962"/>
      <c r="O296" s="53">
        <f t="shared" si="65"/>
        <v>7.0000000000000007E-2</v>
      </c>
      <c r="P296" s="962"/>
      <c r="Q296" s="53">
        <f t="shared" si="66"/>
        <v>1</v>
      </c>
      <c r="R296" s="493">
        <f t="shared" si="67"/>
        <v>0</v>
      </c>
      <c r="S296" s="800">
        <f t="shared" si="68"/>
        <v>0</v>
      </c>
    </row>
    <row r="297" spans="1:19">
      <c r="A297" s="964"/>
      <c r="B297" s="137"/>
      <c r="C297" s="53">
        <f t="shared" si="59"/>
        <v>1</v>
      </c>
      <c r="D297" s="962"/>
      <c r="E297" s="53">
        <f t="shared" si="60"/>
        <v>0.04</v>
      </c>
      <c r="F297" s="962"/>
      <c r="G297" s="53">
        <f t="shared" si="61"/>
        <v>0</v>
      </c>
      <c r="H297" s="962"/>
      <c r="I297" s="53">
        <f t="shared" si="62"/>
        <v>0</v>
      </c>
      <c r="J297" s="962"/>
      <c r="K297" s="53">
        <f t="shared" si="63"/>
        <v>0.03</v>
      </c>
      <c r="L297" s="962"/>
      <c r="M297" s="53">
        <f t="shared" si="64"/>
        <v>0.03</v>
      </c>
      <c r="N297" s="962"/>
      <c r="O297" s="53">
        <f t="shared" si="65"/>
        <v>7.0000000000000007E-2</v>
      </c>
      <c r="P297" s="962"/>
      <c r="Q297" s="53">
        <f t="shared" si="66"/>
        <v>1</v>
      </c>
      <c r="R297" s="493">
        <f t="shared" si="67"/>
        <v>0</v>
      </c>
      <c r="S297" s="800">
        <f t="shared" si="68"/>
        <v>0</v>
      </c>
    </row>
    <row r="298" spans="1:19">
      <c r="A298" s="964"/>
      <c r="B298" s="137"/>
      <c r="C298" s="53">
        <f t="shared" si="59"/>
        <v>1</v>
      </c>
      <c r="D298" s="962"/>
      <c r="E298" s="53">
        <f t="shared" si="60"/>
        <v>0.04</v>
      </c>
      <c r="F298" s="962"/>
      <c r="G298" s="53">
        <f t="shared" si="61"/>
        <v>0</v>
      </c>
      <c r="H298" s="962"/>
      <c r="I298" s="53">
        <f t="shared" si="62"/>
        <v>0</v>
      </c>
      <c r="J298" s="962"/>
      <c r="K298" s="53">
        <f t="shared" si="63"/>
        <v>0.03</v>
      </c>
      <c r="L298" s="962"/>
      <c r="M298" s="53">
        <f t="shared" si="64"/>
        <v>0.03</v>
      </c>
      <c r="N298" s="962"/>
      <c r="O298" s="53">
        <f t="shared" si="65"/>
        <v>7.0000000000000007E-2</v>
      </c>
      <c r="P298" s="962"/>
      <c r="Q298" s="53">
        <f t="shared" si="66"/>
        <v>1</v>
      </c>
      <c r="R298" s="493">
        <f t="shared" si="67"/>
        <v>0</v>
      </c>
      <c r="S298" s="800">
        <f t="shared" si="68"/>
        <v>0</v>
      </c>
    </row>
    <row r="299" spans="1:19">
      <c r="A299" s="964"/>
      <c r="B299" s="137"/>
      <c r="C299" s="53">
        <f t="shared" si="59"/>
        <v>1</v>
      </c>
      <c r="D299" s="962"/>
      <c r="E299" s="53">
        <f t="shared" si="60"/>
        <v>0.04</v>
      </c>
      <c r="F299" s="962"/>
      <c r="G299" s="53">
        <f t="shared" si="61"/>
        <v>0</v>
      </c>
      <c r="H299" s="962"/>
      <c r="I299" s="53">
        <f t="shared" si="62"/>
        <v>0</v>
      </c>
      <c r="J299" s="962"/>
      <c r="K299" s="53">
        <f t="shared" si="63"/>
        <v>0.03</v>
      </c>
      <c r="L299" s="962"/>
      <c r="M299" s="53">
        <f t="shared" si="64"/>
        <v>0.03</v>
      </c>
      <c r="N299" s="962"/>
      <c r="O299" s="53">
        <f t="shared" si="65"/>
        <v>7.0000000000000007E-2</v>
      </c>
      <c r="P299" s="962"/>
      <c r="Q299" s="53">
        <f t="shared" si="66"/>
        <v>1</v>
      </c>
      <c r="R299" s="493">
        <f t="shared" si="67"/>
        <v>0</v>
      </c>
      <c r="S299" s="800">
        <f t="shared" si="68"/>
        <v>0</v>
      </c>
    </row>
    <row r="300" spans="1:19">
      <c r="A300" s="964"/>
      <c r="B300" s="137"/>
      <c r="C300" s="53">
        <f t="shared" si="59"/>
        <v>1</v>
      </c>
      <c r="D300" s="962"/>
      <c r="E300" s="53">
        <f t="shared" si="60"/>
        <v>0.04</v>
      </c>
      <c r="F300" s="962"/>
      <c r="G300" s="53">
        <f t="shared" si="61"/>
        <v>0</v>
      </c>
      <c r="H300" s="962"/>
      <c r="I300" s="53">
        <f t="shared" si="62"/>
        <v>0</v>
      </c>
      <c r="J300" s="962"/>
      <c r="K300" s="53">
        <f t="shared" si="63"/>
        <v>0.03</v>
      </c>
      <c r="L300" s="962"/>
      <c r="M300" s="53">
        <f t="shared" si="64"/>
        <v>0.03</v>
      </c>
      <c r="N300" s="962"/>
      <c r="O300" s="53">
        <f t="shared" si="65"/>
        <v>7.0000000000000007E-2</v>
      </c>
      <c r="P300" s="962"/>
      <c r="Q300" s="53">
        <f t="shared" si="66"/>
        <v>1</v>
      </c>
      <c r="R300" s="493">
        <f t="shared" si="67"/>
        <v>0</v>
      </c>
      <c r="S300" s="800">
        <f t="shared" si="68"/>
        <v>0</v>
      </c>
    </row>
    <row r="301" spans="1:19">
      <c r="A301" s="964"/>
      <c r="B301" s="137"/>
      <c r="C301" s="53">
        <f t="shared" si="59"/>
        <v>1</v>
      </c>
      <c r="D301" s="962"/>
      <c r="E301" s="53">
        <f t="shared" si="60"/>
        <v>0.04</v>
      </c>
      <c r="F301" s="962"/>
      <c r="G301" s="53">
        <f t="shared" si="61"/>
        <v>0</v>
      </c>
      <c r="H301" s="962"/>
      <c r="I301" s="53">
        <f t="shared" si="62"/>
        <v>0</v>
      </c>
      <c r="J301" s="962"/>
      <c r="K301" s="53">
        <f t="shared" si="63"/>
        <v>0.03</v>
      </c>
      <c r="L301" s="962"/>
      <c r="M301" s="53">
        <f t="shared" si="64"/>
        <v>0.03</v>
      </c>
      <c r="N301" s="962"/>
      <c r="O301" s="53">
        <f t="shared" si="65"/>
        <v>7.0000000000000007E-2</v>
      </c>
      <c r="P301" s="962"/>
      <c r="Q301" s="53">
        <f t="shared" si="66"/>
        <v>1</v>
      </c>
      <c r="R301" s="493">
        <f t="shared" si="67"/>
        <v>0</v>
      </c>
      <c r="S301" s="800">
        <f t="shared" si="68"/>
        <v>0</v>
      </c>
    </row>
    <row r="302" spans="1:19">
      <c r="A302" s="964"/>
      <c r="B302" s="137"/>
      <c r="C302" s="53">
        <f t="shared" si="59"/>
        <v>1</v>
      </c>
      <c r="D302" s="962"/>
      <c r="E302" s="53">
        <f t="shared" si="60"/>
        <v>0.04</v>
      </c>
      <c r="F302" s="962"/>
      <c r="G302" s="53">
        <f t="shared" si="61"/>
        <v>0</v>
      </c>
      <c r="H302" s="962"/>
      <c r="I302" s="53">
        <f t="shared" si="62"/>
        <v>0</v>
      </c>
      <c r="J302" s="962"/>
      <c r="K302" s="53">
        <f t="shared" si="63"/>
        <v>0.03</v>
      </c>
      <c r="L302" s="962"/>
      <c r="M302" s="53">
        <f t="shared" si="64"/>
        <v>0.03</v>
      </c>
      <c r="N302" s="962"/>
      <c r="O302" s="53">
        <f t="shared" si="65"/>
        <v>7.0000000000000007E-2</v>
      </c>
      <c r="P302" s="962"/>
      <c r="Q302" s="53">
        <f t="shared" si="66"/>
        <v>1</v>
      </c>
      <c r="R302" s="493">
        <f t="shared" si="67"/>
        <v>0</v>
      </c>
      <c r="S302" s="800">
        <f t="shared" si="68"/>
        <v>0</v>
      </c>
    </row>
    <row r="303" spans="1:19">
      <c r="A303" s="964"/>
      <c r="B303" s="137"/>
      <c r="C303" s="53">
        <f t="shared" si="59"/>
        <v>1</v>
      </c>
      <c r="D303" s="962"/>
      <c r="E303" s="53">
        <f t="shared" si="60"/>
        <v>0.04</v>
      </c>
      <c r="F303" s="962"/>
      <c r="G303" s="53">
        <f t="shared" si="61"/>
        <v>0</v>
      </c>
      <c r="H303" s="962"/>
      <c r="I303" s="53">
        <f t="shared" si="62"/>
        <v>0</v>
      </c>
      <c r="J303" s="962"/>
      <c r="K303" s="53">
        <f t="shared" si="63"/>
        <v>0.03</v>
      </c>
      <c r="L303" s="962"/>
      <c r="M303" s="53">
        <f t="shared" si="64"/>
        <v>0.03</v>
      </c>
      <c r="N303" s="962"/>
      <c r="O303" s="53">
        <f t="shared" si="65"/>
        <v>7.0000000000000007E-2</v>
      </c>
      <c r="P303" s="962"/>
      <c r="Q303" s="53">
        <f t="shared" si="66"/>
        <v>1</v>
      </c>
      <c r="R303" s="493">
        <f t="shared" si="67"/>
        <v>0</v>
      </c>
      <c r="S303" s="800">
        <f t="shared" si="68"/>
        <v>0</v>
      </c>
    </row>
    <row r="304" spans="1:19">
      <c r="A304" s="964"/>
      <c r="B304" s="137"/>
      <c r="C304" s="53">
        <f t="shared" si="59"/>
        <v>1</v>
      </c>
      <c r="D304" s="962"/>
      <c r="E304" s="53">
        <f t="shared" si="60"/>
        <v>0.04</v>
      </c>
      <c r="F304" s="962"/>
      <c r="G304" s="53">
        <f t="shared" si="61"/>
        <v>0</v>
      </c>
      <c r="H304" s="962"/>
      <c r="I304" s="53">
        <f t="shared" si="62"/>
        <v>0</v>
      </c>
      <c r="J304" s="962"/>
      <c r="K304" s="53">
        <f t="shared" si="63"/>
        <v>0.03</v>
      </c>
      <c r="L304" s="962"/>
      <c r="M304" s="53">
        <f t="shared" si="64"/>
        <v>0.03</v>
      </c>
      <c r="N304" s="962"/>
      <c r="O304" s="53">
        <f t="shared" si="65"/>
        <v>7.0000000000000007E-2</v>
      </c>
      <c r="P304" s="962"/>
      <c r="Q304" s="53">
        <f t="shared" si="66"/>
        <v>1</v>
      </c>
      <c r="R304" s="493">
        <f t="shared" si="67"/>
        <v>0</v>
      </c>
      <c r="S304" s="800">
        <f t="shared" si="68"/>
        <v>0</v>
      </c>
    </row>
    <row r="305" spans="1:19">
      <c r="A305" s="964"/>
      <c r="B305" s="137"/>
      <c r="C305" s="53">
        <f t="shared" si="59"/>
        <v>1</v>
      </c>
      <c r="D305" s="962"/>
      <c r="E305" s="53">
        <f t="shared" si="60"/>
        <v>0.04</v>
      </c>
      <c r="F305" s="962"/>
      <c r="G305" s="53">
        <f t="shared" si="61"/>
        <v>0</v>
      </c>
      <c r="H305" s="962"/>
      <c r="I305" s="53">
        <f t="shared" si="62"/>
        <v>0</v>
      </c>
      <c r="J305" s="962"/>
      <c r="K305" s="53">
        <f t="shared" si="63"/>
        <v>0.03</v>
      </c>
      <c r="L305" s="962"/>
      <c r="M305" s="53">
        <f t="shared" si="64"/>
        <v>0.03</v>
      </c>
      <c r="N305" s="962"/>
      <c r="O305" s="53">
        <f t="shared" si="65"/>
        <v>7.0000000000000007E-2</v>
      </c>
      <c r="P305" s="962"/>
      <c r="Q305" s="53">
        <f t="shared" si="66"/>
        <v>1</v>
      </c>
      <c r="R305" s="493">
        <f t="shared" si="67"/>
        <v>0</v>
      </c>
      <c r="S305" s="800">
        <f t="shared" si="68"/>
        <v>0</v>
      </c>
    </row>
    <row r="306" spans="1:19">
      <c r="A306" s="964"/>
      <c r="B306" s="137"/>
      <c r="C306" s="53">
        <f t="shared" si="59"/>
        <v>1</v>
      </c>
      <c r="D306" s="962"/>
      <c r="E306" s="53">
        <f t="shared" si="60"/>
        <v>0.04</v>
      </c>
      <c r="F306" s="962"/>
      <c r="G306" s="53">
        <f t="shared" si="61"/>
        <v>0</v>
      </c>
      <c r="H306" s="962"/>
      <c r="I306" s="53">
        <f t="shared" si="62"/>
        <v>0</v>
      </c>
      <c r="J306" s="962"/>
      <c r="K306" s="53">
        <f t="shared" si="63"/>
        <v>0.03</v>
      </c>
      <c r="L306" s="962"/>
      <c r="M306" s="53">
        <f t="shared" si="64"/>
        <v>0.03</v>
      </c>
      <c r="N306" s="962"/>
      <c r="O306" s="53">
        <f t="shared" si="65"/>
        <v>7.0000000000000007E-2</v>
      </c>
      <c r="P306" s="962"/>
      <c r="Q306" s="53">
        <f t="shared" si="66"/>
        <v>1</v>
      </c>
      <c r="R306" s="493">
        <f t="shared" si="67"/>
        <v>0</v>
      </c>
      <c r="S306" s="800">
        <f t="shared" si="68"/>
        <v>0</v>
      </c>
    </row>
    <row r="307" spans="1:19">
      <c r="A307" s="964"/>
      <c r="B307" s="137"/>
      <c r="C307" s="53">
        <f t="shared" si="59"/>
        <v>1</v>
      </c>
      <c r="D307" s="962"/>
      <c r="E307" s="53">
        <f t="shared" si="60"/>
        <v>0.04</v>
      </c>
      <c r="F307" s="962"/>
      <c r="G307" s="53">
        <f t="shared" si="61"/>
        <v>0</v>
      </c>
      <c r="H307" s="962"/>
      <c r="I307" s="53">
        <f t="shared" si="62"/>
        <v>0</v>
      </c>
      <c r="J307" s="962"/>
      <c r="K307" s="53">
        <f t="shared" si="63"/>
        <v>0.03</v>
      </c>
      <c r="L307" s="962"/>
      <c r="M307" s="53">
        <f t="shared" si="64"/>
        <v>0.03</v>
      </c>
      <c r="N307" s="962"/>
      <c r="O307" s="53">
        <f t="shared" si="65"/>
        <v>7.0000000000000007E-2</v>
      </c>
      <c r="P307" s="962"/>
      <c r="Q307" s="53">
        <f t="shared" si="66"/>
        <v>1</v>
      </c>
      <c r="R307" s="493">
        <f t="shared" si="67"/>
        <v>0</v>
      </c>
      <c r="S307" s="800">
        <f t="shared" si="68"/>
        <v>0</v>
      </c>
    </row>
    <row r="308" spans="1:19">
      <c r="A308" s="964"/>
      <c r="B308" s="137"/>
      <c r="C308" s="53">
        <f t="shared" si="59"/>
        <v>1</v>
      </c>
      <c r="D308" s="962"/>
      <c r="E308" s="53">
        <f t="shared" si="60"/>
        <v>0.04</v>
      </c>
      <c r="F308" s="962"/>
      <c r="G308" s="53">
        <f t="shared" si="61"/>
        <v>0</v>
      </c>
      <c r="H308" s="962"/>
      <c r="I308" s="53">
        <f t="shared" si="62"/>
        <v>0</v>
      </c>
      <c r="J308" s="962"/>
      <c r="K308" s="53">
        <f t="shared" si="63"/>
        <v>0.03</v>
      </c>
      <c r="L308" s="962"/>
      <c r="M308" s="53">
        <f t="shared" si="64"/>
        <v>0.03</v>
      </c>
      <c r="N308" s="962"/>
      <c r="O308" s="53">
        <f t="shared" si="65"/>
        <v>7.0000000000000007E-2</v>
      </c>
      <c r="P308" s="962"/>
      <c r="Q308" s="53">
        <f t="shared" si="66"/>
        <v>1</v>
      </c>
      <c r="R308" s="493">
        <f t="shared" si="67"/>
        <v>0</v>
      </c>
      <c r="S308" s="800">
        <f t="shared" si="68"/>
        <v>0</v>
      </c>
    </row>
    <row r="309" spans="1:19">
      <c r="A309" s="964"/>
      <c r="B309" s="137"/>
      <c r="C309" s="53">
        <f t="shared" si="59"/>
        <v>1</v>
      </c>
      <c r="D309" s="962"/>
      <c r="E309" s="53">
        <f t="shared" si="60"/>
        <v>0.04</v>
      </c>
      <c r="F309" s="962"/>
      <c r="G309" s="53">
        <f t="shared" si="61"/>
        <v>0</v>
      </c>
      <c r="H309" s="962"/>
      <c r="I309" s="53">
        <f t="shared" si="62"/>
        <v>0</v>
      </c>
      <c r="J309" s="962"/>
      <c r="K309" s="53">
        <f t="shared" si="63"/>
        <v>0.03</v>
      </c>
      <c r="L309" s="962"/>
      <c r="M309" s="53">
        <f t="shared" si="64"/>
        <v>0.03</v>
      </c>
      <c r="N309" s="962"/>
      <c r="O309" s="53">
        <f t="shared" si="65"/>
        <v>7.0000000000000007E-2</v>
      </c>
      <c r="P309" s="962"/>
      <c r="Q309" s="53">
        <f t="shared" si="66"/>
        <v>1</v>
      </c>
      <c r="R309" s="493">
        <f t="shared" si="67"/>
        <v>0</v>
      </c>
      <c r="S309" s="800">
        <f t="shared" si="68"/>
        <v>0</v>
      </c>
    </row>
    <row r="310" spans="1:19">
      <c r="A310" s="964"/>
      <c r="B310" s="137"/>
      <c r="C310" s="53">
        <f t="shared" si="59"/>
        <v>1</v>
      </c>
      <c r="D310" s="962"/>
      <c r="E310" s="53">
        <f t="shared" si="60"/>
        <v>0.04</v>
      </c>
      <c r="F310" s="962"/>
      <c r="G310" s="53">
        <f t="shared" si="61"/>
        <v>0</v>
      </c>
      <c r="H310" s="962"/>
      <c r="I310" s="53">
        <f t="shared" si="62"/>
        <v>0</v>
      </c>
      <c r="J310" s="962"/>
      <c r="K310" s="53">
        <f t="shared" si="63"/>
        <v>0.03</v>
      </c>
      <c r="L310" s="962"/>
      <c r="M310" s="53">
        <f t="shared" si="64"/>
        <v>0.03</v>
      </c>
      <c r="N310" s="962"/>
      <c r="O310" s="53">
        <f t="shared" si="65"/>
        <v>7.0000000000000007E-2</v>
      </c>
      <c r="P310" s="962"/>
      <c r="Q310" s="53">
        <f t="shared" si="66"/>
        <v>1</v>
      </c>
      <c r="R310" s="493">
        <f t="shared" si="67"/>
        <v>0</v>
      </c>
      <c r="S310" s="800">
        <f t="shared" si="68"/>
        <v>0</v>
      </c>
    </row>
    <row r="311" spans="1:19">
      <c r="A311" s="964"/>
      <c r="B311" s="137"/>
      <c r="C311" s="53">
        <f t="shared" si="59"/>
        <v>1</v>
      </c>
      <c r="D311" s="962"/>
      <c r="E311" s="53">
        <f t="shared" si="60"/>
        <v>0.04</v>
      </c>
      <c r="F311" s="962"/>
      <c r="G311" s="53">
        <f t="shared" si="61"/>
        <v>0</v>
      </c>
      <c r="H311" s="962"/>
      <c r="I311" s="53">
        <f t="shared" si="62"/>
        <v>0</v>
      </c>
      <c r="J311" s="962"/>
      <c r="K311" s="53">
        <f t="shared" si="63"/>
        <v>0.03</v>
      </c>
      <c r="L311" s="962"/>
      <c r="M311" s="53">
        <f t="shared" si="64"/>
        <v>0.03</v>
      </c>
      <c r="N311" s="962"/>
      <c r="O311" s="53">
        <f t="shared" si="65"/>
        <v>7.0000000000000007E-2</v>
      </c>
      <c r="P311" s="962"/>
      <c r="Q311" s="53">
        <f t="shared" si="66"/>
        <v>1</v>
      </c>
      <c r="R311" s="493">
        <f t="shared" si="67"/>
        <v>0</v>
      </c>
      <c r="S311" s="800">
        <f t="shared" si="68"/>
        <v>0</v>
      </c>
    </row>
    <row r="312" spans="1:19">
      <c r="A312" s="964"/>
      <c r="B312" s="137"/>
      <c r="C312" s="53">
        <f t="shared" si="59"/>
        <v>1</v>
      </c>
      <c r="D312" s="962"/>
      <c r="E312" s="53">
        <f t="shared" si="60"/>
        <v>0.04</v>
      </c>
      <c r="F312" s="962"/>
      <c r="G312" s="53">
        <f t="shared" si="61"/>
        <v>0</v>
      </c>
      <c r="H312" s="962"/>
      <c r="I312" s="53">
        <f t="shared" si="62"/>
        <v>0</v>
      </c>
      <c r="J312" s="962"/>
      <c r="K312" s="53">
        <f t="shared" si="63"/>
        <v>0.03</v>
      </c>
      <c r="L312" s="962"/>
      <c r="M312" s="53">
        <f t="shared" si="64"/>
        <v>0.03</v>
      </c>
      <c r="N312" s="962"/>
      <c r="O312" s="53">
        <f t="shared" si="65"/>
        <v>7.0000000000000007E-2</v>
      </c>
      <c r="P312" s="962"/>
      <c r="Q312" s="53">
        <f t="shared" si="66"/>
        <v>1</v>
      </c>
      <c r="R312" s="493">
        <f t="shared" si="67"/>
        <v>0</v>
      </c>
      <c r="S312" s="800">
        <f t="shared" si="68"/>
        <v>0</v>
      </c>
    </row>
    <row r="313" spans="1:19">
      <c r="A313" s="964"/>
      <c r="B313" s="137"/>
      <c r="C313" s="53">
        <f t="shared" si="59"/>
        <v>1</v>
      </c>
      <c r="D313" s="962"/>
      <c r="E313" s="53">
        <f t="shared" si="60"/>
        <v>0.04</v>
      </c>
      <c r="F313" s="962"/>
      <c r="G313" s="53">
        <f t="shared" si="61"/>
        <v>0</v>
      </c>
      <c r="H313" s="962"/>
      <c r="I313" s="53">
        <f t="shared" si="62"/>
        <v>0</v>
      </c>
      <c r="J313" s="962"/>
      <c r="K313" s="53">
        <f t="shared" si="63"/>
        <v>0.03</v>
      </c>
      <c r="L313" s="962"/>
      <c r="M313" s="53">
        <f t="shared" si="64"/>
        <v>0.03</v>
      </c>
      <c r="N313" s="962"/>
      <c r="O313" s="53">
        <f t="shared" si="65"/>
        <v>7.0000000000000007E-2</v>
      </c>
      <c r="P313" s="962"/>
      <c r="Q313" s="53">
        <f t="shared" si="66"/>
        <v>1</v>
      </c>
      <c r="R313" s="493">
        <f t="shared" si="67"/>
        <v>0</v>
      </c>
      <c r="S313" s="800">
        <f t="shared" si="68"/>
        <v>0</v>
      </c>
    </row>
    <row r="314" spans="1:19">
      <c r="A314" s="964"/>
      <c r="B314" s="137"/>
      <c r="C314" s="53">
        <f t="shared" si="59"/>
        <v>1</v>
      </c>
      <c r="D314" s="962"/>
      <c r="E314" s="53">
        <f t="shared" si="60"/>
        <v>0.04</v>
      </c>
      <c r="F314" s="962"/>
      <c r="G314" s="53">
        <f t="shared" si="61"/>
        <v>0</v>
      </c>
      <c r="H314" s="962"/>
      <c r="I314" s="53">
        <f t="shared" si="62"/>
        <v>0</v>
      </c>
      <c r="J314" s="962"/>
      <c r="K314" s="53">
        <f t="shared" si="63"/>
        <v>0.03</v>
      </c>
      <c r="L314" s="962"/>
      <c r="M314" s="53">
        <f t="shared" si="64"/>
        <v>0.03</v>
      </c>
      <c r="N314" s="962"/>
      <c r="O314" s="53">
        <f t="shared" si="65"/>
        <v>7.0000000000000007E-2</v>
      </c>
      <c r="P314" s="962"/>
      <c r="Q314" s="53">
        <f t="shared" si="66"/>
        <v>1</v>
      </c>
      <c r="R314" s="493">
        <f t="shared" si="67"/>
        <v>0</v>
      </c>
      <c r="S314" s="800">
        <f t="shared" si="68"/>
        <v>0</v>
      </c>
    </row>
    <row r="315" spans="1:19">
      <c r="A315" s="964"/>
      <c r="B315" s="137"/>
      <c r="C315" s="53">
        <f t="shared" si="59"/>
        <v>1</v>
      </c>
      <c r="D315" s="962"/>
      <c r="E315" s="53">
        <f t="shared" si="60"/>
        <v>0.04</v>
      </c>
      <c r="F315" s="962"/>
      <c r="G315" s="53">
        <f t="shared" si="61"/>
        <v>0</v>
      </c>
      <c r="H315" s="962"/>
      <c r="I315" s="53">
        <f t="shared" si="62"/>
        <v>0</v>
      </c>
      <c r="J315" s="962"/>
      <c r="K315" s="53">
        <f t="shared" si="63"/>
        <v>0.03</v>
      </c>
      <c r="L315" s="962"/>
      <c r="M315" s="53">
        <f t="shared" si="64"/>
        <v>0.03</v>
      </c>
      <c r="N315" s="962"/>
      <c r="O315" s="53">
        <f t="shared" si="65"/>
        <v>7.0000000000000007E-2</v>
      </c>
      <c r="P315" s="962"/>
      <c r="Q315" s="53">
        <f t="shared" si="66"/>
        <v>1</v>
      </c>
      <c r="R315" s="493">
        <f t="shared" si="67"/>
        <v>0</v>
      </c>
      <c r="S315" s="800">
        <f t="shared" si="68"/>
        <v>0</v>
      </c>
    </row>
    <row r="316" spans="1:19">
      <c r="A316" s="964"/>
      <c r="B316" s="137"/>
      <c r="C316" s="53">
        <f t="shared" si="59"/>
        <v>1</v>
      </c>
      <c r="D316" s="962"/>
      <c r="E316" s="53">
        <f t="shared" si="60"/>
        <v>0.04</v>
      </c>
      <c r="F316" s="962"/>
      <c r="G316" s="53">
        <f t="shared" si="61"/>
        <v>0</v>
      </c>
      <c r="H316" s="962"/>
      <c r="I316" s="53">
        <f t="shared" si="62"/>
        <v>0</v>
      </c>
      <c r="J316" s="962"/>
      <c r="K316" s="53">
        <f t="shared" si="63"/>
        <v>0.03</v>
      </c>
      <c r="L316" s="962"/>
      <c r="M316" s="53">
        <f t="shared" si="64"/>
        <v>0.03</v>
      </c>
      <c r="N316" s="962"/>
      <c r="O316" s="53">
        <f t="shared" si="65"/>
        <v>7.0000000000000007E-2</v>
      </c>
      <c r="P316" s="962"/>
      <c r="Q316" s="53">
        <f t="shared" si="66"/>
        <v>1</v>
      </c>
      <c r="R316" s="493">
        <f t="shared" si="67"/>
        <v>0</v>
      </c>
      <c r="S316" s="800">
        <f t="shared" si="68"/>
        <v>0</v>
      </c>
    </row>
    <row r="317" spans="1:19">
      <c r="A317" s="964"/>
      <c r="B317" s="137"/>
      <c r="C317" s="53">
        <f t="shared" si="59"/>
        <v>1</v>
      </c>
      <c r="D317" s="962"/>
      <c r="E317" s="53">
        <f t="shared" si="60"/>
        <v>0.04</v>
      </c>
      <c r="F317" s="962"/>
      <c r="G317" s="53">
        <f t="shared" si="61"/>
        <v>0</v>
      </c>
      <c r="H317" s="962"/>
      <c r="I317" s="53">
        <f t="shared" si="62"/>
        <v>0</v>
      </c>
      <c r="J317" s="962"/>
      <c r="K317" s="53">
        <f t="shared" si="63"/>
        <v>0.03</v>
      </c>
      <c r="L317" s="962"/>
      <c r="M317" s="53">
        <f t="shared" si="64"/>
        <v>0.03</v>
      </c>
      <c r="N317" s="962"/>
      <c r="O317" s="53">
        <f t="shared" si="65"/>
        <v>7.0000000000000007E-2</v>
      </c>
      <c r="P317" s="962"/>
      <c r="Q317" s="53">
        <f t="shared" si="66"/>
        <v>1</v>
      </c>
      <c r="R317" s="493">
        <f t="shared" si="67"/>
        <v>0</v>
      </c>
      <c r="S317" s="800">
        <f t="shared" si="68"/>
        <v>0</v>
      </c>
    </row>
    <row r="318" spans="1:19">
      <c r="A318" s="964"/>
      <c r="B318" s="137"/>
      <c r="C318" s="53">
        <f t="shared" si="59"/>
        <v>1</v>
      </c>
      <c r="D318" s="962"/>
      <c r="E318" s="53">
        <f t="shared" si="60"/>
        <v>0.04</v>
      </c>
      <c r="F318" s="962"/>
      <c r="G318" s="53">
        <f t="shared" si="61"/>
        <v>0</v>
      </c>
      <c r="H318" s="962"/>
      <c r="I318" s="53">
        <f t="shared" si="62"/>
        <v>0</v>
      </c>
      <c r="J318" s="962"/>
      <c r="K318" s="53">
        <f t="shared" si="63"/>
        <v>0.03</v>
      </c>
      <c r="L318" s="962"/>
      <c r="M318" s="53">
        <f t="shared" si="64"/>
        <v>0.03</v>
      </c>
      <c r="N318" s="962"/>
      <c r="O318" s="53">
        <f t="shared" si="65"/>
        <v>7.0000000000000007E-2</v>
      </c>
      <c r="P318" s="962"/>
      <c r="Q318" s="53">
        <f t="shared" si="66"/>
        <v>1</v>
      </c>
      <c r="R318" s="493">
        <f t="shared" si="67"/>
        <v>0</v>
      </c>
      <c r="S318" s="800">
        <f t="shared" si="68"/>
        <v>0</v>
      </c>
    </row>
    <row r="319" spans="1:19">
      <c r="A319" s="964"/>
      <c r="B319" s="137"/>
      <c r="C319" s="53">
        <f t="shared" si="59"/>
        <v>1</v>
      </c>
      <c r="D319" s="962"/>
      <c r="E319" s="53">
        <f t="shared" si="60"/>
        <v>0.04</v>
      </c>
      <c r="F319" s="962"/>
      <c r="G319" s="53">
        <f t="shared" si="61"/>
        <v>0</v>
      </c>
      <c r="H319" s="962"/>
      <c r="I319" s="53">
        <f t="shared" si="62"/>
        <v>0</v>
      </c>
      <c r="J319" s="962"/>
      <c r="K319" s="53">
        <f t="shared" si="63"/>
        <v>0.03</v>
      </c>
      <c r="L319" s="962"/>
      <c r="M319" s="53">
        <f t="shared" si="64"/>
        <v>0.03</v>
      </c>
      <c r="N319" s="962"/>
      <c r="O319" s="53">
        <f t="shared" si="65"/>
        <v>7.0000000000000007E-2</v>
      </c>
      <c r="P319" s="962"/>
      <c r="Q319" s="53">
        <f t="shared" si="66"/>
        <v>1</v>
      </c>
      <c r="R319" s="493">
        <f t="shared" si="67"/>
        <v>0</v>
      </c>
      <c r="S319" s="800">
        <f t="shared" si="68"/>
        <v>0</v>
      </c>
    </row>
    <row r="320" spans="1:19">
      <c r="A320" s="964"/>
      <c r="B320" s="137"/>
      <c r="C320" s="53">
        <f t="shared" si="59"/>
        <v>1</v>
      </c>
      <c r="D320" s="962"/>
      <c r="E320" s="53">
        <f t="shared" si="60"/>
        <v>0.04</v>
      </c>
      <c r="F320" s="962"/>
      <c r="G320" s="53">
        <f t="shared" si="61"/>
        <v>0</v>
      </c>
      <c r="H320" s="962"/>
      <c r="I320" s="53">
        <f t="shared" si="62"/>
        <v>0</v>
      </c>
      <c r="J320" s="962"/>
      <c r="K320" s="53">
        <f t="shared" si="63"/>
        <v>0.03</v>
      </c>
      <c r="L320" s="962"/>
      <c r="M320" s="53">
        <f t="shared" si="64"/>
        <v>0.03</v>
      </c>
      <c r="N320" s="962"/>
      <c r="O320" s="53">
        <f t="shared" si="65"/>
        <v>7.0000000000000007E-2</v>
      </c>
      <c r="P320" s="962"/>
      <c r="Q320" s="53">
        <f t="shared" si="66"/>
        <v>1</v>
      </c>
      <c r="R320" s="493">
        <f t="shared" si="67"/>
        <v>0</v>
      </c>
      <c r="S320" s="800">
        <f t="shared" si="68"/>
        <v>0</v>
      </c>
    </row>
    <row r="321" spans="1:19">
      <c r="A321" s="964"/>
      <c r="B321" s="137"/>
      <c r="C321" s="53">
        <f t="shared" si="59"/>
        <v>1</v>
      </c>
      <c r="D321" s="962"/>
      <c r="E321" s="53">
        <f t="shared" si="60"/>
        <v>0.04</v>
      </c>
      <c r="F321" s="962"/>
      <c r="G321" s="53">
        <f t="shared" si="61"/>
        <v>0</v>
      </c>
      <c r="H321" s="962"/>
      <c r="I321" s="53">
        <f t="shared" si="62"/>
        <v>0</v>
      </c>
      <c r="J321" s="962"/>
      <c r="K321" s="53">
        <f t="shared" si="63"/>
        <v>0.03</v>
      </c>
      <c r="L321" s="962"/>
      <c r="M321" s="53">
        <f t="shared" si="64"/>
        <v>0.03</v>
      </c>
      <c r="N321" s="962"/>
      <c r="O321" s="53">
        <f t="shared" si="65"/>
        <v>7.0000000000000007E-2</v>
      </c>
      <c r="P321" s="962"/>
      <c r="Q321" s="53">
        <f t="shared" si="66"/>
        <v>1</v>
      </c>
      <c r="R321" s="493">
        <f t="shared" si="67"/>
        <v>0</v>
      </c>
      <c r="S321" s="800">
        <f t="shared" ref="S321:S384" si="69">ROUND(R321*B321/10000,0)</f>
        <v>0</v>
      </c>
    </row>
    <row r="322" spans="1:19">
      <c r="A322" s="964"/>
      <c r="B322" s="137"/>
      <c r="C322" s="53">
        <f t="shared" si="59"/>
        <v>1</v>
      </c>
      <c r="D322" s="962"/>
      <c r="E322" s="53">
        <f t="shared" si="60"/>
        <v>0.04</v>
      </c>
      <c r="F322" s="962"/>
      <c r="G322" s="53">
        <f t="shared" si="61"/>
        <v>0</v>
      </c>
      <c r="H322" s="962"/>
      <c r="I322" s="53">
        <f t="shared" si="62"/>
        <v>0</v>
      </c>
      <c r="J322" s="962"/>
      <c r="K322" s="53">
        <f t="shared" si="63"/>
        <v>0.03</v>
      </c>
      <c r="L322" s="962"/>
      <c r="M322" s="53">
        <f t="shared" si="64"/>
        <v>0.03</v>
      </c>
      <c r="N322" s="962"/>
      <c r="O322" s="53">
        <f t="shared" si="65"/>
        <v>7.0000000000000007E-2</v>
      </c>
      <c r="P322" s="962"/>
      <c r="Q322" s="53">
        <f t="shared" si="66"/>
        <v>1</v>
      </c>
      <c r="R322" s="493">
        <f t="shared" si="67"/>
        <v>0</v>
      </c>
      <c r="S322" s="800">
        <f t="shared" si="69"/>
        <v>0</v>
      </c>
    </row>
    <row r="323" spans="1:19">
      <c r="A323" s="964"/>
      <c r="B323" s="137"/>
      <c r="C323" s="53">
        <f t="shared" si="59"/>
        <v>1</v>
      </c>
      <c r="D323" s="962"/>
      <c r="E323" s="53">
        <f t="shared" si="60"/>
        <v>0.04</v>
      </c>
      <c r="F323" s="962"/>
      <c r="G323" s="53">
        <f t="shared" si="61"/>
        <v>0</v>
      </c>
      <c r="H323" s="962"/>
      <c r="I323" s="53">
        <f t="shared" si="62"/>
        <v>0</v>
      </c>
      <c r="J323" s="962"/>
      <c r="K323" s="53">
        <f t="shared" si="63"/>
        <v>0.03</v>
      </c>
      <c r="L323" s="962"/>
      <c r="M323" s="53">
        <f t="shared" si="64"/>
        <v>0.03</v>
      </c>
      <c r="N323" s="962"/>
      <c r="O323" s="53">
        <f t="shared" si="65"/>
        <v>7.0000000000000007E-2</v>
      </c>
      <c r="P323" s="962"/>
      <c r="Q323" s="53">
        <f t="shared" si="66"/>
        <v>1</v>
      </c>
      <c r="R323" s="493">
        <f t="shared" si="67"/>
        <v>0</v>
      </c>
      <c r="S323" s="800">
        <f t="shared" si="69"/>
        <v>0</v>
      </c>
    </row>
    <row r="324" spans="1:19">
      <c r="A324" s="964"/>
      <c r="B324" s="137"/>
      <c r="C324" s="53">
        <f t="shared" si="59"/>
        <v>1</v>
      </c>
      <c r="D324" s="962"/>
      <c r="E324" s="53">
        <f t="shared" si="60"/>
        <v>0.04</v>
      </c>
      <c r="F324" s="962"/>
      <c r="G324" s="53">
        <f t="shared" si="61"/>
        <v>0</v>
      </c>
      <c r="H324" s="962"/>
      <c r="I324" s="53">
        <f t="shared" si="62"/>
        <v>0</v>
      </c>
      <c r="J324" s="962"/>
      <c r="K324" s="53">
        <f t="shared" si="63"/>
        <v>0.03</v>
      </c>
      <c r="L324" s="962"/>
      <c r="M324" s="53">
        <f t="shared" si="64"/>
        <v>0.03</v>
      </c>
      <c r="N324" s="962"/>
      <c r="O324" s="53">
        <f t="shared" si="65"/>
        <v>7.0000000000000007E-2</v>
      </c>
      <c r="P324" s="962"/>
      <c r="Q324" s="53">
        <f t="shared" si="66"/>
        <v>1</v>
      </c>
      <c r="R324" s="493">
        <f t="shared" si="67"/>
        <v>0</v>
      </c>
      <c r="S324" s="800">
        <f t="shared" si="69"/>
        <v>0</v>
      </c>
    </row>
    <row r="325" spans="1:19">
      <c r="A325" s="964"/>
      <c r="B325" s="137"/>
      <c r="C325" s="53">
        <f t="shared" si="59"/>
        <v>1</v>
      </c>
      <c r="D325" s="962"/>
      <c r="E325" s="53">
        <f t="shared" si="60"/>
        <v>0.04</v>
      </c>
      <c r="F325" s="962"/>
      <c r="G325" s="53">
        <f t="shared" si="61"/>
        <v>0</v>
      </c>
      <c r="H325" s="962"/>
      <c r="I325" s="53">
        <f t="shared" si="62"/>
        <v>0</v>
      </c>
      <c r="J325" s="962"/>
      <c r="K325" s="53">
        <f t="shared" si="63"/>
        <v>0.03</v>
      </c>
      <c r="L325" s="962"/>
      <c r="M325" s="53">
        <f t="shared" si="64"/>
        <v>0.03</v>
      </c>
      <c r="N325" s="962"/>
      <c r="O325" s="53">
        <f t="shared" si="65"/>
        <v>7.0000000000000007E-2</v>
      </c>
      <c r="P325" s="962"/>
      <c r="Q325" s="53">
        <f t="shared" si="66"/>
        <v>1</v>
      </c>
      <c r="R325" s="493">
        <f t="shared" si="67"/>
        <v>0</v>
      </c>
      <c r="S325" s="800">
        <f t="shared" si="69"/>
        <v>0</v>
      </c>
    </row>
    <row r="326" spans="1:19">
      <c r="A326" s="964"/>
      <c r="B326" s="137"/>
      <c r="C326" s="53">
        <f t="shared" si="59"/>
        <v>1</v>
      </c>
      <c r="D326" s="962"/>
      <c r="E326" s="53">
        <f t="shared" si="60"/>
        <v>0.04</v>
      </c>
      <c r="F326" s="962"/>
      <c r="G326" s="53">
        <f t="shared" si="61"/>
        <v>0</v>
      </c>
      <c r="H326" s="962"/>
      <c r="I326" s="53">
        <f t="shared" si="62"/>
        <v>0</v>
      </c>
      <c r="J326" s="962"/>
      <c r="K326" s="53">
        <f t="shared" si="63"/>
        <v>0.03</v>
      </c>
      <c r="L326" s="962"/>
      <c r="M326" s="53">
        <f t="shared" si="64"/>
        <v>0.03</v>
      </c>
      <c r="N326" s="962"/>
      <c r="O326" s="53">
        <f t="shared" si="65"/>
        <v>7.0000000000000007E-2</v>
      </c>
      <c r="P326" s="962"/>
      <c r="Q326" s="53">
        <f t="shared" si="66"/>
        <v>1</v>
      </c>
      <c r="R326" s="493">
        <f t="shared" si="67"/>
        <v>0</v>
      </c>
      <c r="S326" s="800">
        <f t="shared" si="69"/>
        <v>0</v>
      </c>
    </row>
    <row r="327" spans="1:19">
      <c r="A327" s="964"/>
      <c r="B327" s="137"/>
      <c r="C327" s="53">
        <f t="shared" si="59"/>
        <v>1</v>
      </c>
      <c r="D327" s="962"/>
      <c r="E327" s="53">
        <f t="shared" si="60"/>
        <v>0.04</v>
      </c>
      <c r="F327" s="962"/>
      <c r="G327" s="53">
        <f t="shared" si="61"/>
        <v>0</v>
      </c>
      <c r="H327" s="962"/>
      <c r="I327" s="53">
        <f t="shared" si="62"/>
        <v>0</v>
      </c>
      <c r="J327" s="962"/>
      <c r="K327" s="53">
        <f t="shared" si="63"/>
        <v>0.03</v>
      </c>
      <c r="L327" s="962"/>
      <c r="M327" s="53">
        <f t="shared" si="64"/>
        <v>0.03</v>
      </c>
      <c r="N327" s="962"/>
      <c r="O327" s="53">
        <f t="shared" si="65"/>
        <v>7.0000000000000007E-2</v>
      </c>
      <c r="P327" s="962"/>
      <c r="Q327" s="53">
        <f t="shared" si="66"/>
        <v>1</v>
      </c>
      <c r="R327" s="493">
        <f t="shared" si="67"/>
        <v>0</v>
      </c>
      <c r="S327" s="800">
        <f t="shared" si="69"/>
        <v>0</v>
      </c>
    </row>
    <row r="328" spans="1:19">
      <c r="A328" s="964"/>
      <c r="B328" s="137"/>
      <c r="C328" s="53">
        <f t="shared" si="59"/>
        <v>1</v>
      </c>
      <c r="D328" s="962"/>
      <c r="E328" s="53">
        <f t="shared" si="60"/>
        <v>0.04</v>
      </c>
      <c r="F328" s="962"/>
      <c r="G328" s="53">
        <f t="shared" si="61"/>
        <v>0</v>
      </c>
      <c r="H328" s="962"/>
      <c r="I328" s="53">
        <f t="shared" si="62"/>
        <v>0</v>
      </c>
      <c r="J328" s="962"/>
      <c r="K328" s="53">
        <f t="shared" si="63"/>
        <v>0.03</v>
      </c>
      <c r="L328" s="962"/>
      <c r="M328" s="53">
        <f t="shared" si="64"/>
        <v>0.03</v>
      </c>
      <c r="N328" s="962"/>
      <c r="O328" s="53">
        <f t="shared" si="65"/>
        <v>7.0000000000000007E-2</v>
      </c>
      <c r="P328" s="962"/>
      <c r="Q328" s="53">
        <f t="shared" si="66"/>
        <v>1</v>
      </c>
      <c r="R328" s="493">
        <f t="shared" si="67"/>
        <v>0</v>
      </c>
      <c r="S328" s="800">
        <f t="shared" si="69"/>
        <v>0</v>
      </c>
    </row>
    <row r="329" spans="1:19">
      <c r="A329" s="964"/>
      <c r="B329" s="137"/>
      <c r="C329" s="53">
        <f t="shared" si="59"/>
        <v>1</v>
      </c>
      <c r="D329" s="962"/>
      <c r="E329" s="53">
        <f t="shared" si="60"/>
        <v>0.04</v>
      </c>
      <c r="F329" s="962"/>
      <c r="G329" s="53">
        <f t="shared" si="61"/>
        <v>0</v>
      </c>
      <c r="H329" s="962"/>
      <c r="I329" s="53">
        <f t="shared" si="62"/>
        <v>0</v>
      </c>
      <c r="J329" s="962"/>
      <c r="K329" s="53">
        <f t="shared" si="63"/>
        <v>0.03</v>
      </c>
      <c r="L329" s="962"/>
      <c r="M329" s="53">
        <f t="shared" si="64"/>
        <v>0.03</v>
      </c>
      <c r="N329" s="962"/>
      <c r="O329" s="53">
        <f t="shared" si="65"/>
        <v>7.0000000000000007E-2</v>
      </c>
      <c r="P329" s="962"/>
      <c r="Q329" s="53">
        <f t="shared" si="66"/>
        <v>1</v>
      </c>
      <c r="R329" s="493">
        <f t="shared" si="67"/>
        <v>0</v>
      </c>
      <c r="S329" s="800">
        <f t="shared" si="69"/>
        <v>0</v>
      </c>
    </row>
    <row r="330" spans="1:19">
      <c r="A330" s="964"/>
      <c r="B330" s="137"/>
      <c r="C330" s="53">
        <f t="shared" si="59"/>
        <v>1</v>
      </c>
      <c r="D330" s="962"/>
      <c r="E330" s="53">
        <f t="shared" si="60"/>
        <v>0.04</v>
      </c>
      <c r="F330" s="962"/>
      <c r="G330" s="53">
        <f t="shared" si="61"/>
        <v>0</v>
      </c>
      <c r="H330" s="962"/>
      <c r="I330" s="53">
        <f t="shared" si="62"/>
        <v>0</v>
      </c>
      <c r="J330" s="962"/>
      <c r="K330" s="53">
        <f t="shared" si="63"/>
        <v>0.03</v>
      </c>
      <c r="L330" s="962"/>
      <c r="M330" s="53">
        <f t="shared" si="64"/>
        <v>0.03</v>
      </c>
      <c r="N330" s="962"/>
      <c r="O330" s="53">
        <f t="shared" si="65"/>
        <v>7.0000000000000007E-2</v>
      </c>
      <c r="P330" s="962"/>
      <c r="Q330" s="53">
        <f t="shared" si="66"/>
        <v>1</v>
      </c>
      <c r="R330" s="493">
        <f t="shared" si="67"/>
        <v>0</v>
      </c>
      <c r="S330" s="800">
        <f t="shared" si="69"/>
        <v>0</v>
      </c>
    </row>
    <row r="331" spans="1:19">
      <c r="A331" s="964"/>
      <c r="B331" s="137"/>
      <c r="C331" s="53">
        <f t="shared" si="59"/>
        <v>1</v>
      </c>
      <c r="D331" s="962"/>
      <c r="E331" s="53">
        <f t="shared" si="60"/>
        <v>0.04</v>
      </c>
      <c r="F331" s="962"/>
      <c r="G331" s="53">
        <f t="shared" si="61"/>
        <v>0</v>
      </c>
      <c r="H331" s="962"/>
      <c r="I331" s="53">
        <f t="shared" si="62"/>
        <v>0</v>
      </c>
      <c r="J331" s="962"/>
      <c r="K331" s="53">
        <f t="shared" si="63"/>
        <v>0.03</v>
      </c>
      <c r="L331" s="962"/>
      <c r="M331" s="53">
        <f t="shared" si="64"/>
        <v>0.03</v>
      </c>
      <c r="N331" s="962"/>
      <c r="O331" s="53">
        <f t="shared" si="65"/>
        <v>7.0000000000000007E-2</v>
      </c>
      <c r="P331" s="962"/>
      <c r="Q331" s="53">
        <f t="shared" si="66"/>
        <v>1</v>
      </c>
      <c r="R331" s="493">
        <f t="shared" si="67"/>
        <v>0</v>
      </c>
      <c r="S331" s="800">
        <f t="shared" si="69"/>
        <v>0</v>
      </c>
    </row>
    <row r="332" spans="1:19">
      <c r="A332" s="964"/>
      <c r="B332" s="137"/>
      <c r="C332" s="53">
        <f t="shared" si="59"/>
        <v>1</v>
      </c>
      <c r="D332" s="962"/>
      <c r="E332" s="53">
        <f t="shared" si="60"/>
        <v>0.04</v>
      </c>
      <c r="F332" s="962"/>
      <c r="G332" s="53">
        <f t="shared" si="61"/>
        <v>0</v>
      </c>
      <c r="H332" s="962"/>
      <c r="I332" s="53">
        <f t="shared" si="62"/>
        <v>0</v>
      </c>
      <c r="J332" s="962"/>
      <c r="K332" s="53">
        <f t="shared" si="63"/>
        <v>0.03</v>
      </c>
      <c r="L332" s="962"/>
      <c r="M332" s="53">
        <f t="shared" si="64"/>
        <v>0.03</v>
      </c>
      <c r="N332" s="962"/>
      <c r="O332" s="53">
        <f t="shared" si="65"/>
        <v>7.0000000000000007E-2</v>
      </c>
      <c r="P332" s="962"/>
      <c r="Q332" s="53">
        <f t="shared" si="66"/>
        <v>1</v>
      </c>
      <c r="R332" s="493">
        <f t="shared" si="67"/>
        <v>0</v>
      </c>
      <c r="S332" s="800">
        <f t="shared" si="69"/>
        <v>0</v>
      </c>
    </row>
    <row r="333" spans="1:19">
      <c r="A333" s="964"/>
      <c r="B333" s="137"/>
      <c r="C333" s="53">
        <f t="shared" si="59"/>
        <v>1</v>
      </c>
      <c r="D333" s="962"/>
      <c r="E333" s="53">
        <f t="shared" si="60"/>
        <v>0.04</v>
      </c>
      <c r="F333" s="962"/>
      <c r="G333" s="53">
        <f t="shared" si="61"/>
        <v>0</v>
      </c>
      <c r="H333" s="962"/>
      <c r="I333" s="53">
        <f t="shared" si="62"/>
        <v>0</v>
      </c>
      <c r="J333" s="962"/>
      <c r="K333" s="53">
        <f t="shared" si="63"/>
        <v>0.03</v>
      </c>
      <c r="L333" s="962"/>
      <c r="M333" s="53">
        <f t="shared" si="64"/>
        <v>0.03</v>
      </c>
      <c r="N333" s="962"/>
      <c r="O333" s="53">
        <f t="shared" si="65"/>
        <v>7.0000000000000007E-2</v>
      </c>
      <c r="P333" s="962"/>
      <c r="Q333" s="53">
        <f t="shared" si="66"/>
        <v>1</v>
      </c>
      <c r="R333" s="493">
        <f t="shared" si="67"/>
        <v>0</v>
      </c>
      <c r="S333" s="800">
        <f t="shared" si="69"/>
        <v>0</v>
      </c>
    </row>
    <row r="334" spans="1:19">
      <c r="A334" s="964"/>
      <c r="B334" s="137"/>
      <c r="C334" s="53">
        <f t="shared" si="59"/>
        <v>1</v>
      </c>
      <c r="D334" s="962"/>
      <c r="E334" s="53">
        <f t="shared" si="60"/>
        <v>0.04</v>
      </c>
      <c r="F334" s="962"/>
      <c r="G334" s="53">
        <f t="shared" si="61"/>
        <v>0</v>
      </c>
      <c r="H334" s="962"/>
      <c r="I334" s="53">
        <f t="shared" si="62"/>
        <v>0</v>
      </c>
      <c r="J334" s="962"/>
      <c r="K334" s="53">
        <f t="shared" si="63"/>
        <v>0.03</v>
      </c>
      <c r="L334" s="962"/>
      <c r="M334" s="53">
        <f t="shared" si="64"/>
        <v>0.03</v>
      </c>
      <c r="N334" s="962"/>
      <c r="O334" s="53">
        <f t="shared" si="65"/>
        <v>7.0000000000000007E-2</v>
      </c>
      <c r="P334" s="962"/>
      <c r="Q334" s="53">
        <f t="shared" si="66"/>
        <v>1</v>
      </c>
      <c r="R334" s="493">
        <f t="shared" si="67"/>
        <v>0</v>
      </c>
      <c r="S334" s="800">
        <f t="shared" si="69"/>
        <v>0</v>
      </c>
    </row>
    <row r="335" spans="1:19">
      <c r="A335" s="964"/>
      <c r="B335" s="137"/>
      <c r="C335" s="53">
        <f t="shared" si="59"/>
        <v>1</v>
      </c>
      <c r="D335" s="962"/>
      <c r="E335" s="53">
        <f t="shared" si="60"/>
        <v>0.04</v>
      </c>
      <c r="F335" s="962"/>
      <c r="G335" s="53">
        <f t="shared" si="61"/>
        <v>0</v>
      </c>
      <c r="H335" s="962"/>
      <c r="I335" s="53">
        <f t="shared" si="62"/>
        <v>0</v>
      </c>
      <c r="J335" s="962"/>
      <c r="K335" s="53">
        <f t="shared" si="63"/>
        <v>0.03</v>
      </c>
      <c r="L335" s="962"/>
      <c r="M335" s="53">
        <f t="shared" si="64"/>
        <v>0.03</v>
      </c>
      <c r="N335" s="962"/>
      <c r="O335" s="53">
        <f t="shared" si="65"/>
        <v>7.0000000000000007E-2</v>
      </c>
      <c r="P335" s="962"/>
      <c r="Q335" s="53">
        <f t="shared" si="66"/>
        <v>1</v>
      </c>
      <c r="R335" s="493">
        <f t="shared" si="67"/>
        <v>0</v>
      </c>
      <c r="S335" s="800">
        <f t="shared" si="69"/>
        <v>0</v>
      </c>
    </row>
    <row r="336" spans="1:19">
      <c r="A336" s="964"/>
      <c r="B336" s="137"/>
      <c r="C336" s="53">
        <f t="shared" si="59"/>
        <v>1</v>
      </c>
      <c r="D336" s="962"/>
      <c r="E336" s="53">
        <f t="shared" si="60"/>
        <v>0.04</v>
      </c>
      <c r="F336" s="962"/>
      <c r="G336" s="53">
        <f t="shared" si="61"/>
        <v>0</v>
      </c>
      <c r="H336" s="962"/>
      <c r="I336" s="53">
        <f t="shared" si="62"/>
        <v>0</v>
      </c>
      <c r="J336" s="962"/>
      <c r="K336" s="53">
        <f t="shared" si="63"/>
        <v>0.03</v>
      </c>
      <c r="L336" s="962"/>
      <c r="M336" s="53">
        <f t="shared" si="64"/>
        <v>0.03</v>
      </c>
      <c r="N336" s="962"/>
      <c r="O336" s="53">
        <f t="shared" si="65"/>
        <v>7.0000000000000007E-2</v>
      </c>
      <c r="P336" s="962"/>
      <c r="Q336" s="53">
        <f t="shared" si="66"/>
        <v>1</v>
      </c>
      <c r="R336" s="493">
        <f t="shared" si="67"/>
        <v>0</v>
      </c>
      <c r="S336" s="800">
        <f t="shared" si="69"/>
        <v>0</v>
      </c>
    </row>
    <row r="337" spans="1:19">
      <c r="A337" s="964"/>
      <c r="B337" s="137"/>
      <c r="C337" s="53">
        <f t="shared" si="59"/>
        <v>1</v>
      </c>
      <c r="D337" s="962"/>
      <c r="E337" s="53">
        <f t="shared" si="60"/>
        <v>0.04</v>
      </c>
      <c r="F337" s="962"/>
      <c r="G337" s="53">
        <f t="shared" si="61"/>
        <v>0</v>
      </c>
      <c r="H337" s="962"/>
      <c r="I337" s="53">
        <f t="shared" si="62"/>
        <v>0</v>
      </c>
      <c r="J337" s="962"/>
      <c r="K337" s="53">
        <f t="shared" si="63"/>
        <v>0.03</v>
      </c>
      <c r="L337" s="962"/>
      <c r="M337" s="53">
        <f t="shared" si="64"/>
        <v>0.03</v>
      </c>
      <c r="N337" s="962"/>
      <c r="O337" s="53">
        <f t="shared" si="65"/>
        <v>7.0000000000000007E-2</v>
      </c>
      <c r="P337" s="962"/>
      <c r="Q337" s="53">
        <f t="shared" si="66"/>
        <v>1</v>
      </c>
      <c r="R337" s="493">
        <f t="shared" si="67"/>
        <v>0</v>
      </c>
      <c r="S337" s="800">
        <f t="shared" si="69"/>
        <v>0</v>
      </c>
    </row>
    <row r="338" spans="1:19">
      <c r="A338" s="964"/>
      <c r="B338" s="137"/>
      <c r="C338" s="53">
        <f t="shared" si="59"/>
        <v>1</v>
      </c>
      <c r="D338" s="962"/>
      <c r="E338" s="53">
        <f t="shared" si="60"/>
        <v>0.04</v>
      </c>
      <c r="F338" s="962"/>
      <c r="G338" s="53">
        <f t="shared" si="61"/>
        <v>0</v>
      </c>
      <c r="H338" s="962"/>
      <c r="I338" s="53">
        <f t="shared" si="62"/>
        <v>0</v>
      </c>
      <c r="J338" s="962"/>
      <c r="K338" s="53">
        <f t="shared" si="63"/>
        <v>0.03</v>
      </c>
      <c r="L338" s="962"/>
      <c r="M338" s="53">
        <f t="shared" si="64"/>
        <v>0.03</v>
      </c>
      <c r="N338" s="962"/>
      <c r="O338" s="53">
        <f t="shared" si="65"/>
        <v>7.0000000000000007E-2</v>
      </c>
      <c r="P338" s="962"/>
      <c r="Q338" s="53">
        <f t="shared" si="66"/>
        <v>1</v>
      </c>
      <c r="R338" s="493">
        <f t="shared" si="67"/>
        <v>0</v>
      </c>
      <c r="S338" s="800">
        <f t="shared" si="69"/>
        <v>0</v>
      </c>
    </row>
    <row r="339" spans="1:19">
      <c r="A339" s="964"/>
      <c r="B339" s="137"/>
      <c r="C339" s="53">
        <f t="shared" si="59"/>
        <v>1</v>
      </c>
      <c r="D339" s="962"/>
      <c r="E339" s="53">
        <f t="shared" si="60"/>
        <v>0.04</v>
      </c>
      <c r="F339" s="962"/>
      <c r="G339" s="53">
        <f t="shared" si="61"/>
        <v>0</v>
      </c>
      <c r="H339" s="962"/>
      <c r="I339" s="53">
        <f t="shared" si="62"/>
        <v>0</v>
      </c>
      <c r="J339" s="962"/>
      <c r="K339" s="53">
        <f t="shared" si="63"/>
        <v>0.03</v>
      </c>
      <c r="L339" s="962"/>
      <c r="M339" s="53">
        <f t="shared" si="64"/>
        <v>0.03</v>
      </c>
      <c r="N339" s="962"/>
      <c r="O339" s="53">
        <f t="shared" si="65"/>
        <v>7.0000000000000007E-2</v>
      </c>
      <c r="P339" s="962"/>
      <c r="Q339" s="53">
        <f t="shared" si="66"/>
        <v>1</v>
      </c>
      <c r="R339" s="493">
        <f t="shared" si="67"/>
        <v>0</v>
      </c>
      <c r="S339" s="800">
        <f t="shared" si="69"/>
        <v>0</v>
      </c>
    </row>
    <row r="340" spans="1:19">
      <c r="A340" s="964"/>
      <c r="B340" s="137"/>
      <c r="C340" s="53">
        <f t="shared" si="59"/>
        <v>1</v>
      </c>
      <c r="D340" s="962"/>
      <c r="E340" s="53">
        <f t="shared" si="60"/>
        <v>0.04</v>
      </c>
      <c r="F340" s="962"/>
      <c r="G340" s="53">
        <f t="shared" si="61"/>
        <v>0</v>
      </c>
      <c r="H340" s="962"/>
      <c r="I340" s="53">
        <f t="shared" si="62"/>
        <v>0</v>
      </c>
      <c r="J340" s="962"/>
      <c r="K340" s="53">
        <f t="shared" si="63"/>
        <v>0.03</v>
      </c>
      <c r="L340" s="962"/>
      <c r="M340" s="53">
        <f t="shared" si="64"/>
        <v>0.03</v>
      </c>
      <c r="N340" s="962"/>
      <c r="O340" s="53">
        <f t="shared" si="65"/>
        <v>7.0000000000000007E-2</v>
      </c>
      <c r="P340" s="962"/>
      <c r="Q340" s="53">
        <f t="shared" si="66"/>
        <v>1</v>
      </c>
      <c r="R340" s="493">
        <f t="shared" si="67"/>
        <v>0</v>
      </c>
      <c r="S340" s="800">
        <f t="shared" si="69"/>
        <v>0</v>
      </c>
    </row>
    <row r="341" spans="1:19">
      <c r="A341" s="964"/>
      <c r="B341" s="137"/>
      <c r="C341" s="53">
        <f t="shared" si="59"/>
        <v>1</v>
      </c>
      <c r="D341" s="962"/>
      <c r="E341" s="53">
        <f t="shared" si="60"/>
        <v>0.04</v>
      </c>
      <c r="F341" s="962"/>
      <c r="G341" s="53">
        <f t="shared" si="61"/>
        <v>0</v>
      </c>
      <c r="H341" s="962"/>
      <c r="I341" s="53">
        <f t="shared" si="62"/>
        <v>0</v>
      </c>
      <c r="J341" s="962"/>
      <c r="K341" s="53">
        <f t="shared" si="63"/>
        <v>0.03</v>
      </c>
      <c r="L341" s="962"/>
      <c r="M341" s="53">
        <f t="shared" si="64"/>
        <v>0.03</v>
      </c>
      <c r="N341" s="962"/>
      <c r="O341" s="53">
        <f t="shared" si="65"/>
        <v>7.0000000000000007E-2</v>
      </c>
      <c r="P341" s="962"/>
      <c r="Q341" s="53">
        <f t="shared" si="66"/>
        <v>1</v>
      </c>
      <c r="R341" s="493">
        <f t="shared" si="67"/>
        <v>0</v>
      </c>
      <c r="S341" s="800">
        <f t="shared" si="69"/>
        <v>0</v>
      </c>
    </row>
    <row r="342" spans="1:19">
      <c r="A342" s="964"/>
      <c r="B342" s="137"/>
      <c r="C342" s="53">
        <f t="shared" si="59"/>
        <v>1</v>
      </c>
      <c r="D342" s="962"/>
      <c r="E342" s="53">
        <f t="shared" si="60"/>
        <v>0.04</v>
      </c>
      <c r="F342" s="962"/>
      <c r="G342" s="53">
        <f t="shared" si="61"/>
        <v>0</v>
      </c>
      <c r="H342" s="962"/>
      <c r="I342" s="53">
        <f t="shared" si="62"/>
        <v>0</v>
      </c>
      <c r="J342" s="962"/>
      <c r="K342" s="53">
        <f t="shared" si="63"/>
        <v>0.03</v>
      </c>
      <c r="L342" s="962"/>
      <c r="M342" s="53">
        <f t="shared" si="64"/>
        <v>0.03</v>
      </c>
      <c r="N342" s="962"/>
      <c r="O342" s="53">
        <f t="shared" si="65"/>
        <v>7.0000000000000007E-2</v>
      </c>
      <c r="P342" s="962"/>
      <c r="Q342" s="53">
        <f t="shared" si="66"/>
        <v>1</v>
      </c>
      <c r="R342" s="493">
        <f t="shared" si="67"/>
        <v>0</v>
      </c>
      <c r="S342" s="800">
        <f t="shared" si="69"/>
        <v>0</v>
      </c>
    </row>
    <row r="343" spans="1:19">
      <c r="A343" s="964"/>
      <c r="B343" s="137"/>
      <c r="C343" s="53">
        <f t="shared" si="59"/>
        <v>1</v>
      </c>
      <c r="D343" s="962"/>
      <c r="E343" s="53">
        <f t="shared" si="60"/>
        <v>0.04</v>
      </c>
      <c r="F343" s="962"/>
      <c r="G343" s="53">
        <f t="shared" si="61"/>
        <v>0</v>
      </c>
      <c r="H343" s="962"/>
      <c r="I343" s="53">
        <f t="shared" si="62"/>
        <v>0</v>
      </c>
      <c r="J343" s="962"/>
      <c r="K343" s="53">
        <f t="shared" si="63"/>
        <v>0.03</v>
      </c>
      <c r="L343" s="962"/>
      <c r="M343" s="53">
        <f t="shared" si="64"/>
        <v>0.03</v>
      </c>
      <c r="N343" s="962"/>
      <c r="O343" s="53">
        <f t="shared" si="65"/>
        <v>7.0000000000000007E-2</v>
      </c>
      <c r="P343" s="962"/>
      <c r="Q343" s="53">
        <f t="shared" si="66"/>
        <v>1</v>
      </c>
      <c r="R343" s="493">
        <f t="shared" si="67"/>
        <v>0</v>
      </c>
      <c r="S343" s="800">
        <f t="shared" si="69"/>
        <v>0</v>
      </c>
    </row>
    <row r="344" spans="1:19">
      <c r="A344" s="964"/>
      <c r="B344" s="137"/>
      <c r="C344" s="53">
        <f t="shared" si="59"/>
        <v>1</v>
      </c>
      <c r="D344" s="962"/>
      <c r="E344" s="53">
        <f t="shared" si="60"/>
        <v>0.04</v>
      </c>
      <c r="F344" s="962"/>
      <c r="G344" s="53">
        <f t="shared" si="61"/>
        <v>0</v>
      </c>
      <c r="H344" s="962"/>
      <c r="I344" s="53">
        <f t="shared" si="62"/>
        <v>0</v>
      </c>
      <c r="J344" s="962"/>
      <c r="K344" s="53">
        <f t="shared" si="63"/>
        <v>0.03</v>
      </c>
      <c r="L344" s="962"/>
      <c r="M344" s="53">
        <f t="shared" si="64"/>
        <v>0.03</v>
      </c>
      <c r="N344" s="962"/>
      <c r="O344" s="53">
        <f t="shared" si="65"/>
        <v>7.0000000000000007E-2</v>
      </c>
      <c r="P344" s="962"/>
      <c r="Q344" s="53">
        <f t="shared" si="66"/>
        <v>1</v>
      </c>
      <c r="R344" s="493">
        <f t="shared" si="67"/>
        <v>0</v>
      </c>
      <c r="S344" s="800">
        <f t="shared" si="69"/>
        <v>0</v>
      </c>
    </row>
    <row r="345" spans="1:19">
      <c r="A345" s="964"/>
      <c r="B345" s="137"/>
      <c r="C345" s="53">
        <f t="shared" si="59"/>
        <v>1</v>
      </c>
      <c r="D345" s="962"/>
      <c r="E345" s="53">
        <f t="shared" si="60"/>
        <v>0.04</v>
      </c>
      <c r="F345" s="962"/>
      <c r="G345" s="53">
        <f t="shared" si="61"/>
        <v>0</v>
      </c>
      <c r="H345" s="962"/>
      <c r="I345" s="53">
        <f t="shared" si="62"/>
        <v>0</v>
      </c>
      <c r="J345" s="962"/>
      <c r="K345" s="53">
        <f t="shared" si="63"/>
        <v>0.03</v>
      </c>
      <c r="L345" s="962"/>
      <c r="M345" s="53">
        <f t="shared" si="64"/>
        <v>0.03</v>
      </c>
      <c r="N345" s="962"/>
      <c r="O345" s="53">
        <f t="shared" si="65"/>
        <v>7.0000000000000007E-2</v>
      </c>
      <c r="P345" s="962"/>
      <c r="Q345" s="53">
        <f t="shared" si="66"/>
        <v>1</v>
      </c>
      <c r="R345" s="493">
        <f t="shared" si="67"/>
        <v>0</v>
      </c>
      <c r="S345" s="800">
        <f t="shared" si="69"/>
        <v>0</v>
      </c>
    </row>
    <row r="346" spans="1:19">
      <c r="A346" s="964"/>
      <c r="B346" s="137"/>
      <c r="C346" s="53">
        <f t="shared" ref="C346:C409" si="70">IF(B346="",1,(LOOKUP(B346,$3:$3,$4:$4)-LOOKUP($B$24,$3:$3,$4:$4)+100)/100)</f>
        <v>1</v>
      </c>
      <c r="D346" s="962"/>
      <c r="E346" s="53">
        <f t="shared" ref="E346:E409" si="71">(SUMIF($5:$5,D346,$6:$6)-SUMIF($5:$5,$D$24,$6:$6)+100)/100</f>
        <v>0.04</v>
      </c>
      <c r="F346" s="962"/>
      <c r="G346" s="53">
        <f t="shared" ref="G346:G409" si="72">(SUMIF($7:$7,F346,$8:$8)-SUMIF($7:$7,$F$24,$8:$8)+100)/100</f>
        <v>0</v>
      </c>
      <c r="H346" s="962"/>
      <c r="I346" s="53">
        <f t="shared" ref="I346:I409" si="73">(SUMIF($9:$9,H346,$10:$10)-SUMIF($9:$9,$H$24,$10:$10)+100)/100</f>
        <v>0</v>
      </c>
      <c r="J346" s="962"/>
      <c r="K346" s="53">
        <f t="shared" ref="K346:K409" si="74">(SUMIF($11:$11,J346,$12:$12)-SUMIF($11:$11,$J$24,$12:$12)+100)/100</f>
        <v>0.03</v>
      </c>
      <c r="L346" s="962"/>
      <c r="M346" s="53">
        <f t="shared" ref="M346:M409" si="75">(SUMIF($13:$13,L346,$14:$14)-SUMIF($13:$13,$L$24,$14:$14)+100)/100</f>
        <v>0.03</v>
      </c>
      <c r="N346" s="962"/>
      <c r="O346" s="53">
        <f t="shared" ref="O346:O409" si="76">(SUMIF($15:$15,N346,$16:$16)-SUMIF($15:$15,$N$24,$16:$16)+100)/100</f>
        <v>7.0000000000000007E-2</v>
      </c>
      <c r="P346" s="962"/>
      <c r="Q346" s="53">
        <f t="shared" ref="Q346:Q409" si="77">(SUMIF($17:$17,P346,$18:$18)-SUMIF($17:$17,$P$24,$18:$18)+100)/100</f>
        <v>1</v>
      </c>
      <c r="R346" s="493">
        <f t="shared" ref="R346:R409" si="78">IF(B346="",0,ROUND($R$24*C346*E346*G346*I346*K346*M346*O346*Q346,0))</f>
        <v>0</v>
      </c>
      <c r="S346" s="800">
        <f t="shared" si="69"/>
        <v>0</v>
      </c>
    </row>
    <row r="347" spans="1:19">
      <c r="A347" s="964"/>
      <c r="B347" s="137"/>
      <c r="C347" s="53">
        <f t="shared" si="70"/>
        <v>1</v>
      </c>
      <c r="D347" s="962"/>
      <c r="E347" s="53">
        <f t="shared" si="71"/>
        <v>0.04</v>
      </c>
      <c r="F347" s="962"/>
      <c r="G347" s="53">
        <f t="shared" si="72"/>
        <v>0</v>
      </c>
      <c r="H347" s="962"/>
      <c r="I347" s="53">
        <f t="shared" si="73"/>
        <v>0</v>
      </c>
      <c r="J347" s="962"/>
      <c r="K347" s="53">
        <f t="shared" si="74"/>
        <v>0.03</v>
      </c>
      <c r="L347" s="962"/>
      <c r="M347" s="53">
        <f t="shared" si="75"/>
        <v>0.03</v>
      </c>
      <c r="N347" s="962"/>
      <c r="O347" s="53">
        <f t="shared" si="76"/>
        <v>7.0000000000000007E-2</v>
      </c>
      <c r="P347" s="962"/>
      <c r="Q347" s="53">
        <f t="shared" si="77"/>
        <v>1</v>
      </c>
      <c r="R347" s="493">
        <f t="shared" si="78"/>
        <v>0</v>
      </c>
      <c r="S347" s="800">
        <f t="shared" si="69"/>
        <v>0</v>
      </c>
    </row>
    <row r="348" spans="1:19">
      <c r="A348" s="964"/>
      <c r="B348" s="137"/>
      <c r="C348" s="53">
        <f t="shared" si="70"/>
        <v>1</v>
      </c>
      <c r="D348" s="962"/>
      <c r="E348" s="53">
        <f t="shared" si="71"/>
        <v>0.04</v>
      </c>
      <c r="F348" s="962"/>
      <c r="G348" s="53">
        <f t="shared" si="72"/>
        <v>0</v>
      </c>
      <c r="H348" s="962"/>
      <c r="I348" s="53">
        <f t="shared" si="73"/>
        <v>0</v>
      </c>
      <c r="J348" s="962"/>
      <c r="K348" s="53">
        <f t="shared" si="74"/>
        <v>0.03</v>
      </c>
      <c r="L348" s="962"/>
      <c r="M348" s="53">
        <f t="shared" si="75"/>
        <v>0.03</v>
      </c>
      <c r="N348" s="962"/>
      <c r="O348" s="53">
        <f t="shared" si="76"/>
        <v>7.0000000000000007E-2</v>
      </c>
      <c r="P348" s="962"/>
      <c r="Q348" s="53">
        <f t="shared" si="77"/>
        <v>1</v>
      </c>
      <c r="R348" s="493">
        <f t="shared" si="78"/>
        <v>0</v>
      </c>
      <c r="S348" s="800">
        <f t="shared" si="69"/>
        <v>0</v>
      </c>
    </row>
    <row r="349" spans="1:19">
      <c r="A349" s="964"/>
      <c r="B349" s="137"/>
      <c r="C349" s="53">
        <f t="shared" si="70"/>
        <v>1</v>
      </c>
      <c r="D349" s="962"/>
      <c r="E349" s="53">
        <f t="shared" si="71"/>
        <v>0.04</v>
      </c>
      <c r="F349" s="962"/>
      <c r="G349" s="53">
        <f t="shared" si="72"/>
        <v>0</v>
      </c>
      <c r="H349" s="962"/>
      <c r="I349" s="53">
        <f t="shared" si="73"/>
        <v>0</v>
      </c>
      <c r="J349" s="962"/>
      <c r="K349" s="53">
        <f t="shared" si="74"/>
        <v>0.03</v>
      </c>
      <c r="L349" s="962"/>
      <c r="M349" s="53">
        <f t="shared" si="75"/>
        <v>0.03</v>
      </c>
      <c r="N349" s="962"/>
      <c r="O349" s="53">
        <f t="shared" si="76"/>
        <v>7.0000000000000007E-2</v>
      </c>
      <c r="P349" s="962"/>
      <c r="Q349" s="53">
        <f t="shared" si="77"/>
        <v>1</v>
      </c>
      <c r="R349" s="493">
        <f t="shared" si="78"/>
        <v>0</v>
      </c>
      <c r="S349" s="800">
        <f t="shared" si="69"/>
        <v>0</v>
      </c>
    </row>
    <row r="350" spans="1:19">
      <c r="A350" s="964"/>
      <c r="B350" s="137"/>
      <c r="C350" s="53">
        <f t="shared" si="70"/>
        <v>1</v>
      </c>
      <c r="D350" s="962"/>
      <c r="E350" s="53">
        <f t="shared" si="71"/>
        <v>0.04</v>
      </c>
      <c r="F350" s="962"/>
      <c r="G350" s="53">
        <f t="shared" si="72"/>
        <v>0</v>
      </c>
      <c r="H350" s="962"/>
      <c r="I350" s="53">
        <f t="shared" si="73"/>
        <v>0</v>
      </c>
      <c r="J350" s="962"/>
      <c r="K350" s="53">
        <f t="shared" si="74"/>
        <v>0.03</v>
      </c>
      <c r="L350" s="962"/>
      <c r="M350" s="53">
        <f t="shared" si="75"/>
        <v>0.03</v>
      </c>
      <c r="N350" s="962"/>
      <c r="O350" s="53">
        <f t="shared" si="76"/>
        <v>7.0000000000000007E-2</v>
      </c>
      <c r="P350" s="962"/>
      <c r="Q350" s="53">
        <f t="shared" si="77"/>
        <v>1</v>
      </c>
      <c r="R350" s="493">
        <f t="shared" si="78"/>
        <v>0</v>
      </c>
      <c r="S350" s="800">
        <f t="shared" si="69"/>
        <v>0</v>
      </c>
    </row>
    <row r="351" spans="1:19">
      <c r="A351" s="964"/>
      <c r="B351" s="137"/>
      <c r="C351" s="53">
        <f t="shared" si="70"/>
        <v>1</v>
      </c>
      <c r="D351" s="962"/>
      <c r="E351" s="53">
        <f t="shared" si="71"/>
        <v>0.04</v>
      </c>
      <c r="F351" s="962"/>
      <c r="G351" s="53">
        <f t="shared" si="72"/>
        <v>0</v>
      </c>
      <c r="H351" s="962"/>
      <c r="I351" s="53">
        <f t="shared" si="73"/>
        <v>0</v>
      </c>
      <c r="J351" s="962"/>
      <c r="K351" s="53">
        <f t="shared" si="74"/>
        <v>0.03</v>
      </c>
      <c r="L351" s="962"/>
      <c r="M351" s="53">
        <f t="shared" si="75"/>
        <v>0.03</v>
      </c>
      <c r="N351" s="962"/>
      <c r="O351" s="53">
        <f t="shared" si="76"/>
        <v>7.0000000000000007E-2</v>
      </c>
      <c r="P351" s="962"/>
      <c r="Q351" s="53">
        <f t="shared" si="77"/>
        <v>1</v>
      </c>
      <c r="R351" s="493">
        <f t="shared" si="78"/>
        <v>0</v>
      </c>
      <c r="S351" s="800">
        <f t="shared" si="69"/>
        <v>0</v>
      </c>
    </row>
    <row r="352" spans="1:19">
      <c r="A352" s="964"/>
      <c r="B352" s="137"/>
      <c r="C352" s="53">
        <f t="shared" si="70"/>
        <v>1</v>
      </c>
      <c r="D352" s="962"/>
      <c r="E352" s="53">
        <f t="shared" si="71"/>
        <v>0.04</v>
      </c>
      <c r="F352" s="962"/>
      <c r="G352" s="53">
        <f t="shared" si="72"/>
        <v>0</v>
      </c>
      <c r="H352" s="962"/>
      <c r="I352" s="53">
        <f t="shared" si="73"/>
        <v>0</v>
      </c>
      <c r="J352" s="962"/>
      <c r="K352" s="53">
        <f t="shared" si="74"/>
        <v>0.03</v>
      </c>
      <c r="L352" s="962"/>
      <c r="M352" s="53">
        <f t="shared" si="75"/>
        <v>0.03</v>
      </c>
      <c r="N352" s="962"/>
      <c r="O352" s="53">
        <f t="shared" si="76"/>
        <v>7.0000000000000007E-2</v>
      </c>
      <c r="P352" s="962"/>
      <c r="Q352" s="53">
        <f t="shared" si="77"/>
        <v>1</v>
      </c>
      <c r="R352" s="493">
        <f t="shared" si="78"/>
        <v>0</v>
      </c>
      <c r="S352" s="800">
        <f t="shared" si="69"/>
        <v>0</v>
      </c>
    </row>
    <row r="353" spans="1:19">
      <c r="A353" s="964"/>
      <c r="B353" s="137"/>
      <c r="C353" s="53">
        <f t="shared" si="70"/>
        <v>1</v>
      </c>
      <c r="D353" s="962"/>
      <c r="E353" s="53">
        <f t="shared" si="71"/>
        <v>0.04</v>
      </c>
      <c r="F353" s="962"/>
      <c r="G353" s="53">
        <f t="shared" si="72"/>
        <v>0</v>
      </c>
      <c r="H353" s="962"/>
      <c r="I353" s="53">
        <f t="shared" si="73"/>
        <v>0</v>
      </c>
      <c r="J353" s="962"/>
      <c r="K353" s="53">
        <f t="shared" si="74"/>
        <v>0.03</v>
      </c>
      <c r="L353" s="962"/>
      <c r="M353" s="53">
        <f t="shared" si="75"/>
        <v>0.03</v>
      </c>
      <c r="N353" s="962"/>
      <c r="O353" s="53">
        <f t="shared" si="76"/>
        <v>7.0000000000000007E-2</v>
      </c>
      <c r="P353" s="962"/>
      <c r="Q353" s="53">
        <f t="shared" si="77"/>
        <v>1</v>
      </c>
      <c r="R353" s="493">
        <f t="shared" si="78"/>
        <v>0</v>
      </c>
      <c r="S353" s="800">
        <f t="shared" si="69"/>
        <v>0</v>
      </c>
    </row>
    <row r="354" spans="1:19">
      <c r="A354" s="964"/>
      <c r="B354" s="137"/>
      <c r="C354" s="53">
        <f t="shared" si="70"/>
        <v>1</v>
      </c>
      <c r="D354" s="962"/>
      <c r="E354" s="53">
        <f t="shared" si="71"/>
        <v>0.04</v>
      </c>
      <c r="F354" s="962"/>
      <c r="G354" s="53">
        <f t="shared" si="72"/>
        <v>0</v>
      </c>
      <c r="H354" s="962"/>
      <c r="I354" s="53">
        <f t="shared" si="73"/>
        <v>0</v>
      </c>
      <c r="J354" s="962"/>
      <c r="K354" s="53">
        <f t="shared" si="74"/>
        <v>0.03</v>
      </c>
      <c r="L354" s="962"/>
      <c r="M354" s="53">
        <f t="shared" si="75"/>
        <v>0.03</v>
      </c>
      <c r="N354" s="962"/>
      <c r="O354" s="53">
        <f t="shared" si="76"/>
        <v>7.0000000000000007E-2</v>
      </c>
      <c r="P354" s="962"/>
      <c r="Q354" s="53">
        <f t="shared" si="77"/>
        <v>1</v>
      </c>
      <c r="R354" s="493">
        <f t="shared" si="78"/>
        <v>0</v>
      </c>
      <c r="S354" s="800">
        <f t="shared" si="69"/>
        <v>0</v>
      </c>
    </row>
    <row r="355" spans="1:19">
      <c r="A355" s="964"/>
      <c r="B355" s="137"/>
      <c r="C355" s="53">
        <f t="shared" si="70"/>
        <v>1</v>
      </c>
      <c r="D355" s="962"/>
      <c r="E355" s="53">
        <f t="shared" si="71"/>
        <v>0.04</v>
      </c>
      <c r="F355" s="962"/>
      <c r="G355" s="53">
        <f t="shared" si="72"/>
        <v>0</v>
      </c>
      <c r="H355" s="962"/>
      <c r="I355" s="53">
        <f t="shared" si="73"/>
        <v>0</v>
      </c>
      <c r="J355" s="962"/>
      <c r="K355" s="53">
        <f t="shared" si="74"/>
        <v>0.03</v>
      </c>
      <c r="L355" s="962"/>
      <c r="M355" s="53">
        <f t="shared" si="75"/>
        <v>0.03</v>
      </c>
      <c r="N355" s="962"/>
      <c r="O355" s="53">
        <f t="shared" si="76"/>
        <v>7.0000000000000007E-2</v>
      </c>
      <c r="P355" s="962"/>
      <c r="Q355" s="53">
        <f t="shared" si="77"/>
        <v>1</v>
      </c>
      <c r="R355" s="493">
        <f t="shared" si="78"/>
        <v>0</v>
      </c>
      <c r="S355" s="800">
        <f t="shared" si="69"/>
        <v>0</v>
      </c>
    </row>
    <row r="356" spans="1:19">
      <c r="A356" s="964"/>
      <c r="B356" s="137"/>
      <c r="C356" s="53">
        <f t="shared" si="70"/>
        <v>1</v>
      </c>
      <c r="D356" s="962"/>
      <c r="E356" s="53">
        <f t="shared" si="71"/>
        <v>0.04</v>
      </c>
      <c r="F356" s="962"/>
      <c r="G356" s="53">
        <f t="shared" si="72"/>
        <v>0</v>
      </c>
      <c r="H356" s="962"/>
      <c r="I356" s="53">
        <f t="shared" si="73"/>
        <v>0</v>
      </c>
      <c r="J356" s="962"/>
      <c r="K356" s="53">
        <f t="shared" si="74"/>
        <v>0.03</v>
      </c>
      <c r="L356" s="962"/>
      <c r="M356" s="53">
        <f t="shared" si="75"/>
        <v>0.03</v>
      </c>
      <c r="N356" s="962"/>
      <c r="O356" s="53">
        <f t="shared" si="76"/>
        <v>7.0000000000000007E-2</v>
      </c>
      <c r="P356" s="962"/>
      <c r="Q356" s="53">
        <f t="shared" si="77"/>
        <v>1</v>
      </c>
      <c r="R356" s="493">
        <f t="shared" si="78"/>
        <v>0</v>
      </c>
      <c r="S356" s="800">
        <f t="shared" si="69"/>
        <v>0</v>
      </c>
    </row>
    <row r="357" spans="1:19">
      <c r="A357" s="964"/>
      <c r="B357" s="137"/>
      <c r="C357" s="53">
        <f t="shared" si="70"/>
        <v>1</v>
      </c>
      <c r="D357" s="962"/>
      <c r="E357" s="53">
        <f t="shared" si="71"/>
        <v>0.04</v>
      </c>
      <c r="F357" s="962"/>
      <c r="G357" s="53">
        <f t="shared" si="72"/>
        <v>0</v>
      </c>
      <c r="H357" s="962"/>
      <c r="I357" s="53">
        <f t="shared" si="73"/>
        <v>0</v>
      </c>
      <c r="J357" s="962"/>
      <c r="K357" s="53">
        <f t="shared" si="74"/>
        <v>0.03</v>
      </c>
      <c r="L357" s="962"/>
      <c r="M357" s="53">
        <f t="shared" si="75"/>
        <v>0.03</v>
      </c>
      <c r="N357" s="962"/>
      <c r="O357" s="53">
        <f t="shared" si="76"/>
        <v>7.0000000000000007E-2</v>
      </c>
      <c r="P357" s="962"/>
      <c r="Q357" s="53">
        <f t="shared" si="77"/>
        <v>1</v>
      </c>
      <c r="R357" s="493">
        <f t="shared" si="78"/>
        <v>0</v>
      </c>
      <c r="S357" s="800">
        <f t="shared" si="69"/>
        <v>0</v>
      </c>
    </row>
    <row r="358" spans="1:19">
      <c r="A358" s="964"/>
      <c r="B358" s="137"/>
      <c r="C358" s="53">
        <f t="shared" si="70"/>
        <v>1</v>
      </c>
      <c r="D358" s="962"/>
      <c r="E358" s="53">
        <f t="shared" si="71"/>
        <v>0.04</v>
      </c>
      <c r="F358" s="962"/>
      <c r="G358" s="53">
        <f t="shared" si="72"/>
        <v>0</v>
      </c>
      <c r="H358" s="962"/>
      <c r="I358" s="53">
        <f t="shared" si="73"/>
        <v>0</v>
      </c>
      <c r="J358" s="962"/>
      <c r="K358" s="53">
        <f t="shared" si="74"/>
        <v>0.03</v>
      </c>
      <c r="L358" s="962"/>
      <c r="M358" s="53">
        <f t="shared" si="75"/>
        <v>0.03</v>
      </c>
      <c r="N358" s="962"/>
      <c r="O358" s="53">
        <f t="shared" si="76"/>
        <v>7.0000000000000007E-2</v>
      </c>
      <c r="P358" s="962"/>
      <c r="Q358" s="53">
        <f t="shared" si="77"/>
        <v>1</v>
      </c>
      <c r="R358" s="493">
        <f t="shared" si="78"/>
        <v>0</v>
      </c>
      <c r="S358" s="800">
        <f t="shared" si="69"/>
        <v>0</v>
      </c>
    </row>
    <row r="359" spans="1:19">
      <c r="A359" s="964"/>
      <c r="B359" s="137"/>
      <c r="C359" s="53">
        <f t="shared" si="70"/>
        <v>1</v>
      </c>
      <c r="D359" s="962"/>
      <c r="E359" s="53">
        <f t="shared" si="71"/>
        <v>0.04</v>
      </c>
      <c r="F359" s="962"/>
      <c r="G359" s="53">
        <f t="shared" si="72"/>
        <v>0</v>
      </c>
      <c r="H359" s="962"/>
      <c r="I359" s="53">
        <f t="shared" si="73"/>
        <v>0</v>
      </c>
      <c r="J359" s="962"/>
      <c r="K359" s="53">
        <f t="shared" si="74"/>
        <v>0.03</v>
      </c>
      <c r="L359" s="962"/>
      <c r="M359" s="53">
        <f t="shared" si="75"/>
        <v>0.03</v>
      </c>
      <c r="N359" s="962"/>
      <c r="O359" s="53">
        <f t="shared" si="76"/>
        <v>7.0000000000000007E-2</v>
      </c>
      <c r="P359" s="962"/>
      <c r="Q359" s="53">
        <f t="shared" si="77"/>
        <v>1</v>
      </c>
      <c r="R359" s="493">
        <f t="shared" si="78"/>
        <v>0</v>
      </c>
      <c r="S359" s="800">
        <f t="shared" si="69"/>
        <v>0</v>
      </c>
    </row>
    <row r="360" spans="1:19">
      <c r="A360" s="964"/>
      <c r="B360" s="137"/>
      <c r="C360" s="53">
        <f t="shared" si="70"/>
        <v>1</v>
      </c>
      <c r="D360" s="962"/>
      <c r="E360" s="53">
        <f t="shared" si="71"/>
        <v>0.04</v>
      </c>
      <c r="F360" s="962"/>
      <c r="G360" s="53">
        <f t="shared" si="72"/>
        <v>0</v>
      </c>
      <c r="H360" s="962"/>
      <c r="I360" s="53">
        <f t="shared" si="73"/>
        <v>0</v>
      </c>
      <c r="J360" s="962"/>
      <c r="K360" s="53">
        <f t="shared" si="74"/>
        <v>0.03</v>
      </c>
      <c r="L360" s="962"/>
      <c r="M360" s="53">
        <f t="shared" si="75"/>
        <v>0.03</v>
      </c>
      <c r="N360" s="962"/>
      <c r="O360" s="53">
        <f t="shared" si="76"/>
        <v>7.0000000000000007E-2</v>
      </c>
      <c r="P360" s="962"/>
      <c r="Q360" s="53">
        <f t="shared" si="77"/>
        <v>1</v>
      </c>
      <c r="R360" s="493">
        <f t="shared" si="78"/>
        <v>0</v>
      </c>
      <c r="S360" s="800">
        <f t="shared" si="69"/>
        <v>0</v>
      </c>
    </row>
    <row r="361" spans="1:19">
      <c r="A361" s="964"/>
      <c r="B361" s="137"/>
      <c r="C361" s="53">
        <f t="shared" si="70"/>
        <v>1</v>
      </c>
      <c r="D361" s="962"/>
      <c r="E361" s="53">
        <f t="shared" si="71"/>
        <v>0.04</v>
      </c>
      <c r="F361" s="962"/>
      <c r="G361" s="53">
        <f t="shared" si="72"/>
        <v>0</v>
      </c>
      <c r="H361" s="962"/>
      <c r="I361" s="53">
        <f t="shared" si="73"/>
        <v>0</v>
      </c>
      <c r="J361" s="962"/>
      <c r="K361" s="53">
        <f t="shared" si="74"/>
        <v>0.03</v>
      </c>
      <c r="L361" s="962"/>
      <c r="M361" s="53">
        <f t="shared" si="75"/>
        <v>0.03</v>
      </c>
      <c r="N361" s="962"/>
      <c r="O361" s="53">
        <f t="shared" si="76"/>
        <v>7.0000000000000007E-2</v>
      </c>
      <c r="P361" s="962"/>
      <c r="Q361" s="53">
        <f t="shared" si="77"/>
        <v>1</v>
      </c>
      <c r="R361" s="493">
        <f t="shared" si="78"/>
        <v>0</v>
      </c>
      <c r="S361" s="800">
        <f t="shared" si="69"/>
        <v>0</v>
      </c>
    </row>
    <row r="362" spans="1:19">
      <c r="A362" s="964"/>
      <c r="B362" s="137"/>
      <c r="C362" s="53">
        <f t="shared" si="70"/>
        <v>1</v>
      </c>
      <c r="D362" s="962"/>
      <c r="E362" s="53">
        <f t="shared" si="71"/>
        <v>0.04</v>
      </c>
      <c r="F362" s="962"/>
      <c r="G362" s="53">
        <f t="shared" si="72"/>
        <v>0</v>
      </c>
      <c r="H362" s="962"/>
      <c r="I362" s="53">
        <f t="shared" si="73"/>
        <v>0</v>
      </c>
      <c r="J362" s="962"/>
      <c r="K362" s="53">
        <f t="shared" si="74"/>
        <v>0.03</v>
      </c>
      <c r="L362" s="962"/>
      <c r="M362" s="53">
        <f t="shared" si="75"/>
        <v>0.03</v>
      </c>
      <c r="N362" s="962"/>
      <c r="O362" s="53">
        <f t="shared" si="76"/>
        <v>7.0000000000000007E-2</v>
      </c>
      <c r="P362" s="962"/>
      <c r="Q362" s="53">
        <f t="shared" si="77"/>
        <v>1</v>
      </c>
      <c r="R362" s="493">
        <f t="shared" si="78"/>
        <v>0</v>
      </c>
      <c r="S362" s="800">
        <f t="shared" si="69"/>
        <v>0</v>
      </c>
    </row>
    <row r="363" spans="1:19">
      <c r="A363" s="964"/>
      <c r="B363" s="137"/>
      <c r="C363" s="53">
        <f t="shared" si="70"/>
        <v>1</v>
      </c>
      <c r="D363" s="962"/>
      <c r="E363" s="53">
        <f t="shared" si="71"/>
        <v>0.04</v>
      </c>
      <c r="F363" s="962"/>
      <c r="G363" s="53">
        <f t="shared" si="72"/>
        <v>0</v>
      </c>
      <c r="H363" s="962"/>
      <c r="I363" s="53">
        <f t="shared" si="73"/>
        <v>0</v>
      </c>
      <c r="J363" s="962"/>
      <c r="K363" s="53">
        <f t="shared" si="74"/>
        <v>0.03</v>
      </c>
      <c r="L363" s="962"/>
      <c r="M363" s="53">
        <f t="shared" si="75"/>
        <v>0.03</v>
      </c>
      <c r="N363" s="962"/>
      <c r="O363" s="53">
        <f t="shared" si="76"/>
        <v>7.0000000000000007E-2</v>
      </c>
      <c r="P363" s="962"/>
      <c r="Q363" s="53">
        <f t="shared" si="77"/>
        <v>1</v>
      </c>
      <c r="R363" s="493">
        <f t="shared" si="78"/>
        <v>0</v>
      </c>
      <c r="S363" s="800">
        <f t="shared" si="69"/>
        <v>0</v>
      </c>
    </row>
    <row r="364" spans="1:19">
      <c r="A364" s="964"/>
      <c r="B364" s="137"/>
      <c r="C364" s="53">
        <f t="shared" si="70"/>
        <v>1</v>
      </c>
      <c r="D364" s="962"/>
      <c r="E364" s="53">
        <f t="shared" si="71"/>
        <v>0.04</v>
      </c>
      <c r="F364" s="962"/>
      <c r="G364" s="53">
        <f t="shared" si="72"/>
        <v>0</v>
      </c>
      <c r="H364" s="962"/>
      <c r="I364" s="53">
        <f t="shared" si="73"/>
        <v>0</v>
      </c>
      <c r="J364" s="962"/>
      <c r="K364" s="53">
        <f t="shared" si="74"/>
        <v>0.03</v>
      </c>
      <c r="L364" s="962"/>
      <c r="M364" s="53">
        <f t="shared" si="75"/>
        <v>0.03</v>
      </c>
      <c r="N364" s="962"/>
      <c r="O364" s="53">
        <f t="shared" si="76"/>
        <v>7.0000000000000007E-2</v>
      </c>
      <c r="P364" s="962"/>
      <c r="Q364" s="53">
        <f t="shared" si="77"/>
        <v>1</v>
      </c>
      <c r="R364" s="493">
        <f t="shared" si="78"/>
        <v>0</v>
      </c>
      <c r="S364" s="800">
        <f t="shared" si="69"/>
        <v>0</v>
      </c>
    </row>
    <row r="365" spans="1:19">
      <c r="A365" s="964"/>
      <c r="B365" s="137"/>
      <c r="C365" s="53">
        <f t="shared" si="70"/>
        <v>1</v>
      </c>
      <c r="D365" s="962"/>
      <c r="E365" s="53">
        <f t="shared" si="71"/>
        <v>0.04</v>
      </c>
      <c r="F365" s="962"/>
      <c r="G365" s="53">
        <f t="shared" si="72"/>
        <v>0</v>
      </c>
      <c r="H365" s="962"/>
      <c r="I365" s="53">
        <f t="shared" si="73"/>
        <v>0</v>
      </c>
      <c r="J365" s="962"/>
      <c r="K365" s="53">
        <f t="shared" si="74"/>
        <v>0.03</v>
      </c>
      <c r="L365" s="962"/>
      <c r="M365" s="53">
        <f t="shared" si="75"/>
        <v>0.03</v>
      </c>
      <c r="N365" s="962"/>
      <c r="O365" s="53">
        <f t="shared" si="76"/>
        <v>7.0000000000000007E-2</v>
      </c>
      <c r="P365" s="962"/>
      <c r="Q365" s="53">
        <f t="shared" si="77"/>
        <v>1</v>
      </c>
      <c r="R365" s="493">
        <f t="shared" si="78"/>
        <v>0</v>
      </c>
      <c r="S365" s="800">
        <f t="shared" si="69"/>
        <v>0</v>
      </c>
    </row>
    <row r="366" spans="1:19">
      <c r="A366" s="964"/>
      <c r="B366" s="137"/>
      <c r="C366" s="53">
        <f t="shared" si="70"/>
        <v>1</v>
      </c>
      <c r="D366" s="962"/>
      <c r="E366" s="53">
        <f t="shared" si="71"/>
        <v>0.04</v>
      </c>
      <c r="F366" s="962"/>
      <c r="G366" s="53">
        <f t="shared" si="72"/>
        <v>0</v>
      </c>
      <c r="H366" s="962"/>
      <c r="I366" s="53">
        <f t="shared" si="73"/>
        <v>0</v>
      </c>
      <c r="J366" s="962"/>
      <c r="K366" s="53">
        <f t="shared" si="74"/>
        <v>0.03</v>
      </c>
      <c r="L366" s="962"/>
      <c r="M366" s="53">
        <f t="shared" si="75"/>
        <v>0.03</v>
      </c>
      <c r="N366" s="962"/>
      <c r="O366" s="53">
        <f t="shared" si="76"/>
        <v>7.0000000000000007E-2</v>
      </c>
      <c r="P366" s="962"/>
      <c r="Q366" s="53">
        <f t="shared" si="77"/>
        <v>1</v>
      </c>
      <c r="R366" s="493">
        <f t="shared" si="78"/>
        <v>0</v>
      </c>
      <c r="S366" s="800">
        <f t="shared" si="69"/>
        <v>0</v>
      </c>
    </row>
    <row r="367" spans="1:19">
      <c r="A367" s="964"/>
      <c r="B367" s="137"/>
      <c r="C367" s="53">
        <f t="shared" si="70"/>
        <v>1</v>
      </c>
      <c r="D367" s="962"/>
      <c r="E367" s="53">
        <f t="shared" si="71"/>
        <v>0.04</v>
      </c>
      <c r="F367" s="962"/>
      <c r="G367" s="53">
        <f t="shared" si="72"/>
        <v>0</v>
      </c>
      <c r="H367" s="962"/>
      <c r="I367" s="53">
        <f t="shared" si="73"/>
        <v>0</v>
      </c>
      <c r="J367" s="962"/>
      <c r="K367" s="53">
        <f t="shared" si="74"/>
        <v>0.03</v>
      </c>
      <c r="L367" s="962"/>
      <c r="M367" s="53">
        <f t="shared" si="75"/>
        <v>0.03</v>
      </c>
      <c r="N367" s="962"/>
      <c r="O367" s="53">
        <f t="shared" si="76"/>
        <v>7.0000000000000007E-2</v>
      </c>
      <c r="P367" s="962"/>
      <c r="Q367" s="53">
        <f t="shared" si="77"/>
        <v>1</v>
      </c>
      <c r="R367" s="493">
        <f t="shared" si="78"/>
        <v>0</v>
      </c>
      <c r="S367" s="800">
        <f t="shared" si="69"/>
        <v>0</v>
      </c>
    </row>
    <row r="368" spans="1:19">
      <c r="A368" s="964"/>
      <c r="B368" s="137"/>
      <c r="C368" s="53">
        <f t="shared" si="70"/>
        <v>1</v>
      </c>
      <c r="D368" s="962"/>
      <c r="E368" s="53">
        <f t="shared" si="71"/>
        <v>0.04</v>
      </c>
      <c r="F368" s="962"/>
      <c r="G368" s="53">
        <f t="shared" si="72"/>
        <v>0</v>
      </c>
      <c r="H368" s="962"/>
      <c r="I368" s="53">
        <f t="shared" si="73"/>
        <v>0</v>
      </c>
      <c r="J368" s="962"/>
      <c r="K368" s="53">
        <f t="shared" si="74"/>
        <v>0.03</v>
      </c>
      <c r="L368" s="962"/>
      <c r="M368" s="53">
        <f t="shared" si="75"/>
        <v>0.03</v>
      </c>
      <c r="N368" s="962"/>
      <c r="O368" s="53">
        <f t="shared" si="76"/>
        <v>7.0000000000000007E-2</v>
      </c>
      <c r="P368" s="962"/>
      <c r="Q368" s="53">
        <f t="shared" si="77"/>
        <v>1</v>
      </c>
      <c r="R368" s="493">
        <f t="shared" si="78"/>
        <v>0</v>
      </c>
      <c r="S368" s="800">
        <f t="shared" si="69"/>
        <v>0</v>
      </c>
    </row>
    <row r="369" spans="1:19">
      <c r="A369" s="964"/>
      <c r="B369" s="137"/>
      <c r="C369" s="53">
        <f t="shared" si="70"/>
        <v>1</v>
      </c>
      <c r="D369" s="962"/>
      <c r="E369" s="53">
        <f t="shared" si="71"/>
        <v>0.04</v>
      </c>
      <c r="F369" s="962"/>
      <c r="G369" s="53">
        <f t="shared" si="72"/>
        <v>0</v>
      </c>
      <c r="H369" s="962"/>
      <c r="I369" s="53">
        <f t="shared" si="73"/>
        <v>0</v>
      </c>
      <c r="J369" s="962"/>
      <c r="K369" s="53">
        <f t="shared" si="74"/>
        <v>0.03</v>
      </c>
      <c r="L369" s="962"/>
      <c r="M369" s="53">
        <f t="shared" si="75"/>
        <v>0.03</v>
      </c>
      <c r="N369" s="962"/>
      <c r="O369" s="53">
        <f t="shared" si="76"/>
        <v>7.0000000000000007E-2</v>
      </c>
      <c r="P369" s="962"/>
      <c r="Q369" s="53">
        <f t="shared" si="77"/>
        <v>1</v>
      </c>
      <c r="R369" s="493">
        <f t="shared" si="78"/>
        <v>0</v>
      </c>
      <c r="S369" s="800">
        <f t="shared" si="69"/>
        <v>0</v>
      </c>
    </row>
    <row r="370" spans="1:19">
      <c r="A370" s="964"/>
      <c r="B370" s="137"/>
      <c r="C370" s="53">
        <f t="shared" si="70"/>
        <v>1</v>
      </c>
      <c r="D370" s="962"/>
      <c r="E370" s="53">
        <f t="shared" si="71"/>
        <v>0.04</v>
      </c>
      <c r="F370" s="962"/>
      <c r="G370" s="53">
        <f t="shared" si="72"/>
        <v>0</v>
      </c>
      <c r="H370" s="962"/>
      <c r="I370" s="53">
        <f t="shared" si="73"/>
        <v>0</v>
      </c>
      <c r="J370" s="962"/>
      <c r="K370" s="53">
        <f t="shared" si="74"/>
        <v>0.03</v>
      </c>
      <c r="L370" s="962"/>
      <c r="M370" s="53">
        <f t="shared" si="75"/>
        <v>0.03</v>
      </c>
      <c r="N370" s="962"/>
      <c r="O370" s="53">
        <f t="shared" si="76"/>
        <v>7.0000000000000007E-2</v>
      </c>
      <c r="P370" s="962"/>
      <c r="Q370" s="53">
        <f t="shared" si="77"/>
        <v>1</v>
      </c>
      <c r="R370" s="493">
        <f t="shared" si="78"/>
        <v>0</v>
      </c>
      <c r="S370" s="800">
        <f t="shared" si="69"/>
        <v>0</v>
      </c>
    </row>
    <row r="371" spans="1:19">
      <c r="A371" s="964"/>
      <c r="B371" s="137"/>
      <c r="C371" s="53">
        <f t="shared" si="70"/>
        <v>1</v>
      </c>
      <c r="D371" s="962"/>
      <c r="E371" s="53">
        <f t="shared" si="71"/>
        <v>0.04</v>
      </c>
      <c r="F371" s="962"/>
      <c r="G371" s="53">
        <f t="shared" si="72"/>
        <v>0</v>
      </c>
      <c r="H371" s="962"/>
      <c r="I371" s="53">
        <f t="shared" si="73"/>
        <v>0</v>
      </c>
      <c r="J371" s="962"/>
      <c r="K371" s="53">
        <f t="shared" si="74"/>
        <v>0.03</v>
      </c>
      <c r="L371" s="962"/>
      <c r="M371" s="53">
        <f t="shared" si="75"/>
        <v>0.03</v>
      </c>
      <c r="N371" s="962"/>
      <c r="O371" s="53">
        <f t="shared" si="76"/>
        <v>7.0000000000000007E-2</v>
      </c>
      <c r="P371" s="962"/>
      <c r="Q371" s="53">
        <f t="shared" si="77"/>
        <v>1</v>
      </c>
      <c r="R371" s="493">
        <f t="shared" si="78"/>
        <v>0</v>
      </c>
      <c r="S371" s="800">
        <f t="shared" si="69"/>
        <v>0</v>
      </c>
    </row>
    <row r="372" spans="1:19">
      <c r="A372" s="964"/>
      <c r="B372" s="137"/>
      <c r="C372" s="53">
        <f t="shared" si="70"/>
        <v>1</v>
      </c>
      <c r="D372" s="962"/>
      <c r="E372" s="53">
        <f t="shared" si="71"/>
        <v>0.04</v>
      </c>
      <c r="F372" s="962"/>
      <c r="G372" s="53">
        <f t="shared" si="72"/>
        <v>0</v>
      </c>
      <c r="H372" s="962"/>
      <c r="I372" s="53">
        <f t="shared" si="73"/>
        <v>0</v>
      </c>
      <c r="J372" s="962"/>
      <c r="K372" s="53">
        <f t="shared" si="74"/>
        <v>0.03</v>
      </c>
      <c r="L372" s="962"/>
      <c r="M372" s="53">
        <f t="shared" si="75"/>
        <v>0.03</v>
      </c>
      <c r="N372" s="962"/>
      <c r="O372" s="53">
        <f t="shared" si="76"/>
        <v>7.0000000000000007E-2</v>
      </c>
      <c r="P372" s="962"/>
      <c r="Q372" s="53">
        <f t="shared" si="77"/>
        <v>1</v>
      </c>
      <c r="R372" s="493">
        <f t="shared" si="78"/>
        <v>0</v>
      </c>
      <c r="S372" s="800">
        <f t="shared" si="69"/>
        <v>0</v>
      </c>
    </row>
    <row r="373" spans="1:19">
      <c r="A373" s="964"/>
      <c r="B373" s="137"/>
      <c r="C373" s="53">
        <f t="shared" si="70"/>
        <v>1</v>
      </c>
      <c r="D373" s="962"/>
      <c r="E373" s="53">
        <f t="shared" si="71"/>
        <v>0.04</v>
      </c>
      <c r="F373" s="962"/>
      <c r="G373" s="53">
        <f t="shared" si="72"/>
        <v>0</v>
      </c>
      <c r="H373" s="962"/>
      <c r="I373" s="53">
        <f t="shared" si="73"/>
        <v>0</v>
      </c>
      <c r="J373" s="962"/>
      <c r="K373" s="53">
        <f t="shared" si="74"/>
        <v>0.03</v>
      </c>
      <c r="L373" s="962"/>
      <c r="M373" s="53">
        <f t="shared" si="75"/>
        <v>0.03</v>
      </c>
      <c r="N373" s="962"/>
      <c r="O373" s="53">
        <f t="shared" si="76"/>
        <v>7.0000000000000007E-2</v>
      </c>
      <c r="P373" s="962"/>
      <c r="Q373" s="53">
        <f t="shared" si="77"/>
        <v>1</v>
      </c>
      <c r="R373" s="493">
        <f t="shared" si="78"/>
        <v>0</v>
      </c>
      <c r="S373" s="800">
        <f t="shared" si="69"/>
        <v>0</v>
      </c>
    </row>
    <row r="374" spans="1:19">
      <c r="A374" s="964"/>
      <c r="B374" s="137"/>
      <c r="C374" s="53">
        <f t="shared" si="70"/>
        <v>1</v>
      </c>
      <c r="D374" s="962"/>
      <c r="E374" s="53">
        <f t="shared" si="71"/>
        <v>0.04</v>
      </c>
      <c r="F374" s="962"/>
      <c r="G374" s="53">
        <f t="shared" si="72"/>
        <v>0</v>
      </c>
      <c r="H374" s="962"/>
      <c r="I374" s="53">
        <f t="shared" si="73"/>
        <v>0</v>
      </c>
      <c r="J374" s="962"/>
      <c r="K374" s="53">
        <f t="shared" si="74"/>
        <v>0.03</v>
      </c>
      <c r="L374" s="962"/>
      <c r="M374" s="53">
        <f t="shared" si="75"/>
        <v>0.03</v>
      </c>
      <c r="N374" s="962"/>
      <c r="O374" s="53">
        <f t="shared" si="76"/>
        <v>7.0000000000000007E-2</v>
      </c>
      <c r="P374" s="962"/>
      <c r="Q374" s="53">
        <f t="shared" si="77"/>
        <v>1</v>
      </c>
      <c r="R374" s="493">
        <f t="shared" si="78"/>
        <v>0</v>
      </c>
      <c r="S374" s="800">
        <f t="shared" si="69"/>
        <v>0</v>
      </c>
    </row>
    <row r="375" spans="1:19">
      <c r="A375" s="964"/>
      <c r="B375" s="137"/>
      <c r="C375" s="53">
        <f t="shared" si="70"/>
        <v>1</v>
      </c>
      <c r="D375" s="962"/>
      <c r="E375" s="53">
        <f t="shared" si="71"/>
        <v>0.04</v>
      </c>
      <c r="F375" s="962"/>
      <c r="G375" s="53">
        <f t="shared" si="72"/>
        <v>0</v>
      </c>
      <c r="H375" s="962"/>
      <c r="I375" s="53">
        <f t="shared" si="73"/>
        <v>0</v>
      </c>
      <c r="J375" s="962"/>
      <c r="K375" s="53">
        <f t="shared" si="74"/>
        <v>0.03</v>
      </c>
      <c r="L375" s="962"/>
      <c r="M375" s="53">
        <f t="shared" si="75"/>
        <v>0.03</v>
      </c>
      <c r="N375" s="962"/>
      <c r="O375" s="53">
        <f t="shared" si="76"/>
        <v>7.0000000000000007E-2</v>
      </c>
      <c r="P375" s="962"/>
      <c r="Q375" s="53">
        <f t="shared" si="77"/>
        <v>1</v>
      </c>
      <c r="R375" s="493">
        <f t="shared" si="78"/>
        <v>0</v>
      </c>
      <c r="S375" s="800">
        <f t="shared" si="69"/>
        <v>0</v>
      </c>
    </row>
    <row r="376" spans="1:19">
      <c r="A376" s="964"/>
      <c r="B376" s="137"/>
      <c r="C376" s="53">
        <f t="shared" si="70"/>
        <v>1</v>
      </c>
      <c r="D376" s="962"/>
      <c r="E376" s="53">
        <f t="shared" si="71"/>
        <v>0.04</v>
      </c>
      <c r="F376" s="962"/>
      <c r="G376" s="53">
        <f t="shared" si="72"/>
        <v>0</v>
      </c>
      <c r="H376" s="962"/>
      <c r="I376" s="53">
        <f t="shared" si="73"/>
        <v>0</v>
      </c>
      <c r="J376" s="962"/>
      <c r="K376" s="53">
        <f t="shared" si="74"/>
        <v>0.03</v>
      </c>
      <c r="L376" s="962"/>
      <c r="M376" s="53">
        <f t="shared" si="75"/>
        <v>0.03</v>
      </c>
      <c r="N376" s="962"/>
      <c r="O376" s="53">
        <f t="shared" si="76"/>
        <v>7.0000000000000007E-2</v>
      </c>
      <c r="P376" s="962"/>
      <c r="Q376" s="53">
        <f t="shared" si="77"/>
        <v>1</v>
      </c>
      <c r="R376" s="493">
        <f t="shared" si="78"/>
        <v>0</v>
      </c>
      <c r="S376" s="800">
        <f t="shared" si="69"/>
        <v>0</v>
      </c>
    </row>
    <row r="377" spans="1:19">
      <c r="A377" s="964"/>
      <c r="B377" s="137"/>
      <c r="C377" s="53">
        <f t="shared" si="70"/>
        <v>1</v>
      </c>
      <c r="D377" s="962"/>
      <c r="E377" s="53">
        <f t="shared" si="71"/>
        <v>0.04</v>
      </c>
      <c r="F377" s="962"/>
      <c r="G377" s="53">
        <f t="shared" si="72"/>
        <v>0</v>
      </c>
      <c r="H377" s="962"/>
      <c r="I377" s="53">
        <f t="shared" si="73"/>
        <v>0</v>
      </c>
      <c r="J377" s="962"/>
      <c r="K377" s="53">
        <f t="shared" si="74"/>
        <v>0.03</v>
      </c>
      <c r="L377" s="962"/>
      <c r="M377" s="53">
        <f t="shared" si="75"/>
        <v>0.03</v>
      </c>
      <c r="N377" s="962"/>
      <c r="O377" s="53">
        <f t="shared" si="76"/>
        <v>7.0000000000000007E-2</v>
      </c>
      <c r="P377" s="962"/>
      <c r="Q377" s="53">
        <f t="shared" si="77"/>
        <v>1</v>
      </c>
      <c r="R377" s="493">
        <f t="shared" si="78"/>
        <v>0</v>
      </c>
      <c r="S377" s="800">
        <f t="shared" si="69"/>
        <v>0</v>
      </c>
    </row>
    <row r="378" spans="1:19">
      <c r="A378" s="964"/>
      <c r="B378" s="137"/>
      <c r="C378" s="53">
        <f t="shared" si="70"/>
        <v>1</v>
      </c>
      <c r="D378" s="962"/>
      <c r="E378" s="53">
        <f t="shared" si="71"/>
        <v>0.04</v>
      </c>
      <c r="F378" s="962"/>
      <c r="G378" s="53">
        <f t="shared" si="72"/>
        <v>0</v>
      </c>
      <c r="H378" s="962"/>
      <c r="I378" s="53">
        <f t="shared" si="73"/>
        <v>0</v>
      </c>
      <c r="J378" s="962"/>
      <c r="K378" s="53">
        <f t="shared" si="74"/>
        <v>0.03</v>
      </c>
      <c r="L378" s="962"/>
      <c r="M378" s="53">
        <f t="shared" si="75"/>
        <v>0.03</v>
      </c>
      <c r="N378" s="962"/>
      <c r="O378" s="53">
        <f t="shared" si="76"/>
        <v>7.0000000000000007E-2</v>
      </c>
      <c r="P378" s="962"/>
      <c r="Q378" s="53">
        <f t="shared" si="77"/>
        <v>1</v>
      </c>
      <c r="R378" s="493">
        <f t="shared" si="78"/>
        <v>0</v>
      </c>
      <c r="S378" s="800">
        <f t="shared" si="69"/>
        <v>0</v>
      </c>
    </row>
    <row r="379" spans="1:19">
      <c r="A379" s="964"/>
      <c r="B379" s="137"/>
      <c r="C379" s="53">
        <f t="shared" si="70"/>
        <v>1</v>
      </c>
      <c r="D379" s="962"/>
      <c r="E379" s="53">
        <f t="shared" si="71"/>
        <v>0.04</v>
      </c>
      <c r="F379" s="962"/>
      <c r="G379" s="53">
        <f t="shared" si="72"/>
        <v>0</v>
      </c>
      <c r="H379" s="962"/>
      <c r="I379" s="53">
        <f t="shared" si="73"/>
        <v>0</v>
      </c>
      <c r="J379" s="962"/>
      <c r="K379" s="53">
        <f t="shared" si="74"/>
        <v>0.03</v>
      </c>
      <c r="L379" s="962"/>
      <c r="M379" s="53">
        <f t="shared" si="75"/>
        <v>0.03</v>
      </c>
      <c r="N379" s="962"/>
      <c r="O379" s="53">
        <f t="shared" si="76"/>
        <v>7.0000000000000007E-2</v>
      </c>
      <c r="P379" s="962"/>
      <c r="Q379" s="53">
        <f t="shared" si="77"/>
        <v>1</v>
      </c>
      <c r="R379" s="493">
        <f t="shared" si="78"/>
        <v>0</v>
      </c>
      <c r="S379" s="800">
        <f t="shared" si="69"/>
        <v>0</v>
      </c>
    </row>
    <row r="380" spans="1:19">
      <c r="A380" s="964"/>
      <c r="B380" s="137"/>
      <c r="C380" s="53">
        <f t="shared" si="70"/>
        <v>1</v>
      </c>
      <c r="D380" s="962"/>
      <c r="E380" s="53">
        <f t="shared" si="71"/>
        <v>0.04</v>
      </c>
      <c r="F380" s="962"/>
      <c r="G380" s="53">
        <f t="shared" si="72"/>
        <v>0</v>
      </c>
      <c r="H380" s="962"/>
      <c r="I380" s="53">
        <f t="shared" si="73"/>
        <v>0</v>
      </c>
      <c r="J380" s="962"/>
      <c r="K380" s="53">
        <f t="shared" si="74"/>
        <v>0.03</v>
      </c>
      <c r="L380" s="962"/>
      <c r="M380" s="53">
        <f t="shared" si="75"/>
        <v>0.03</v>
      </c>
      <c r="N380" s="962"/>
      <c r="O380" s="53">
        <f t="shared" si="76"/>
        <v>7.0000000000000007E-2</v>
      </c>
      <c r="P380" s="962"/>
      <c r="Q380" s="53">
        <f t="shared" si="77"/>
        <v>1</v>
      </c>
      <c r="R380" s="493">
        <f t="shared" si="78"/>
        <v>0</v>
      </c>
      <c r="S380" s="800">
        <f t="shared" si="69"/>
        <v>0</v>
      </c>
    </row>
    <row r="381" spans="1:19">
      <c r="A381" s="964"/>
      <c r="B381" s="137"/>
      <c r="C381" s="53">
        <f t="shared" si="70"/>
        <v>1</v>
      </c>
      <c r="D381" s="962"/>
      <c r="E381" s="53">
        <f t="shared" si="71"/>
        <v>0.04</v>
      </c>
      <c r="F381" s="962"/>
      <c r="G381" s="53">
        <f t="shared" si="72"/>
        <v>0</v>
      </c>
      <c r="H381" s="962"/>
      <c r="I381" s="53">
        <f t="shared" si="73"/>
        <v>0</v>
      </c>
      <c r="J381" s="962"/>
      <c r="K381" s="53">
        <f t="shared" si="74"/>
        <v>0.03</v>
      </c>
      <c r="L381" s="962"/>
      <c r="M381" s="53">
        <f t="shared" si="75"/>
        <v>0.03</v>
      </c>
      <c r="N381" s="962"/>
      <c r="O381" s="53">
        <f t="shared" si="76"/>
        <v>7.0000000000000007E-2</v>
      </c>
      <c r="P381" s="962"/>
      <c r="Q381" s="53">
        <f t="shared" si="77"/>
        <v>1</v>
      </c>
      <c r="R381" s="493">
        <f t="shared" si="78"/>
        <v>0</v>
      </c>
      <c r="S381" s="800">
        <f t="shared" si="69"/>
        <v>0</v>
      </c>
    </row>
    <row r="382" spans="1:19">
      <c r="A382" s="964"/>
      <c r="B382" s="137"/>
      <c r="C382" s="53">
        <f t="shared" si="70"/>
        <v>1</v>
      </c>
      <c r="D382" s="962"/>
      <c r="E382" s="53">
        <f t="shared" si="71"/>
        <v>0.04</v>
      </c>
      <c r="F382" s="962"/>
      <c r="G382" s="53">
        <f t="shared" si="72"/>
        <v>0</v>
      </c>
      <c r="H382" s="962"/>
      <c r="I382" s="53">
        <f t="shared" si="73"/>
        <v>0</v>
      </c>
      <c r="J382" s="962"/>
      <c r="K382" s="53">
        <f t="shared" si="74"/>
        <v>0.03</v>
      </c>
      <c r="L382" s="962"/>
      <c r="M382" s="53">
        <f t="shared" si="75"/>
        <v>0.03</v>
      </c>
      <c r="N382" s="962"/>
      <c r="O382" s="53">
        <f t="shared" si="76"/>
        <v>7.0000000000000007E-2</v>
      </c>
      <c r="P382" s="962"/>
      <c r="Q382" s="53">
        <f t="shared" si="77"/>
        <v>1</v>
      </c>
      <c r="R382" s="493">
        <f t="shared" si="78"/>
        <v>0</v>
      </c>
      <c r="S382" s="800">
        <f t="shared" si="69"/>
        <v>0</v>
      </c>
    </row>
    <row r="383" spans="1:19">
      <c r="A383" s="964"/>
      <c r="B383" s="137"/>
      <c r="C383" s="53">
        <f t="shared" si="70"/>
        <v>1</v>
      </c>
      <c r="D383" s="962"/>
      <c r="E383" s="53">
        <f t="shared" si="71"/>
        <v>0.04</v>
      </c>
      <c r="F383" s="962"/>
      <c r="G383" s="53">
        <f t="shared" si="72"/>
        <v>0</v>
      </c>
      <c r="H383" s="962"/>
      <c r="I383" s="53">
        <f t="shared" si="73"/>
        <v>0</v>
      </c>
      <c r="J383" s="962"/>
      <c r="K383" s="53">
        <f t="shared" si="74"/>
        <v>0.03</v>
      </c>
      <c r="L383" s="962"/>
      <c r="M383" s="53">
        <f t="shared" si="75"/>
        <v>0.03</v>
      </c>
      <c r="N383" s="962"/>
      <c r="O383" s="53">
        <f t="shared" si="76"/>
        <v>7.0000000000000007E-2</v>
      </c>
      <c r="P383" s="962"/>
      <c r="Q383" s="53">
        <f t="shared" si="77"/>
        <v>1</v>
      </c>
      <c r="R383" s="493">
        <f t="shared" si="78"/>
        <v>0</v>
      </c>
      <c r="S383" s="800">
        <f t="shared" si="69"/>
        <v>0</v>
      </c>
    </row>
    <row r="384" spans="1:19">
      <c r="A384" s="964"/>
      <c r="B384" s="137"/>
      <c r="C384" s="53">
        <f t="shared" si="70"/>
        <v>1</v>
      </c>
      <c r="D384" s="962"/>
      <c r="E384" s="53">
        <f t="shared" si="71"/>
        <v>0.04</v>
      </c>
      <c r="F384" s="962"/>
      <c r="G384" s="53">
        <f t="shared" si="72"/>
        <v>0</v>
      </c>
      <c r="H384" s="962"/>
      <c r="I384" s="53">
        <f t="shared" si="73"/>
        <v>0</v>
      </c>
      <c r="J384" s="962"/>
      <c r="K384" s="53">
        <f t="shared" si="74"/>
        <v>0.03</v>
      </c>
      <c r="L384" s="962"/>
      <c r="M384" s="53">
        <f t="shared" si="75"/>
        <v>0.03</v>
      </c>
      <c r="N384" s="962"/>
      <c r="O384" s="53">
        <f t="shared" si="76"/>
        <v>7.0000000000000007E-2</v>
      </c>
      <c r="P384" s="962"/>
      <c r="Q384" s="53">
        <f t="shared" si="77"/>
        <v>1</v>
      </c>
      <c r="R384" s="493">
        <f t="shared" si="78"/>
        <v>0</v>
      </c>
      <c r="S384" s="800">
        <f t="shared" si="69"/>
        <v>0</v>
      </c>
    </row>
    <row r="385" spans="1:19">
      <c r="A385" s="964"/>
      <c r="B385" s="137"/>
      <c r="C385" s="53">
        <f t="shared" si="70"/>
        <v>1</v>
      </c>
      <c r="D385" s="962"/>
      <c r="E385" s="53">
        <f t="shared" si="71"/>
        <v>0.04</v>
      </c>
      <c r="F385" s="962"/>
      <c r="G385" s="53">
        <f t="shared" si="72"/>
        <v>0</v>
      </c>
      <c r="H385" s="962"/>
      <c r="I385" s="53">
        <f t="shared" si="73"/>
        <v>0</v>
      </c>
      <c r="J385" s="962"/>
      <c r="K385" s="53">
        <f t="shared" si="74"/>
        <v>0.03</v>
      </c>
      <c r="L385" s="962"/>
      <c r="M385" s="53">
        <f t="shared" si="75"/>
        <v>0.03</v>
      </c>
      <c r="N385" s="962"/>
      <c r="O385" s="53">
        <f t="shared" si="76"/>
        <v>7.0000000000000007E-2</v>
      </c>
      <c r="P385" s="962"/>
      <c r="Q385" s="53">
        <f t="shared" si="77"/>
        <v>1</v>
      </c>
      <c r="R385" s="493">
        <f t="shared" si="78"/>
        <v>0</v>
      </c>
      <c r="S385" s="800">
        <f t="shared" ref="S385:S422" si="79">ROUND(R385*B385/10000,0)</f>
        <v>0</v>
      </c>
    </row>
    <row r="386" spans="1:19">
      <c r="A386" s="964"/>
      <c r="B386" s="137"/>
      <c r="C386" s="53">
        <f t="shared" si="70"/>
        <v>1</v>
      </c>
      <c r="D386" s="962"/>
      <c r="E386" s="53">
        <f t="shared" si="71"/>
        <v>0.04</v>
      </c>
      <c r="F386" s="962"/>
      <c r="G386" s="53">
        <f t="shared" si="72"/>
        <v>0</v>
      </c>
      <c r="H386" s="962"/>
      <c r="I386" s="53">
        <f t="shared" si="73"/>
        <v>0</v>
      </c>
      <c r="J386" s="962"/>
      <c r="K386" s="53">
        <f t="shared" si="74"/>
        <v>0.03</v>
      </c>
      <c r="L386" s="962"/>
      <c r="M386" s="53">
        <f t="shared" si="75"/>
        <v>0.03</v>
      </c>
      <c r="N386" s="962"/>
      <c r="O386" s="53">
        <f t="shared" si="76"/>
        <v>7.0000000000000007E-2</v>
      </c>
      <c r="P386" s="962"/>
      <c r="Q386" s="53">
        <f t="shared" si="77"/>
        <v>1</v>
      </c>
      <c r="R386" s="493">
        <f t="shared" si="78"/>
        <v>0</v>
      </c>
      <c r="S386" s="800">
        <f t="shared" si="79"/>
        <v>0</v>
      </c>
    </row>
    <row r="387" spans="1:19">
      <c r="A387" s="964"/>
      <c r="B387" s="137"/>
      <c r="C387" s="53">
        <f t="shared" si="70"/>
        <v>1</v>
      </c>
      <c r="D387" s="962"/>
      <c r="E387" s="53">
        <f t="shared" si="71"/>
        <v>0.04</v>
      </c>
      <c r="F387" s="962"/>
      <c r="G387" s="53">
        <f t="shared" si="72"/>
        <v>0</v>
      </c>
      <c r="H387" s="962"/>
      <c r="I387" s="53">
        <f t="shared" si="73"/>
        <v>0</v>
      </c>
      <c r="J387" s="962"/>
      <c r="K387" s="53">
        <f t="shared" si="74"/>
        <v>0.03</v>
      </c>
      <c r="L387" s="962"/>
      <c r="M387" s="53">
        <f t="shared" si="75"/>
        <v>0.03</v>
      </c>
      <c r="N387" s="962"/>
      <c r="O387" s="53">
        <f t="shared" si="76"/>
        <v>7.0000000000000007E-2</v>
      </c>
      <c r="P387" s="962"/>
      <c r="Q387" s="53">
        <f t="shared" si="77"/>
        <v>1</v>
      </c>
      <c r="R387" s="493">
        <f t="shared" si="78"/>
        <v>0</v>
      </c>
      <c r="S387" s="800">
        <f t="shared" si="79"/>
        <v>0</v>
      </c>
    </row>
    <row r="388" spans="1:19">
      <c r="A388" s="964"/>
      <c r="B388" s="137"/>
      <c r="C388" s="53">
        <f t="shared" si="70"/>
        <v>1</v>
      </c>
      <c r="D388" s="962"/>
      <c r="E388" s="53">
        <f t="shared" si="71"/>
        <v>0.04</v>
      </c>
      <c r="F388" s="962"/>
      <c r="G388" s="53">
        <f t="shared" si="72"/>
        <v>0</v>
      </c>
      <c r="H388" s="962"/>
      <c r="I388" s="53">
        <f t="shared" si="73"/>
        <v>0</v>
      </c>
      <c r="J388" s="962"/>
      <c r="K388" s="53">
        <f t="shared" si="74"/>
        <v>0.03</v>
      </c>
      <c r="L388" s="962"/>
      <c r="M388" s="53">
        <f t="shared" si="75"/>
        <v>0.03</v>
      </c>
      <c r="N388" s="962"/>
      <c r="O388" s="53">
        <f t="shared" si="76"/>
        <v>7.0000000000000007E-2</v>
      </c>
      <c r="P388" s="962"/>
      <c r="Q388" s="53">
        <f t="shared" si="77"/>
        <v>1</v>
      </c>
      <c r="R388" s="493">
        <f t="shared" si="78"/>
        <v>0</v>
      </c>
      <c r="S388" s="800">
        <f t="shared" si="79"/>
        <v>0</v>
      </c>
    </row>
    <row r="389" spans="1:19">
      <c r="A389" s="964"/>
      <c r="B389" s="137"/>
      <c r="C389" s="53">
        <f t="shared" si="70"/>
        <v>1</v>
      </c>
      <c r="D389" s="962"/>
      <c r="E389" s="53">
        <f t="shared" si="71"/>
        <v>0.04</v>
      </c>
      <c r="F389" s="962"/>
      <c r="G389" s="53">
        <f t="shared" si="72"/>
        <v>0</v>
      </c>
      <c r="H389" s="962"/>
      <c r="I389" s="53">
        <f t="shared" si="73"/>
        <v>0</v>
      </c>
      <c r="J389" s="962"/>
      <c r="K389" s="53">
        <f t="shared" si="74"/>
        <v>0.03</v>
      </c>
      <c r="L389" s="962"/>
      <c r="M389" s="53">
        <f t="shared" si="75"/>
        <v>0.03</v>
      </c>
      <c r="N389" s="962"/>
      <c r="O389" s="53">
        <f t="shared" si="76"/>
        <v>7.0000000000000007E-2</v>
      </c>
      <c r="P389" s="962"/>
      <c r="Q389" s="53">
        <f t="shared" si="77"/>
        <v>1</v>
      </c>
      <c r="R389" s="493">
        <f t="shared" si="78"/>
        <v>0</v>
      </c>
      <c r="S389" s="800">
        <f t="shared" si="79"/>
        <v>0</v>
      </c>
    </row>
    <row r="390" spans="1:19">
      <c r="A390" s="964"/>
      <c r="B390" s="137"/>
      <c r="C390" s="53">
        <f t="shared" si="70"/>
        <v>1</v>
      </c>
      <c r="D390" s="962"/>
      <c r="E390" s="53">
        <f t="shared" si="71"/>
        <v>0.04</v>
      </c>
      <c r="F390" s="962"/>
      <c r="G390" s="53">
        <f t="shared" si="72"/>
        <v>0</v>
      </c>
      <c r="H390" s="962"/>
      <c r="I390" s="53">
        <f t="shared" si="73"/>
        <v>0</v>
      </c>
      <c r="J390" s="962"/>
      <c r="K390" s="53">
        <f t="shared" si="74"/>
        <v>0.03</v>
      </c>
      <c r="L390" s="962"/>
      <c r="M390" s="53">
        <f t="shared" si="75"/>
        <v>0.03</v>
      </c>
      <c r="N390" s="962"/>
      <c r="O390" s="53">
        <f t="shared" si="76"/>
        <v>7.0000000000000007E-2</v>
      </c>
      <c r="P390" s="962"/>
      <c r="Q390" s="53">
        <f t="shared" si="77"/>
        <v>1</v>
      </c>
      <c r="R390" s="493">
        <f t="shared" si="78"/>
        <v>0</v>
      </c>
      <c r="S390" s="800">
        <f t="shared" si="79"/>
        <v>0</v>
      </c>
    </row>
    <row r="391" spans="1:19">
      <c r="A391" s="964"/>
      <c r="B391" s="137"/>
      <c r="C391" s="53">
        <f t="shared" si="70"/>
        <v>1</v>
      </c>
      <c r="D391" s="962"/>
      <c r="E391" s="53">
        <f t="shared" si="71"/>
        <v>0.04</v>
      </c>
      <c r="F391" s="962"/>
      <c r="G391" s="53">
        <f t="shared" si="72"/>
        <v>0</v>
      </c>
      <c r="H391" s="962"/>
      <c r="I391" s="53">
        <f t="shared" si="73"/>
        <v>0</v>
      </c>
      <c r="J391" s="962"/>
      <c r="K391" s="53">
        <f t="shared" si="74"/>
        <v>0.03</v>
      </c>
      <c r="L391" s="962"/>
      <c r="M391" s="53">
        <f t="shared" si="75"/>
        <v>0.03</v>
      </c>
      <c r="N391" s="962"/>
      <c r="O391" s="53">
        <f t="shared" si="76"/>
        <v>7.0000000000000007E-2</v>
      </c>
      <c r="P391" s="962"/>
      <c r="Q391" s="53">
        <f t="shared" si="77"/>
        <v>1</v>
      </c>
      <c r="R391" s="493">
        <f t="shared" si="78"/>
        <v>0</v>
      </c>
      <c r="S391" s="800">
        <f t="shared" si="79"/>
        <v>0</v>
      </c>
    </row>
    <row r="392" spans="1:19">
      <c r="A392" s="964"/>
      <c r="B392" s="137"/>
      <c r="C392" s="53">
        <f t="shared" si="70"/>
        <v>1</v>
      </c>
      <c r="D392" s="962"/>
      <c r="E392" s="53">
        <f t="shared" si="71"/>
        <v>0.04</v>
      </c>
      <c r="F392" s="962"/>
      <c r="G392" s="53">
        <f t="shared" si="72"/>
        <v>0</v>
      </c>
      <c r="H392" s="962"/>
      <c r="I392" s="53">
        <f t="shared" si="73"/>
        <v>0</v>
      </c>
      <c r="J392" s="962"/>
      <c r="K392" s="53">
        <f t="shared" si="74"/>
        <v>0.03</v>
      </c>
      <c r="L392" s="962"/>
      <c r="M392" s="53">
        <f t="shared" si="75"/>
        <v>0.03</v>
      </c>
      <c r="N392" s="962"/>
      <c r="O392" s="53">
        <f t="shared" si="76"/>
        <v>7.0000000000000007E-2</v>
      </c>
      <c r="P392" s="962"/>
      <c r="Q392" s="53">
        <f t="shared" si="77"/>
        <v>1</v>
      </c>
      <c r="R392" s="493">
        <f t="shared" si="78"/>
        <v>0</v>
      </c>
      <c r="S392" s="800">
        <f t="shared" si="79"/>
        <v>0</v>
      </c>
    </row>
    <row r="393" spans="1:19">
      <c r="A393" s="964"/>
      <c r="B393" s="137"/>
      <c r="C393" s="53">
        <f t="shared" si="70"/>
        <v>1</v>
      </c>
      <c r="D393" s="962"/>
      <c r="E393" s="53">
        <f t="shared" si="71"/>
        <v>0.04</v>
      </c>
      <c r="F393" s="962"/>
      <c r="G393" s="53">
        <f t="shared" si="72"/>
        <v>0</v>
      </c>
      <c r="H393" s="962"/>
      <c r="I393" s="53">
        <f t="shared" si="73"/>
        <v>0</v>
      </c>
      <c r="J393" s="962"/>
      <c r="K393" s="53">
        <f t="shared" si="74"/>
        <v>0.03</v>
      </c>
      <c r="L393" s="962"/>
      <c r="M393" s="53">
        <f t="shared" si="75"/>
        <v>0.03</v>
      </c>
      <c r="N393" s="962"/>
      <c r="O393" s="53">
        <f t="shared" si="76"/>
        <v>7.0000000000000007E-2</v>
      </c>
      <c r="P393" s="962"/>
      <c r="Q393" s="53">
        <f t="shared" si="77"/>
        <v>1</v>
      </c>
      <c r="R393" s="493">
        <f t="shared" si="78"/>
        <v>0</v>
      </c>
      <c r="S393" s="800">
        <f t="shared" si="79"/>
        <v>0</v>
      </c>
    </row>
    <row r="394" spans="1:19">
      <c r="A394" s="964"/>
      <c r="B394" s="137"/>
      <c r="C394" s="53">
        <f t="shared" si="70"/>
        <v>1</v>
      </c>
      <c r="D394" s="962"/>
      <c r="E394" s="53">
        <f t="shared" si="71"/>
        <v>0.04</v>
      </c>
      <c r="F394" s="962"/>
      <c r="G394" s="53">
        <f t="shared" si="72"/>
        <v>0</v>
      </c>
      <c r="H394" s="962"/>
      <c r="I394" s="53">
        <f t="shared" si="73"/>
        <v>0</v>
      </c>
      <c r="J394" s="962"/>
      <c r="K394" s="53">
        <f t="shared" si="74"/>
        <v>0.03</v>
      </c>
      <c r="L394" s="962"/>
      <c r="M394" s="53">
        <f t="shared" si="75"/>
        <v>0.03</v>
      </c>
      <c r="N394" s="962"/>
      <c r="O394" s="53">
        <f t="shared" si="76"/>
        <v>7.0000000000000007E-2</v>
      </c>
      <c r="P394" s="962"/>
      <c r="Q394" s="53">
        <f t="shared" si="77"/>
        <v>1</v>
      </c>
      <c r="R394" s="493">
        <f t="shared" si="78"/>
        <v>0</v>
      </c>
      <c r="S394" s="800">
        <f t="shared" si="79"/>
        <v>0</v>
      </c>
    </row>
    <row r="395" spans="1:19">
      <c r="A395" s="964"/>
      <c r="B395" s="137"/>
      <c r="C395" s="53">
        <f t="shared" si="70"/>
        <v>1</v>
      </c>
      <c r="D395" s="962"/>
      <c r="E395" s="53">
        <f t="shared" si="71"/>
        <v>0.04</v>
      </c>
      <c r="F395" s="962"/>
      <c r="G395" s="53">
        <f t="shared" si="72"/>
        <v>0</v>
      </c>
      <c r="H395" s="962"/>
      <c r="I395" s="53">
        <f t="shared" si="73"/>
        <v>0</v>
      </c>
      <c r="J395" s="962"/>
      <c r="K395" s="53">
        <f t="shared" si="74"/>
        <v>0.03</v>
      </c>
      <c r="L395" s="962"/>
      <c r="M395" s="53">
        <f t="shared" si="75"/>
        <v>0.03</v>
      </c>
      <c r="N395" s="962"/>
      <c r="O395" s="53">
        <f t="shared" si="76"/>
        <v>7.0000000000000007E-2</v>
      </c>
      <c r="P395" s="962"/>
      <c r="Q395" s="53">
        <f t="shared" si="77"/>
        <v>1</v>
      </c>
      <c r="R395" s="493">
        <f t="shared" si="78"/>
        <v>0</v>
      </c>
      <c r="S395" s="800">
        <f t="shared" si="79"/>
        <v>0</v>
      </c>
    </row>
    <row r="396" spans="1:19">
      <c r="A396" s="964"/>
      <c r="B396" s="137"/>
      <c r="C396" s="53">
        <f t="shared" si="70"/>
        <v>1</v>
      </c>
      <c r="D396" s="962"/>
      <c r="E396" s="53">
        <f t="shared" si="71"/>
        <v>0.04</v>
      </c>
      <c r="F396" s="962"/>
      <c r="G396" s="53">
        <f t="shared" si="72"/>
        <v>0</v>
      </c>
      <c r="H396" s="962"/>
      <c r="I396" s="53">
        <f t="shared" si="73"/>
        <v>0</v>
      </c>
      <c r="J396" s="962"/>
      <c r="K396" s="53">
        <f t="shared" si="74"/>
        <v>0.03</v>
      </c>
      <c r="L396" s="962"/>
      <c r="M396" s="53">
        <f t="shared" si="75"/>
        <v>0.03</v>
      </c>
      <c r="N396" s="962"/>
      <c r="O396" s="53">
        <f t="shared" si="76"/>
        <v>7.0000000000000007E-2</v>
      </c>
      <c r="P396" s="962"/>
      <c r="Q396" s="53">
        <f t="shared" si="77"/>
        <v>1</v>
      </c>
      <c r="R396" s="493">
        <f t="shared" si="78"/>
        <v>0</v>
      </c>
      <c r="S396" s="800">
        <f t="shared" si="79"/>
        <v>0</v>
      </c>
    </row>
    <row r="397" spans="1:19">
      <c r="A397" s="964"/>
      <c r="B397" s="137"/>
      <c r="C397" s="53">
        <f t="shared" si="70"/>
        <v>1</v>
      </c>
      <c r="D397" s="962"/>
      <c r="E397" s="53">
        <f t="shared" si="71"/>
        <v>0.04</v>
      </c>
      <c r="F397" s="962"/>
      <c r="G397" s="53">
        <f t="shared" si="72"/>
        <v>0</v>
      </c>
      <c r="H397" s="962"/>
      <c r="I397" s="53">
        <f t="shared" si="73"/>
        <v>0</v>
      </c>
      <c r="J397" s="962"/>
      <c r="K397" s="53">
        <f t="shared" si="74"/>
        <v>0.03</v>
      </c>
      <c r="L397" s="962"/>
      <c r="M397" s="53">
        <f t="shared" si="75"/>
        <v>0.03</v>
      </c>
      <c r="N397" s="962"/>
      <c r="O397" s="53">
        <f t="shared" si="76"/>
        <v>7.0000000000000007E-2</v>
      </c>
      <c r="P397" s="962"/>
      <c r="Q397" s="53">
        <f t="shared" si="77"/>
        <v>1</v>
      </c>
      <c r="R397" s="493">
        <f t="shared" si="78"/>
        <v>0</v>
      </c>
      <c r="S397" s="800">
        <f t="shared" si="79"/>
        <v>0</v>
      </c>
    </row>
    <row r="398" spans="1:19">
      <c r="A398" s="964"/>
      <c r="B398" s="137"/>
      <c r="C398" s="53">
        <f t="shared" si="70"/>
        <v>1</v>
      </c>
      <c r="D398" s="962"/>
      <c r="E398" s="53">
        <f t="shared" si="71"/>
        <v>0.04</v>
      </c>
      <c r="F398" s="962"/>
      <c r="G398" s="53">
        <f t="shared" si="72"/>
        <v>0</v>
      </c>
      <c r="H398" s="962"/>
      <c r="I398" s="53">
        <f t="shared" si="73"/>
        <v>0</v>
      </c>
      <c r="J398" s="962"/>
      <c r="K398" s="53">
        <f t="shared" si="74"/>
        <v>0.03</v>
      </c>
      <c r="L398" s="962"/>
      <c r="M398" s="53">
        <f t="shared" si="75"/>
        <v>0.03</v>
      </c>
      <c r="N398" s="962"/>
      <c r="O398" s="53">
        <f t="shared" si="76"/>
        <v>7.0000000000000007E-2</v>
      </c>
      <c r="P398" s="962"/>
      <c r="Q398" s="53">
        <f t="shared" si="77"/>
        <v>1</v>
      </c>
      <c r="R398" s="493">
        <f t="shared" si="78"/>
        <v>0</v>
      </c>
      <c r="S398" s="800">
        <f t="shared" si="79"/>
        <v>0</v>
      </c>
    </row>
    <row r="399" spans="1:19">
      <c r="A399" s="964"/>
      <c r="B399" s="137"/>
      <c r="C399" s="53">
        <f t="shared" si="70"/>
        <v>1</v>
      </c>
      <c r="D399" s="962"/>
      <c r="E399" s="53">
        <f t="shared" si="71"/>
        <v>0.04</v>
      </c>
      <c r="F399" s="962"/>
      <c r="G399" s="53">
        <f t="shared" si="72"/>
        <v>0</v>
      </c>
      <c r="H399" s="962"/>
      <c r="I399" s="53">
        <f t="shared" si="73"/>
        <v>0</v>
      </c>
      <c r="J399" s="962"/>
      <c r="K399" s="53">
        <f t="shared" si="74"/>
        <v>0.03</v>
      </c>
      <c r="L399" s="962"/>
      <c r="M399" s="53">
        <f t="shared" si="75"/>
        <v>0.03</v>
      </c>
      <c r="N399" s="962"/>
      <c r="O399" s="53">
        <f t="shared" si="76"/>
        <v>7.0000000000000007E-2</v>
      </c>
      <c r="P399" s="962"/>
      <c r="Q399" s="53">
        <f t="shared" si="77"/>
        <v>1</v>
      </c>
      <c r="R399" s="493">
        <f t="shared" si="78"/>
        <v>0</v>
      </c>
      <c r="S399" s="800">
        <f t="shared" si="79"/>
        <v>0</v>
      </c>
    </row>
    <row r="400" spans="1:19">
      <c r="A400" s="964"/>
      <c r="B400" s="137"/>
      <c r="C400" s="53">
        <f t="shared" si="70"/>
        <v>1</v>
      </c>
      <c r="D400" s="962"/>
      <c r="E400" s="53">
        <f t="shared" si="71"/>
        <v>0.04</v>
      </c>
      <c r="F400" s="962"/>
      <c r="G400" s="53">
        <f t="shared" si="72"/>
        <v>0</v>
      </c>
      <c r="H400" s="962"/>
      <c r="I400" s="53">
        <f t="shared" si="73"/>
        <v>0</v>
      </c>
      <c r="J400" s="962"/>
      <c r="K400" s="53">
        <f t="shared" si="74"/>
        <v>0.03</v>
      </c>
      <c r="L400" s="962"/>
      <c r="M400" s="53">
        <f t="shared" si="75"/>
        <v>0.03</v>
      </c>
      <c r="N400" s="962"/>
      <c r="O400" s="53">
        <f t="shared" si="76"/>
        <v>7.0000000000000007E-2</v>
      </c>
      <c r="P400" s="962"/>
      <c r="Q400" s="53">
        <f t="shared" si="77"/>
        <v>1</v>
      </c>
      <c r="R400" s="493">
        <f t="shared" si="78"/>
        <v>0</v>
      </c>
      <c r="S400" s="800">
        <f t="shared" si="79"/>
        <v>0</v>
      </c>
    </row>
    <row r="401" spans="1:19">
      <c r="A401" s="964"/>
      <c r="B401" s="137"/>
      <c r="C401" s="53">
        <f t="shared" si="70"/>
        <v>1</v>
      </c>
      <c r="D401" s="962"/>
      <c r="E401" s="53">
        <f t="shared" si="71"/>
        <v>0.04</v>
      </c>
      <c r="F401" s="962"/>
      <c r="G401" s="53">
        <f t="shared" si="72"/>
        <v>0</v>
      </c>
      <c r="H401" s="962"/>
      <c r="I401" s="53">
        <f t="shared" si="73"/>
        <v>0</v>
      </c>
      <c r="J401" s="962"/>
      <c r="K401" s="53">
        <f t="shared" si="74"/>
        <v>0.03</v>
      </c>
      <c r="L401" s="962"/>
      <c r="M401" s="53">
        <f t="shared" si="75"/>
        <v>0.03</v>
      </c>
      <c r="N401" s="962"/>
      <c r="O401" s="53">
        <f t="shared" si="76"/>
        <v>7.0000000000000007E-2</v>
      </c>
      <c r="P401" s="962"/>
      <c r="Q401" s="53">
        <f t="shared" si="77"/>
        <v>1</v>
      </c>
      <c r="R401" s="493">
        <f t="shared" si="78"/>
        <v>0</v>
      </c>
      <c r="S401" s="800">
        <f t="shared" si="79"/>
        <v>0</v>
      </c>
    </row>
    <row r="402" spans="1:19">
      <c r="A402" s="964"/>
      <c r="B402" s="137"/>
      <c r="C402" s="53">
        <f t="shared" si="70"/>
        <v>1</v>
      </c>
      <c r="D402" s="962"/>
      <c r="E402" s="53">
        <f t="shared" si="71"/>
        <v>0.04</v>
      </c>
      <c r="F402" s="962"/>
      <c r="G402" s="53">
        <f t="shared" si="72"/>
        <v>0</v>
      </c>
      <c r="H402" s="962"/>
      <c r="I402" s="53">
        <f t="shared" si="73"/>
        <v>0</v>
      </c>
      <c r="J402" s="962"/>
      <c r="K402" s="53">
        <f t="shared" si="74"/>
        <v>0.03</v>
      </c>
      <c r="L402" s="962"/>
      <c r="M402" s="53">
        <f t="shared" si="75"/>
        <v>0.03</v>
      </c>
      <c r="N402" s="962"/>
      <c r="O402" s="53">
        <f t="shared" si="76"/>
        <v>7.0000000000000007E-2</v>
      </c>
      <c r="P402" s="962"/>
      <c r="Q402" s="53">
        <f t="shared" si="77"/>
        <v>1</v>
      </c>
      <c r="R402" s="493">
        <f t="shared" si="78"/>
        <v>0</v>
      </c>
      <c r="S402" s="800">
        <f t="shared" si="79"/>
        <v>0</v>
      </c>
    </row>
    <row r="403" spans="1:19">
      <c r="A403" s="964"/>
      <c r="B403" s="137"/>
      <c r="C403" s="53">
        <f t="shared" si="70"/>
        <v>1</v>
      </c>
      <c r="D403" s="962"/>
      <c r="E403" s="53">
        <f t="shared" si="71"/>
        <v>0.04</v>
      </c>
      <c r="F403" s="962"/>
      <c r="G403" s="53">
        <f t="shared" si="72"/>
        <v>0</v>
      </c>
      <c r="H403" s="962"/>
      <c r="I403" s="53">
        <f t="shared" si="73"/>
        <v>0</v>
      </c>
      <c r="J403" s="962"/>
      <c r="K403" s="53">
        <f t="shared" si="74"/>
        <v>0.03</v>
      </c>
      <c r="L403" s="962"/>
      <c r="M403" s="53">
        <f t="shared" si="75"/>
        <v>0.03</v>
      </c>
      <c r="N403" s="962"/>
      <c r="O403" s="53">
        <f t="shared" si="76"/>
        <v>7.0000000000000007E-2</v>
      </c>
      <c r="P403" s="962"/>
      <c r="Q403" s="53">
        <f t="shared" si="77"/>
        <v>1</v>
      </c>
      <c r="R403" s="493">
        <f t="shared" si="78"/>
        <v>0</v>
      </c>
      <c r="S403" s="800">
        <f t="shared" si="79"/>
        <v>0</v>
      </c>
    </row>
    <row r="404" spans="1:19">
      <c r="A404" s="964"/>
      <c r="B404" s="137"/>
      <c r="C404" s="53">
        <f t="shared" si="70"/>
        <v>1</v>
      </c>
      <c r="D404" s="962"/>
      <c r="E404" s="53">
        <f t="shared" si="71"/>
        <v>0.04</v>
      </c>
      <c r="F404" s="962"/>
      <c r="G404" s="53">
        <f t="shared" si="72"/>
        <v>0</v>
      </c>
      <c r="H404" s="962"/>
      <c r="I404" s="53">
        <f t="shared" si="73"/>
        <v>0</v>
      </c>
      <c r="J404" s="962"/>
      <c r="K404" s="53">
        <f t="shared" si="74"/>
        <v>0.03</v>
      </c>
      <c r="L404" s="962"/>
      <c r="M404" s="53">
        <f t="shared" si="75"/>
        <v>0.03</v>
      </c>
      <c r="N404" s="962"/>
      <c r="O404" s="53">
        <f t="shared" si="76"/>
        <v>7.0000000000000007E-2</v>
      </c>
      <c r="P404" s="962"/>
      <c r="Q404" s="53">
        <f t="shared" si="77"/>
        <v>1</v>
      </c>
      <c r="R404" s="493">
        <f t="shared" si="78"/>
        <v>0</v>
      </c>
      <c r="S404" s="800">
        <f t="shared" si="79"/>
        <v>0</v>
      </c>
    </row>
    <row r="405" spans="1:19">
      <c r="A405" s="964"/>
      <c r="B405" s="137"/>
      <c r="C405" s="53">
        <f t="shared" si="70"/>
        <v>1</v>
      </c>
      <c r="D405" s="962"/>
      <c r="E405" s="53">
        <f t="shared" si="71"/>
        <v>0.04</v>
      </c>
      <c r="F405" s="962"/>
      <c r="G405" s="53">
        <f t="shared" si="72"/>
        <v>0</v>
      </c>
      <c r="H405" s="962"/>
      <c r="I405" s="53">
        <f t="shared" si="73"/>
        <v>0</v>
      </c>
      <c r="J405" s="962"/>
      <c r="K405" s="53">
        <f t="shared" si="74"/>
        <v>0.03</v>
      </c>
      <c r="L405" s="962"/>
      <c r="M405" s="53">
        <f t="shared" si="75"/>
        <v>0.03</v>
      </c>
      <c r="N405" s="962"/>
      <c r="O405" s="53">
        <f t="shared" si="76"/>
        <v>7.0000000000000007E-2</v>
      </c>
      <c r="P405" s="962"/>
      <c r="Q405" s="53">
        <f t="shared" si="77"/>
        <v>1</v>
      </c>
      <c r="R405" s="493">
        <f t="shared" si="78"/>
        <v>0</v>
      </c>
      <c r="S405" s="800">
        <f t="shared" si="79"/>
        <v>0</v>
      </c>
    </row>
    <row r="406" spans="1:19">
      <c r="A406" s="964"/>
      <c r="B406" s="137"/>
      <c r="C406" s="53">
        <f t="shared" si="70"/>
        <v>1</v>
      </c>
      <c r="D406" s="962"/>
      <c r="E406" s="53">
        <f t="shared" si="71"/>
        <v>0.04</v>
      </c>
      <c r="F406" s="962"/>
      <c r="G406" s="53">
        <f t="shared" si="72"/>
        <v>0</v>
      </c>
      <c r="H406" s="962"/>
      <c r="I406" s="53">
        <f t="shared" si="73"/>
        <v>0</v>
      </c>
      <c r="J406" s="962"/>
      <c r="K406" s="53">
        <f t="shared" si="74"/>
        <v>0.03</v>
      </c>
      <c r="L406" s="962"/>
      <c r="M406" s="53">
        <f t="shared" si="75"/>
        <v>0.03</v>
      </c>
      <c r="N406" s="962"/>
      <c r="O406" s="53">
        <f t="shared" si="76"/>
        <v>7.0000000000000007E-2</v>
      </c>
      <c r="P406" s="962"/>
      <c r="Q406" s="53">
        <f t="shared" si="77"/>
        <v>1</v>
      </c>
      <c r="R406" s="493">
        <f t="shared" si="78"/>
        <v>0</v>
      </c>
      <c r="S406" s="800">
        <f t="shared" si="79"/>
        <v>0</v>
      </c>
    </row>
    <row r="407" spans="1:19">
      <c r="A407" s="964"/>
      <c r="B407" s="137"/>
      <c r="C407" s="53">
        <f t="shared" si="70"/>
        <v>1</v>
      </c>
      <c r="D407" s="962"/>
      <c r="E407" s="53">
        <f t="shared" si="71"/>
        <v>0.04</v>
      </c>
      <c r="F407" s="962"/>
      <c r="G407" s="53">
        <f t="shared" si="72"/>
        <v>0</v>
      </c>
      <c r="H407" s="962"/>
      <c r="I407" s="53">
        <f t="shared" si="73"/>
        <v>0</v>
      </c>
      <c r="J407" s="962"/>
      <c r="K407" s="53">
        <f t="shared" si="74"/>
        <v>0.03</v>
      </c>
      <c r="L407" s="962"/>
      <c r="M407" s="53">
        <f t="shared" si="75"/>
        <v>0.03</v>
      </c>
      <c r="N407" s="962"/>
      <c r="O407" s="53">
        <f t="shared" si="76"/>
        <v>7.0000000000000007E-2</v>
      </c>
      <c r="P407" s="962"/>
      <c r="Q407" s="53">
        <f t="shared" si="77"/>
        <v>1</v>
      </c>
      <c r="R407" s="493">
        <f t="shared" si="78"/>
        <v>0</v>
      </c>
      <c r="S407" s="800">
        <f t="shared" si="79"/>
        <v>0</v>
      </c>
    </row>
    <row r="408" spans="1:19">
      <c r="A408" s="964"/>
      <c r="B408" s="137"/>
      <c r="C408" s="53">
        <f t="shared" si="70"/>
        <v>1</v>
      </c>
      <c r="D408" s="962"/>
      <c r="E408" s="53">
        <f t="shared" si="71"/>
        <v>0.04</v>
      </c>
      <c r="F408" s="962"/>
      <c r="G408" s="53">
        <f t="shared" si="72"/>
        <v>0</v>
      </c>
      <c r="H408" s="962"/>
      <c r="I408" s="53">
        <f t="shared" si="73"/>
        <v>0</v>
      </c>
      <c r="J408" s="962"/>
      <c r="K408" s="53">
        <f t="shared" si="74"/>
        <v>0.03</v>
      </c>
      <c r="L408" s="962"/>
      <c r="M408" s="53">
        <f t="shared" si="75"/>
        <v>0.03</v>
      </c>
      <c r="N408" s="962"/>
      <c r="O408" s="53">
        <f t="shared" si="76"/>
        <v>7.0000000000000007E-2</v>
      </c>
      <c r="P408" s="962"/>
      <c r="Q408" s="53">
        <f t="shared" si="77"/>
        <v>1</v>
      </c>
      <c r="R408" s="493">
        <f t="shared" si="78"/>
        <v>0</v>
      </c>
      <c r="S408" s="800">
        <f t="shared" si="79"/>
        <v>0</v>
      </c>
    </row>
    <row r="409" spans="1:19">
      <c r="A409" s="964"/>
      <c r="B409" s="137"/>
      <c r="C409" s="53">
        <f t="shared" si="70"/>
        <v>1</v>
      </c>
      <c r="D409" s="962"/>
      <c r="E409" s="53">
        <f t="shared" si="71"/>
        <v>0.04</v>
      </c>
      <c r="F409" s="962"/>
      <c r="G409" s="53">
        <f t="shared" si="72"/>
        <v>0</v>
      </c>
      <c r="H409" s="962"/>
      <c r="I409" s="53">
        <f t="shared" si="73"/>
        <v>0</v>
      </c>
      <c r="J409" s="962"/>
      <c r="K409" s="53">
        <f t="shared" si="74"/>
        <v>0.03</v>
      </c>
      <c r="L409" s="962"/>
      <c r="M409" s="53">
        <f t="shared" si="75"/>
        <v>0.03</v>
      </c>
      <c r="N409" s="962"/>
      <c r="O409" s="53">
        <f t="shared" si="76"/>
        <v>7.0000000000000007E-2</v>
      </c>
      <c r="P409" s="962"/>
      <c r="Q409" s="53">
        <f t="shared" si="77"/>
        <v>1</v>
      </c>
      <c r="R409" s="493">
        <f t="shared" si="78"/>
        <v>0</v>
      </c>
      <c r="S409" s="800">
        <f t="shared" si="79"/>
        <v>0</v>
      </c>
    </row>
    <row r="410" spans="1:19">
      <c r="A410" s="964"/>
      <c r="B410" s="137"/>
      <c r="C410" s="53">
        <f t="shared" ref="C410:C473" si="80">IF(B410="",1,(LOOKUP(B410,$3:$3,$4:$4)-LOOKUP($B$24,$3:$3,$4:$4)+100)/100)</f>
        <v>1</v>
      </c>
      <c r="D410" s="962"/>
      <c r="E410" s="53">
        <f t="shared" ref="E410:E473" si="81">(SUMIF($5:$5,D410,$6:$6)-SUMIF($5:$5,$D$24,$6:$6)+100)/100</f>
        <v>0.04</v>
      </c>
      <c r="F410" s="962"/>
      <c r="G410" s="53">
        <f t="shared" ref="G410:G473" si="82">(SUMIF($7:$7,F410,$8:$8)-SUMIF($7:$7,$F$24,$8:$8)+100)/100</f>
        <v>0</v>
      </c>
      <c r="H410" s="962"/>
      <c r="I410" s="53">
        <f t="shared" ref="I410:I473" si="83">(SUMIF($9:$9,H410,$10:$10)-SUMIF($9:$9,$H$24,$10:$10)+100)/100</f>
        <v>0</v>
      </c>
      <c r="J410" s="962"/>
      <c r="K410" s="53">
        <f t="shared" ref="K410:K473" si="84">(SUMIF($11:$11,J410,$12:$12)-SUMIF($11:$11,$J$24,$12:$12)+100)/100</f>
        <v>0.03</v>
      </c>
      <c r="L410" s="962"/>
      <c r="M410" s="53">
        <f t="shared" ref="M410:M473" si="85">(SUMIF($13:$13,L410,$14:$14)-SUMIF($13:$13,$L$24,$14:$14)+100)/100</f>
        <v>0.03</v>
      </c>
      <c r="N410" s="962"/>
      <c r="O410" s="53">
        <f t="shared" ref="O410:O473" si="86">(SUMIF($15:$15,N410,$16:$16)-SUMIF($15:$15,$N$24,$16:$16)+100)/100</f>
        <v>7.0000000000000007E-2</v>
      </c>
      <c r="P410" s="962"/>
      <c r="Q410" s="53">
        <f t="shared" ref="Q410:Q473" si="87">(SUMIF($17:$17,P410,$18:$18)-SUMIF($17:$17,$P$24,$18:$18)+100)/100</f>
        <v>1</v>
      </c>
      <c r="R410" s="493">
        <f t="shared" ref="R410:R473" si="88">IF(B410="",0,ROUND($R$24*C410*E410*G410*I410*K410*M410*O410*Q410,0))</f>
        <v>0</v>
      </c>
      <c r="S410" s="800">
        <f t="shared" si="79"/>
        <v>0</v>
      </c>
    </row>
    <row r="411" spans="1:19">
      <c r="A411" s="964"/>
      <c r="B411" s="137"/>
      <c r="C411" s="53">
        <f t="shared" si="80"/>
        <v>1</v>
      </c>
      <c r="D411" s="962"/>
      <c r="E411" s="53">
        <f t="shared" si="81"/>
        <v>0.04</v>
      </c>
      <c r="F411" s="962"/>
      <c r="G411" s="53">
        <f t="shared" si="82"/>
        <v>0</v>
      </c>
      <c r="H411" s="962"/>
      <c r="I411" s="53">
        <f t="shared" si="83"/>
        <v>0</v>
      </c>
      <c r="J411" s="962"/>
      <c r="K411" s="53">
        <f t="shared" si="84"/>
        <v>0.03</v>
      </c>
      <c r="L411" s="962"/>
      <c r="M411" s="53">
        <f t="shared" si="85"/>
        <v>0.03</v>
      </c>
      <c r="N411" s="962"/>
      <c r="O411" s="53">
        <f t="shared" si="86"/>
        <v>7.0000000000000007E-2</v>
      </c>
      <c r="P411" s="962"/>
      <c r="Q411" s="53">
        <f t="shared" si="87"/>
        <v>1</v>
      </c>
      <c r="R411" s="493">
        <f t="shared" si="88"/>
        <v>0</v>
      </c>
      <c r="S411" s="800">
        <f t="shared" si="79"/>
        <v>0</v>
      </c>
    </row>
    <row r="412" spans="1:19">
      <c r="A412" s="964"/>
      <c r="B412" s="137"/>
      <c r="C412" s="53">
        <f t="shared" si="80"/>
        <v>1</v>
      </c>
      <c r="D412" s="962"/>
      <c r="E412" s="53">
        <f t="shared" si="81"/>
        <v>0.04</v>
      </c>
      <c r="F412" s="962"/>
      <c r="G412" s="53">
        <f t="shared" si="82"/>
        <v>0</v>
      </c>
      <c r="H412" s="962"/>
      <c r="I412" s="53">
        <f t="shared" si="83"/>
        <v>0</v>
      </c>
      <c r="J412" s="962"/>
      <c r="K412" s="53">
        <f t="shared" si="84"/>
        <v>0.03</v>
      </c>
      <c r="L412" s="962"/>
      <c r="M412" s="53">
        <f t="shared" si="85"/>
        <v>0.03</v>
      </c>
      <c r="N412" s="962"/>
      <c r="O412" s="53">
        <f t="shared" si="86"/>
        <v>7.0000000000000007E-2</v>
      </c>
      <c r="P412" s="962"/>
      <c r="Q412" s="53">
        <f t="shared" si="87"/>
        <v>1</v>
      </c>
      <c r="R412" s="493">
        <f t="shared" si="88"/>
        <v>0</v>
      </c>
      <c r="S412" s="800">
        <f t="shared" si="79"/>
        <v>0</v>
      </c>
    </row>
    <row r="413" spans="1:19">
      <c r="A413" s="964"/>
      <c r="B413" s="137"/>
      <c r="C413" s="53">
        <f t="shared" si="80"/>
        <v>1</v>
      </c>
      <c r="D413" s="962"/>
      <c r="E413" s="53">
        <f t="shared" si="81"/>
        <v>0.04</v>
      </c>
      <c r="F413" s="962"/>
      <c r="G413" s="53">
        <f t="shared" si="82"/>
        <v>0</v>
      </c>
      <c r="H413" s="962"/>
      <c r="I413" s="53">
        <f t="shared" si="83"/>
        <v>0</v>
      </c>
      <c r="J413" s="962"/>
      <c r="K413" s="53">
        <f t="shared" si="84"/>
        <v>0.03</v>
      </c>
      <c r="L413" s="962"/>
      <c r="M413" s="53">
        <f t="shared" si="85"/>
        <v>0.03</v>
      </c>
      <c r="N413" s="962"/>
      <c r="O413" s="53">
        <f t="shared" si="86"/>
        <v>7.0000000000000007E-2</v>
      </c>
      <c r="P413" s="962"/>
      <c r="Q413" s="53">
        <f t="shared" si="87"/>
        <v>1</v>
      </c>
      <c r="R413" s="493">
        <f t="shared" si="88"/>
        <v>0</v>
      </c>
      <c r="S413" s="800">
        <f t="shared" si="79"/>
        <v>0</v>
      </c>
    </row>
    <row r="414" spans="1:19">
      <c r="A414" s="964"/>
      <c r="B414" s="137"/>
      <c r="C414" s="53">
        <f t="shared" si="80"/>
        <v>1</v>
      </c>
      <c r="D414" s="962"/>
      <c r="E414" s="53">
        <f t="shared" si="81"/>
        <v>0.04</v>
      </c>
      <c r="F414" s="962"/>
      <c r="G414" s="53">
        <f t="shared" si="82"/>
        <v>0</v>
      </c>
      <c r="H414" s="962"/>
      <c r="I414" s="53">
        <f t="shared" si="83"/>
        <v>0</v>
      </c>
      <c r="J414" s="962"/>
      <c r="K414" s="53">
        <f t="shared" si="84"/>
        <v>0.03</v>
      </c>
      <c r="L414" s="962"/>
      <c r="M414" s="53">
        <f t="shared" si="85"/>
        <v>0.03</v>
      </c>
      <c r="N414" s="962"/>
      <c r="O414" s="53">
        <f t="shared" si="86"/>
        <v>7.0000000000000007E-2</v>
      </c>
      <c r="P414" s="962"/>
      <c r="Q414" s="53">
        <f t="shared" si="87"/>
        <v>1</v>
      </c>
      <c r="R414" s="493">
        <f t="shared" si="88"/>
        <v>0</v>
      </c>
      <c r="S414" s="800">
        <f t="shared" si="79"/>
        <v>0</v>
      </c>
    </row>
    <row r="415" spans="1:19">
      <c r="A415" s="964"/>
      <c r="B415" s="137"/>
      <c r="C415" s="53">
        <f t="shared" si="80"/>
        <v>1</v>
      </c>
      <c r="D415" s="962"/>
      <c r="E415" s="53">
        <f t="shared" si="81"/>
        <v>0.04</v>
      </c>
      <c r="F415" s="962"/>
      <c r="G415" s="53">
        <f t="shared" si="82"/>
        <v>0</v>
      </c>
      <c r="H415" s="962"/>
      <c r="I415" s="53">
        <f t="shared" si="83"/>
        <v>0</v>
      </c>
      <c r="J415" s="962"/>
      <c r="K415" s="53">
        <f t="shared" si="84"/>
        <v>0.03</v>
      </c>
      <c r="L415" s="962"/>
      <c r="M415" s="53">
        <f t="shared" si="85"/>
        <v>0.03</v>
      </c>
      <c r="N415" s="962"/>
      <c r="O415" s="53">
        <f t="shared" si="86"/>
        <v>7.0000000000000007E-2</v>
      </c>
      <c r="P415" s="962"/>
      <c r="Q415" s="53">
        <f t="shared" si="87"/>
        <v>1</v>
      </c>
      <c r="R415" s="493">
        <f t="shared" si="88"/>
        <v>0</v>
      </c>
      <c r="S415" s="800">
        <f t="shared" si="79"/>
        <v>0</v>
      </c>
    </row>
    <row r="416" spans="1:19">
      <c r="A416" s="964"/>
      <c r="B416" s="137"/>
      <c r="C416" s="53">
        <f t="shared" si="80"/>
        <v>1</v>
      </c>
      <c r="D416" s="962"/>
      <c r="E416" s="53">
        <f t="shared" si="81"/>
        <v>0.04</v>
      </c>
      <c r="F416" s="962"/>
      <c r="G416" s="53">
        <f t="shared" si="82"/>
        <v>0</v>
      </c>
      <c r="H416" s="962"/>
      <c r="I416" s="53">
        <f t="shared" si="83"/>
        <v>0</v>
      </c>
      <c r="J416" s="962"/>
      <c r="K416" s="53">
        <f t="shared" si="84"/>
        <v>0.03</v>
      </c>
      <c r="L416" s="962"/>
      <c r="M416" s="53">
        <f t="shared" si="85"/>
        <v>0.03</v>
      </c>
      <c r="N416" s="962"/>
      <c r="O416" s="53">
        <f t="shared" si="86"/>
        <v>7.0000000000000007E-2</v>
      </c>
      <c r="P416" s="962"/>
      <c r="Q416" s="53">
        <f t="shared" si="87"/>
        <v>1</v>
      </c>
      <c r="R416" s="493">
        <f t="shared" si="88"/>
        <v>0</v>
      </c>
      <c r="S416" s="800">
        <f t="shared" si="79"/>
        <v>0</v>
      </c>
    </row>
    <row r="417" spans="1:19">
      <c r="A417" s="964"/>
      <c r="B417" s="137"/>
      <c r="C417" s="53">
        <f t="shared" si="80"/>
        <v>1</v>
      </c>
      <c r="D417" s="962"/>
      <c r="E417" s="53">
        <f t="shared" si="81"/>
        <v>0.04</v>
      </c>
      <c r="F417" s="962"/>
      <c r="G417" s="53">
        <f t="shared" si="82"/>
        <v>0</v>
      </c>
      <c r="H417" s="962"/>
      <c r="I417" s="53">
        <f t="shared" si="83"/>
        <v>0</v>
      </c>
      <c r="J417" s="962"/>
      <c r="K417" s="53">
        <f t="shared" si="84"/>
        <v>0.03</v>
      </c>
      <c r="L417" s="962"/>
      <c r="M417" s="53">
        <f t="shared" si="85"/>
        <v>0.03</v>
      </c>
      <c r="N417" s="962"/>
      <c r="O417" s="53">
        <f t="shared" si="86"/>
        <v>7.0000000000000007E-2</v>
      </c>
      <c r="P417" s="962"/>
      <c r="Q417" s="53">
        <f t="shared" si="87"/>
        <v>1</v>
      </c>
      <c r="R417" s="493">
        <f t="shared" si="88"/>
        <v>0</v>
      </c>
      <c r="S417" s="800">
        <f t="shared" si="79"/>
        <v>0</v>
      </c>
    </row>
    <row r="418" spans="1:19">
      <c r="A418" s="964"/>
      <c r="B418" s="137"/>
      <c r="C418" s="53">
        <f t="shared" si="80"/>
        <v>1</v>
      </c>
      <c r="D418" s="962"/>
      <c r="E418" s="53">
        <f t="shared" si="81"/>
        <v>0.04</v>
      </c>
      <c r="F418" s="962"/>
      <c r="G418" s="53">
        <f t="shared" si="82"/>
        <v>0</v>
      </c>
      <c r="H418" s="962"/>
      <c r="I418" s="53">
        <f t="shared" si="83"/>
        <v>0</v>
      </c>
      <c r="J418" s="962"/>
      <c r="K418" s="53">
        <f t="shared" si="84"/>
        <v>0.03</v>
      </c>
      <c r="L418" s="962"/>
      <c r="M418" s="53">
        <f t="shared" si="85"/>
        <v>0.03</v>
      </c>
      <c r="N418" s="962"/>
      <c r="O418" s="53">
        <f t="shared" si="86"/>
        <v>7.0000000000000007E-2</v>
      </c>
      <c r="P418" s="962"/>
      <c r="Q418" s="53">
        <f t="shared" si="87"/>
        <v>1</v>
      </c>
      <c r="R418" s="493">
        <f t="shared" si="88"/>
        <v>0</v>
      </c>
      <c r="S418" s="800">
        <f t="shared" si="79"/>
        <v>0</v>
      </c>
    </row>
    <row r="419" spans="1:19">
      <c r="A419" s="964"/>
      <c r="B419" s="137"/>
      <c r="C419" s="53">
        <f t="shared" si="80"/>
        <v>1</v>
      </c>
      <c r="D419" s="962"/>
      <c r="E419" s="53">
        <f t="shared" si="81"/>
        <v>0.04</v>
      </c>
      <c r="F419" s="962"/>
      <c r="G419" s="53">
        <f t="shared" si="82"/>
        <v>0</v>
      </c>
      <c r="H419" s="962"/>
      <c r="I419" s="53">
        <f t="shared" si="83"/>
        <v>0</v>
      </c>
      <c r="J419" s="962"/>
      <c r="K419" s="53">
        <f t="shared" si="84"/>
        <v>0.03</v>
      </c>
      <c r="L419" s="962"/>
      <c r="M419" s="53">
        <f t="shared" si="85"/>
        <v>0.03</v>
      </c>
      <c r="N419" s="962"/>
      <c r="O419" s="53">
        <f t="shared" si="86"/>
        <v>7.0000000000000007E-2</v>
      </c>
      <c r="P419" s="962"/>
      <c r="Q419" s="53">
        <f t="shared" si="87"/>
        <v>1</v>
      </c>
      <c r="R419" s="493">
        <f t="shared" si="88"/>
        <v>0</v>
      </c>
      <c r="S419" s="800">
        <f t="shared" si="79"/>
        <v>0</v>
      </c>
    </row>
    <row r="420" spans="1:19">
      <c r="A420" s="964"/>
      <c r="B420" s="137"/>
      <c r="C420" s="53">
        <f t="shared" si="80"/>
        <v>1</v>
      </c>
      <c r="D420" s="962"/>
      <c r="E420" s="53">
        <f t="shared" si="81"/>
        <v>0.04</v>
      </c>
      <c r="F420" s="962"/>
      <c r="G420" s="53">
        <f t="shared" si="82"/>
        <v>0</v>
      </c>
      <c r="H420" s="962"/>
      <c r="I420" s="53">
        <f t="shared" si="83"/>
        <v>0</v>
      </c>
      <c r="J420" s="962"/>
      <c r="K420" s="53">
        <f t="shared" si="84"/>
        <v>0.03</v>
      </c>
      <c r="L420" s="962"/>
      <c r="M420" s="53">
        <f t="shared" si="85"/>
        <v>0.03</v>
      </c>
      <c r="N420" s="962"/>
      <c r="O420" s="53">
        <f t="shared" si="86"/>
        <v>7.0000000000000007E-2</v>
      </c>
      <c r="P420" s="962"/>
      <c r="Q420" s="53">
        <f t="shared" si="87"/>
        <v>1</v>
      </c>
      <c r="R420" s="493">
        <f t="shared" si="88"/>
        <v>0</v>
      </c>
      <c r="S420" s="800">
        <f t="shared" si="79"/>
        <v>0</v>
      </c>
    </row>
    <row r="421" spans="1:19">
      <c r="A421" s="964"/>
      <c r="B421" s="137"/>
      <c r="C421" s="53">
        <f t="shared" si="80"/>
        <v>1</v>
      </c>
      <c r="D421" s="962"/>
      <c r="E421" s="53">
        <f t="shared" si="81"/>
        <v>0.04</v>
      </c>
      <c r="F421" s="962"/>
      <c r="G421" s="53">
        <f t="shared" si="82"/>
        <v>0</v>
      </c>
      <c r="H421" s="962"/>
      <c r="I421" s="53">
        <f t="shared" si="83"/>
        <v>0</v>
      </c>
      <c r="J421" s="962"/>
      <c r="K421" s="53">
        <f t="shared" si="84"/>
        <v>0.03</v>
      </c>
      <c r="L421" s="962"/>
      <c r="M421" s="53">
        <f t="shared" si="85"/>
        <v>0.03</v>
      </c>
      <c r="N421" s="962"/>
      <c r="O421" s="53">
        <f t="shared" si="86"/>
        <v>7.0000000000000007E-2</v>
      </c>
      <c r="P421" s="962"/>
      <c r="Q421" s="53">
        <f t="shared" si="87"/>
        <v>1</v>
      </c>
      <c r="R421" s="493">
        <f t="shared" si="88"/>
        <v>0</v>
      </c>
      <c r="S421" s="800">
        <f t="shared" si="79"/>
        <v>0</v>
      </c>
    </row>
    <row r="422" spans="1:19">
      <c r="A422" s="964"/>
      <c r="B422" s="137"/>
      <c r="C422" s="53">
        <f t="shared" si="80"/>
        <v>1</v>
      </c>
      <c r="D422" s="962"/>
      <c r="E422" s="53">
        <f t="shared" si="81"/>
        <v>0.04</v>
      </c>
      <c r="F422" s="962"/>
      <c r="G422" s="53">
        <f t="shared" si="82"/>
        <v>0</v>
      </c>
      <c r="H422" s="962"/>
      <c r="I422" s="53">
        <f t="shared" si="83"/>
        <v>0</v>
      </c>
      <c r="J422" s="962"/>
      <c r="K422" s="53">
        <f t="shared" si="84"/>
        <v>0.03</v>
      </c>
      <c r="L422" s="962"/>
      <c r="M422" s="53">
        <f t="shared" si="85"/>
        <v>0.03</v>
      </c>
      <c r="N422" s="962"/>
      <c r="O422" s="53">
        <f t="shared" si="86"/>
        <v>7.0000000000000007E-2</v>
      </c>
      <c r="P422" s="962"/>
      <c r="Q422" s="53">
        <f t="shared" si="87"/>
        <v>1</v>
      </c>
      <c r="R422" s="493">
        <f t="shared" si="88"/>
        <v>0</v>
      </c>
      <c r="S422" s="800">
        <f t="shared" si="79"/>
        <v>0</v>
      </c>
    </row>
    <row r="423" spans="1:19">
      <c r="A423" s="964"/>
      <c r="B423" s="137"/>
      <c r="C423" s="53">
        <f t="shared" si="80"/>
        <v>1</v>
      </c>
      <c r="D423" s="962"/>
      <c r="E423" s="53">
        <f t="shared" si="81"/>
        <v>0.04</v>
      </c>
      <c r="F423" s="962"/>
      <c r="G423" s="53">
        <f t="shared" si="82"/>
        <v>0</v>
      </c>
      <c r="H423" s="962"/>
      <c r="I423" s="53">
        <f t="shared" si="83"/>
        <v>0</v>
      </c>
      <c r="J423" s="962"/>
      <c r="K423" s="53">
        <f t="shared" si="84"/>
        <v>0.03</v>
      </c>
      <c r="L423" s="962"/>
      <c r="M423" s="53">
        <f t="shared" si="85"/>
        <v>0.03</v>
      </c>
      <c r="N423" s="962"/>
      <c r="O423" s="53">
        <f t="shared" si="86"/>
        <v>7.0000000000000007E-2</v>
      </c>
      <c r="P423" s="962"/>
      <c r="Q423" s="53">
        <f t="shared" si="87"/>
        <v>1</v>
      </c>
      <c r="R423" s="493">
        <f t="shared" si="88"/>
        <v>0</v>
      </c>
      <c r="S423" s="800">
        <f t="shared" ref="S423:S467" si="89">ROUND(R423*B423/10000,0)</f>
        <v>0</v>
      </c>
    </row>
    <row r="424" spans="1:19">
      <c r="A424" s="964"/>
      <c r="B424" s="137"/>
      <c r="C424" s="53">
        <f t="shared" si="80"/>
        <v>1</v>
      </c>
      <c r="D424" s="962"/>
      <c r="E424" s="53">
        <f t="shared" si="81"/>
        <v>0.04</v>
      </c>
      <c r="F424" s="962"/>
      <c r="G424" s="53">
        <f t="shared" si="82"/>
        <v>0</v>
      </c>
      <c r="H424" s="962"/>
      <c r="I424" s="53">
        <f t="shared" si="83"/>
        <v>0</v>
      </c>
      <c r="J424" s="962"/>
      <c r="K424" s="53">
        <f t="shared" si="84"/>
        <v>0.03</v>
      </c>
      <c r="L424" s="962"/>
      <c r="M424" s="53">
        <f t="shared" si="85"/>
        <v>0.03</v>
      </c>
      <c r="N424" s="962"/>
      <c r="O424" s="53">
        <f t="shared" si="86"/>
        <v>7.0000000000000007E-2</v>
      </c>
      <c r="P424" s="962"/>
      <c r="Q424" s="53">
        <f t="shared" si="87"/>
        <v>1</v>
      </c>
      <c r="R424" s="493">
        <f t="shared" si="88"/>
        <v>0</v>
      </c>
      <c r="S424" s="800">
        <f t="shared" si="89"/>
        <v>0</v>
      </c>
    </row>
    <row r="425" spans="1:19">
      <c r="A425" s="964"/>
      <c r="B425" s="137"/>
      <c r="C425" s="53">
        <f t="shared" si="80"/>
        <v>1</v>
      </c>
      <c r="D425" s="962"/>
      <c r="E425" s="53">
        <f t="shared" si="81"/>
        <v>0.04</v>
      </c>
      <c r="F425" s="962"/>
      <c r="G425" s="53">
        <f t="shared" si="82"/>
        <v>0</v>
      </c>
      <c r="H425" s="962"/>
      <c r="I425" s="53">
        <f t="shared" si="83"/>
        <v>0</v>
      </c>
      <c r="J425" s="962"/>
      <c r="K425" s="53">
        <f t="shared" si="84"/>
        <v>0.03</v>
      </c>
      <c r="L425" s="962"/>
      <c r="M425" s="53">
        <f t="shared" si="85"/>
        <v>0.03</v>
      </c>
      <c r="N425" s="962"/>
      <c r="O425" s="53">
        <f t="shared" si="86"/>
        <v>7.0000000000000007E-2</v>
      </c>
      <c r="P425" s="962"/>
      <c r="Q425" s="53">
        <f t="shared" si="87"/>
        <v>1</v>
      </c>
      <c r="R425" s="493">
        <f t="shared" si="88"/>
        <v>0</v>
      </c>
      <c r="S425" s="800">
        <f t="shared" si="89"/>
        <v>0</v>
      </c>
    </row>
    <row r="426" spans="1:19">
      <c r="A426" s="964"/>
      <c r="B426" s="137"/>
      <c r="C426" s="53">
        <f t="shared" si="80"/>
        <v>1</v>
      </c>
      <c r="D426" s="962"/>
      <c r="E426" s="53">
        <f t="shared" si="81"/>
        <v>0.04</v>
      </c>
      <c r="F426" s="962"/>
      <c r="G426" s="53">
        <f t="shared" si="82"/>
        <v>0</v>
      </c>
      <c r="H426" s="962"/>
      <c r="I426" s="53">
        <f t="shared" si="83"/>
        <v>0</v>
      </c>
      <c r="J426" s="962"/>
      <c r="K426" s="53">
        <f t="shared" si="84"/>
        <v>0.03</v>
      </c>
      <c r="L426" s="962"/>
      <c r="M426" s="53">
        <f t="shared" si="85"/>
        <v>0.03</v>
      </c>
      <c r="N426" s="962"/>
      <c r="O426" s="53">
        <f t="shared" si="86"/>
        <v>7.0000000000000007E-2</v>
      </c>
      <c r="P426" s="962"/>
      <c r="Q426" s="53">
        <f t="shared" si="87"/>
        <v>1</v>
      </c>
      <c r="R426" s="493">
        <f t="shared" si="88"/>
        <v>0</v>
      </c>
      <c r="S426" s="800">
        <f t="shared" si="89"/>
        <v>0</v>
      </c>
    </row>
    <row r="427" spans="1:19">
      <c r="A427" s="964"/>
      <c r="B427" s="137"/>
      <c r="C427" s="53">
        <f t="shared" si="80"/>
        <v>1</v>
      </c>
      <c r="D427" s="962"/>
      <c r="E427" s="53">
        <f t="shared" si="81"/>
        <v>0.04</v>
      </c>
      <c r="F427" s="962"/>
      <c r="G427" s="53">
        <f t="shared" si="82"/>
        <v>0</v>
      </c>
      <c r="H427" s="962"/>
      <c r="I427" s="53">
        <f t="shared" si="83"/>
        <v>0</v>
      </c>
      <c r="J427" s="962"/>
      <c r="K427" s="53">
        <f t="shared" si="84"/>
        <v>0.03</v>
      </c>
      <c r="L427" s="962"/>
      <c r="M427" s="53">
        <f t="shared" si="85"/>
        <v>0.03</v>
      </c>
      <c r="N427" s="962"/>
      <c r="O427" s="53">
        <f t="shared" si="86"/>
        <v>7.0000000000000007E-2</v>
      </c>
      <c r="P427" s="962"/>
      <c r="Q427" s="53">
        <f t="shared" si="87"/>
        <v>1</v>
      </c>
      <c r="R427" s="493">
        <f t="shared" si="88"/>
        <v>0</v>
      </c>
      <c r="S427" s="800">
        <f t="shared" si="89"/>
        <v>0</v>
      </c>
    </row>
    <row r="428" spans="1:19">
      <c r="A428" s="964"/>
      <c r="B428" s="137"/>
      <c r="C428" s="53">
        <f t="shared" si="80"/>
        <v>1</v>
      </c>
      <c r="D428" s="962"/>
      <c r="E428" s="53">
        <f t="shared" si="81"/>
        <v>0.04</v>
      </c>
      <c r="F428" s="962"/>
      <c r="G428" s="53">
        <f t="shared" si="82"/>
        <v>0</v>
      </c>
      <c r="H428" s="962"/>
      <c r="I428" s="53">
        <f t="shared" si="83"/>
        <v>0</v>
      </c>
      <c r="J428" s="962"/>
      <c r="K428" s="53">
        <f t="shared" si="84"/>
        <v>0.03</v>
      </c>
      <c r="L428" s="962"/>
      <c r="M428" s="53">
        <f t="shared" si="85"/>
        <v>0.03</v>
      </c>
      <c r="N428" s="962"/>
      <c r="O428" s="53">
        <f t="shared" si="86"/>
        <v>7.0000000000000007E-2</v>
      </c>
      <c r="P428" s="962"/>
      <c r="Q428" s="53">
        <f t="shared" si="87"/>
        <v>1</v>
      </c>
      <c r="R428" s="493">
        <f t="shared" si="88"/>
        <v>0</v>
      </c>
      <c r="S428" s="800">
        <f t="shared" si="89"/>
        <v>0</v>
      </c>
    </row>
    <row r="429" spans="1:19">
      <c r="A429" s="964"/>
      <c r="B429" s="137"/>
      <c r="C429" s="53">
        <f t="shared" si="80"/>
        <v>1</v>
      </c>
      <c r="D429" s="962"/>
      <c r="E429" s="53">
        <f t="shared" si="81"/>
        <v>0.04</v>
      </c>
      <c r="F429" s="962"/>
      <c r="G429" s="53">
        <f t="shared" si="82"/>
        <v>0</v>
      </c>
      <c r="H429" s="962"/>
      <c r="I429" s="53">
        <f t="shared" si="83"/>
        <v>0</v>
      </c>
      <c r="J429" s="962"/>
      <c r="K429" s="53">
        <f t="shared" si="84"/>
        <v>0.03</v>
      </c>
      <c r="L429" s="962"/>
      <c r="M429" s="53">
        <f t="shared" si="85"/>
        <v>0.03</v>
      </c>
      <c r="N429" s="962"/>
      <c r="O429" s="53">
        <f t="shared" si="86"/>
        <v>7.0000000000000007E-2</v>
      </c>
      <c r="P429" s="962"/>
      <c r="Q429" s="53">
        <f t="shared" si="87"/>
        <v>1</v>
      </c>
      <c r="R429" s="493">
        <f t="shared" si="88"/>
        <v>0</v>
      </c>
      <c r="S429" s="800">
        <f t="shared" si="89"/>
        <v>0</v>
      </c>
    </row>
    <row r="430" spans="1:19">
      <c r="A430" s="964"/>
      <c r="B430" s="137"/>
      <c r="C430" s="53">
        <f t="shared" si="80"/>
        <v>1</v>
      </c>
      <c r="D430" s="962"/>
      <c r="E430" s="53">
        <f t="shared" si="81"/>
        <v>0.04</v>
      </c>
      <c r="F430" s="962"/>
      <c r="G430" s="53">
        <f t="shared" si="82"/>
        <v>0</v>
      </c>
      <c r="H430" s="962"/>
      <c r="I430" s="53">
        <f t="shared" si="83"/>
        <v>0</v>
      </c>
      <c r="J430" s="962"/>
      <c r="K430" s="53">
        <f t="shared" si="84"/>
        <v>0.03</v>
      </c>
      <c r="L430" s="962"/>
      <c r="M430" s="53">
        <f t="shared" si="85"/>
        <v>0.03</v>
      </c>
      <c r="N430" s="962"/>
      <c r="O430" s="53">
        <f t="shared" si="86"/>
        <v>7.0000000000000007E-2</v>
      </c>
      <c r="P430" s="962"/>
      <c r="Q430" s="53">
        <f t="shared" si="87"/>
        <v>1</v>
      </c>
      <c r="R430" s="493">
        <f t="shared" si="88"/>
        <v>0</v>
      </c>
      <c r="S430" s="800">
        <f t="shared" si="89"/>
        <v>0</v>
      </c>
    </row>
    <row r="431" spans="1:19">
      <c r="A431" s="964"/>
      <c r="B431" s="137"/>
      <c r="C431" s="53">
        <f t="shared" si="80"/>
        <v>1</v>
      </c>
      <c r="D431" s="962"/>
      <c r="E431" s="53">
        <f t="shared" si="81"/>
        <v>0.04</v>
      </c>
      <c r="F431" s="962"/>
      <c r="G431" s="53">
        <f t="shared" si="82"/>
        <v>0</v>
      </c>
      <c r="H431" s="962"/>
      <c r="I431" s="53">
        <f t="shared" si="83"/>
        <v>0</v>
      </c>
      <c r="J431" s="962"/>
      <c r="K431" s="53">
        <f t="shared" si="84"/>
        <v>0.03</v>
      </c>
      <c r="L431" s="962"/>
      <c r="M431" s="53">
        <f t="shared" si="85"/>
        <v>0.03</v>
      </c>
      <c r="N431" s="962"/>
      <c r="O431" s="53">
        <f t="shared" si="86"/>
        <v>7.0000000000000007E-2</v>
      </c>
      <c r="P431" s="962"/>
      <c r="Q431" s="53">
        <f t="shared" si="87"/>
        <v>1</v>
      </c>
      <c r="R431" s="493">
        <f t="shared" si="88"/>
        <v>0</v>
      </c>
      <c r="S431" s="800">
        <f t="shared" si="89"/>
        <v>0</v>
      </c>
    </row>
    <row r="432" spans="1:19">
      <c r="A432" s="964"/>
      <c r="B432" s="137"/>
      <c r="C432" s="53">
        <f t="shared" si="80"/>
        <v>1</v>
      </c>
      <c r="D432" s="962"/>
      <c r="E432" s="53">
        <f t="shared" si="81"/>
        <v>0.04</v>
      </c>
      <c r="F432" s="962"/>
      <c r="G432" s="53">
        <f t="shared" si="82"/>
        <v>0</v>
      </c>
      <c r="H432" s="962"/>
      <c r="I432" s="53">
        <f t="shared" si="83"/>
        <v>0</v>
      </c>
      <c r="J432" s="962"/>
      <c r="K432" s="53">
        <f t="shared" si="84"/>
        <v>0.03</v>
      </c>
      <c r="L432" s="962"/>
      <c r="M432" s="53">
        <f t="shared" si="85"/>
        <v>0.03</v>
      </c>
      <c r="N432" s="962"/>
      <c r="O432" s="53">
        <f t="shared" si="86"/>
        <v>7.0000000000000007E-2</v>
      </c>
      <c r="P432" s="962"/>
      <c r="Q432" s="53">
        <f t="shared" si="87"/>
        <v>1</v>
      </c>
      <c r="R432" s="493">
        <f t="shared" si="88"/>
        <v>0</v>
      </c>
      <c r="S432" s="800">
        <f t="shared" si="89"/>
        <v>0</v>
      </c>
    </row>
    <row r="433" spans="1:19">
      <c r="A433" s="964"/>
      <c r="B433" s="137"/>
      <c r="C433" s="53">
        <f t="shared" si="80"/>
        <v>1</v>
      </c>
      <c r="D433" s="962"/>
      <c r="E433" s="53">
        <f t="shared" si="81"/>
        <v>0.04</v>
      </c>
      <c r="F433" s="962"/>
      <c r="G433" s="53">
        <f t="shared" si="82"/>
        <v>0</v>
      </c>
      <c r="H433" s="962"/>
      <c r="I433" s="53">
        <f t="shared" si="83"/>
        <v>0</v>
      </c>
      <c r="J433" s="962"/>
      <c r="K433" s="53">
        <f t="shared" si="84"/>
        <v>0.03</v>
      </c>
      <c r="L433" s="962"/>
      <c r="M433" s="53">
        <f t="shared" si="85"/>
        <v>0.03</v>
      </c>
      <c r="N433" s="962"/>
      <c r="O433" s="53">
        <f t="shared" si="86"/>
        <v>7.0000000000000007E-2</v>
      </c>
      <c r="P433" s="962"/>
      <c r="Q433" s="53">
        <f t="shared" si="87"/>
        <v>1</v>
      </c>
      <c r="R433" s="493">
        <f t="shared" si="88"/>
        <v>0</v>
      </c>
      <c r="S433" s="800">
        <f t="shared" si="89"/>
        <v>0</v>
      </c>
    </row>
    <row r="434" spans="1:19">
      <c r="A434" s="964"/>
      <c r="B434" s="137"/>
      <c r="C434" s="53">
        <f t="shared" si="80"/>
        <v>1</v>
      </c>
      <c r="D434" s="962"/>
      <c r="E434" s="53">
        <f t="shared" si="81"/>
        <v>0.04</v>
      </c>
      <c r="F434" s="962"/>
      <c r="G434" s="53">
        <f t="shared" si="82"/>
        <v>0</v>
      </c>
      <c r="H434" s="962"/>
      <c r="I434" s="53">
        <f t="shared" si="83"/>
        <v>0</v>
      </c>
      <c r="J434" s="962"/>
      <c r="K434" s="53">
        <f t="shared" si="84"/>
        <v>0.03</v>
      </c>
      <c r="L434" s="962"/>
      <c r="M434" s="53">
        <f t="shared" si="85"/>
        <v>0.03</v>
      </c>
      <c r="N434" s="962"/>
      <c r="O434" s="53">
        <f t="shared" si="86"/>
        <v>7.0000000000000007E-2</v>
      </c>
      <c r="P434" s="962"/>
      <c r="Q434" s="53">
        <f t="shared" si="87"/>
        <v>1</v>
      </c>
      <c r="R434" s="493">
        <f t="shared" si="88"/>
        <v>0</v>
      </c>
      <c r="S434" s="800">
        <f t="shared" si="89"/>
        <v>0</v>
      </c>
    </row>
    <row r="435" spans="1:19">
      <c r="A435" s="964"/>
      <c r="B435" s="137"/>
      <c r="C435" s="53">
        <f t="shared" si="80"/>
        <v>1</v>
      </c>
      <c r="D435" s="962"/>
      <c r="E435" s="53">
        <f t="shared" si="81"/>
        <v>0.04</v>
      </c>
      <c r="F435" s="962"/>
      <c r="G435" s="53">
        <f t="shared" si="82"/>
        <v>0</v>
      </c>
      <c r="H435" s="962"/>
      <c r="I435" s="53">
        <f t="shared" si="83"/>
        <v>0</v>
      </c>
      <c r="J435" s="962"/>
      <c r="K435" s="53">
        <f t="shared" si="84"/>
        <v>0.03</v>
      </c>
      <c r="L435" s="962"/>
      <c r="M435" s="53">
        <f t="shared" si="85"/>
        <v>0.03</v>
      </c>
      <c r="N435" s="962"/>
      <c r="O435" s="53">
        <f t="shared" si="86"/>
        <v>7.0000000000000007E-2</v>
      </c>
      <c r="P435" s="962"/>
      <c r="Q435" s="53">
        <f t="shared" si="87"/>
        <v>1</v>
      </c>
      <c r="R435" s="493">
        <f t="shared" si="88"/>
        <v>0</v>
      </c>
      <c r="S435" s="800">
        <f t="shared" si="89"/>
        <v>0</v>
      </c>
    </row>
    <row r="436" spans="1:19">
      <c r="A436" s="964"/>
      <c r="B436" s="137"/>
      <c r="C436" s="53">
        <f t="shared" si="80"/>
        <v>1</v>
      </c>
      <c r="D436" s="962"/>
      <c r="E436" s="53">
        <f t="shared" si="81"/>
        <v>0.04</v>
      </c>
      <c r="F436" s="962"/>
      <c r="G436" s="53">
        <f t="shared" si="82"/>
        <v>0</v>
      </c>
      <c r="H436" s="962"/>
      <c r="I436" s="53">
        <f t="shared" si="83"/>
        <v>0</v>
      </c>
      <c r="J436" s="962"/>
      <c r="K436" s="53">
        <f t="shared" si="84"/>
        <v>0.03</v>
      </c>
      <c r="L436" s="962"/>
      <c r="M436" s="53">
        <f t="shared" si="85"/>
        <v>0.03</v>
      </c>
      <c r="N436" s="962"/>
      <c r="O436" s="53">
        <f t="shared" si="86"/>
        <v>7.0000000000000007E-2</v>
      </c>
      <c r="P436" s="962"/>
      <c r="Q436" s="53">
        <f t="shared" si="87"/>
        <v>1</v>
      </c>
      <c r="R436" s="493">
        <f t="shared" si="88"/>
        <v>0</v>
      </c>
      <c r="S436" s="800">
        <f t="shared" si="89"/>
        <v>0</v>
      </c>
    </row>
    <row r="437" spans="1:19">
      <c r="A437" s="964"/>
      <c r="B437" s="137"/>
      <c r="C437" s="53">
        <f t="shared" si="80"/>
        <v>1</v>
      </c>
      <c r="D437" s="962"/>
      <c r="E437" s="53">
        <f t="shared" si="81"/>
        <v>0.04</v>
      </c>
      <c r="F437" s="962"/>
      <c r="G437" s="53">
        <f t="shared" si="82"/>
        <v>0</v>
      </c>
      <c r="H437" s="962"/>
      <c r="I437" s="53">
        <f t="shared" si="83"/>
        <v>0</v>
      </c>
      <c r="J437" s="962"/>
      <c r="K437" s="53">
        <f t="shared" si="84"/>
        <v>0.03</v>
      </c>
      <c r="L437" s="962"/>
      <c r="M437" s="53">
        <f t="shared" si="85"/>
        <v>0.03</v>
      </c>
      <c r="N437" s="962"/>
      <c r="O437" s="53">
        <f t="shared" si="86"/>
        <v>7.0000000000000007E-2</v>
      </c>
      <c r="P437" s="962"/>
      <c r="Q437" s="53">
        <f t="shared" si="87"/>
        <v>1</v>
      </c>
      <c r="R437" s="493">
        <f t="shared" si="88"/>
        <v>0</v>
      </c>
      <c r="S437" s="800">
        <f t="shared" si="89"/>
        <v>0</v>
      </c>
    </row>
    <row r="438" spans="1:19">
      <c r="A438" s="964"/>
      <c r="B438" s="137"/>
      <c r="C438" s="53">
        <f t="shared" si="80"/>
        <v>1</v>
      </c>
      <c r="D438" s="962"/>
      <c r="E438" s="53">
        <f t="shared" si="81"/>
        <v>0.04</v>
      </c>
      <c r="F438" s="962"/>
      <c r="G438" s="53">
        <f t="shared" si="82"/>
        <v>0</v>
      </c>
      <c r="H438" s="962"/>
      <c r="I438" s="53">
        <f t="shared" si="83"/>
        <v>0</v>
      </c>
      <c r="J438" s="962"/>
      <c r="K438" s="53">
        <f t="shared" si="84"/>
        <v>0.03</v>
      </c>
      <c r="L438" s="962"/>
      <c r="M438" s="53">
        <f t="shared" si="85"/>
        <v>0.03</v>
      </c>
      <c r="N438" s="962"/>
      <c r="O438" s="53">
        <f t="shared" si="86"/>
        <v>7.0000000000000007E-2</v>
      </c>
      <c r="P438" s="962"/>
      <c r="Q438" s="53">
        <f t="shared" si="87"/>
        <v>1</v>
      </c>
      <c r="R438" s="493">
        <f t="shared" si="88"/>
        <v>0</v>
      </c>
      <c r="S438" s="800">
        <f t="shared" si="89"/>
        <v>0</v>
      </c>
    </row>
    <row r="439" spans="1:19">
      <c r="A439" s="964"/>
      <c r="B439" s="137"/>
      <c r="C439" s="53">
        <f t="shared" si="80"/>
        <v>1</v>
      </c>
      <c r="D439" s="962"/>
      <c r="E439" s="53">
        <f t="shared" si="81"/>
        <v>0.04</v>
      </c>
      <c r="F439" s="962"/>
      <c r="G439" s="53">
        <f t="shared" si="82"/>
        <v>0</v>
      </c>
      <c r="H439" s="962"/>
      <c r="I439" s="53">
        <f t="shared" si="83"/>
        <v>0</v>
      </c>
      <c r="J439" s="962"/>
      <c r="K439" s="53">
        <f t="shared" si="84"/>
        <v>0.03</v>
      </c>
      <c r="L439" s="962"/>
      <c r="M439" s="53">
        <f t="shared" si="85"/>
        <v>0.03</v>
      </c>
      <c r="N439" s="962"/>
      <c r="O439" s="53">
        <f t="shared" si="86"/>
        <v>7.0000000000000007E-2</v>
      </c>
      <c r="P439" s="962"/>
      <c r="Q439" s="53">
        <f t="shared" si="87"/>
        <v>1</v>
      </c>
      <c r="R439" s="493">
        <f t="shared" si="88"/>
        <v>0</v>
      </c>
      <c r="S439" s="800">
        <f t="shared" si="89"/>
        <v>0</v>
      </c>
    </row>
    <row r="440" spans="1:19">
      <c r="A440" s="964"/>
      <c r="B440" s="137"/>
      <c r="C440" s="53">
        <f t="shared" si="80"/>
        <v>1</v>
      </c>
      <c r="D440" s="962"/>
      <c r="E440" s="53">
        <f t="shared" si="81"/>
        <v>0.04</v>
      </c>
      <c r="F440" s="962"/>
      <c r="G440" s="53">
        <f t="shared" si="82"/>
        <v>0</v>
      </c>
      <c r="H440" s="962"/>
      <c r="I440" s="53">
        <f t="shared" si="83"/>
        <v>0</v>
      </c>
      <c r="J440" s="962"/>
      <c r="K440" s="53">
        <f t="shared" si="84"/>
        <v>0.03</v>
      </c>
      <c r="L440" s="962"/>
      <c r="M440" s="53">
        <f t="shared" si="85"/>
        <v>0.03</v>
      </c>
      <c r="N440" s="962"/>
      <c r="O440" s="53">
        <f t="shared" si="86"/>
        <v>7.0000000000000007E-2</v>
      </c>
      <c r="P440" s="962"/>
      <c r="Q440" s="53">
        <f t="shared" si="87"/>
        <v>1</v>
      </c>
      <c r="R440" s="493">
        <f t="shared" si="88"/>
        <v>0</v>
      </c>
      <c r="S440" s="800">
        <f t="shared" si="89"/>
        <v>0</v>
      </c>
    </row>
    <row r="441" spans="1:19">
      <c r="A441" s="964"/>
      <c r="B441" s="137"/>
      <c r="C441" s="53">
        <f t="shared" si="80"/>
        <v>1</v>
      </c>
      <c r="D441" s="962"/>
      <c r="E441" s="53">
        <f t="shared" si="81"/>
        <v>0.04</v>
      </c>
      <c r="F441" s="962"/>
      <c r="G441" s="53">
        <f t="shared" si="82"/>
        <v>0</v>
      </c>
      <c r="H441" s="962"/>
      <c r="I441" s="53">
        <f t="shared" si="83"/>
        <v>0</v>
      </c>
      <c r="J441" s="962"/>
      <c r="K441" s="53">
        <f t="shared" si="84"/>
        <v>0.03</v>
      </c>
      <c r="L441" s="962"/>
      <c r="M441" s="53">
        <f t="shared" si="85"/>
        <v>0.03</v>
      </c>
      <c r="N441" s="962"/>
      <c r="O441" s="53">
        <f t="shared" si="86"/>
        <v>7.0000000000000007E-2</v>
      </c>
      <c r="P441" s="962"/>
      <c r="Q441" s="53">
        <f t="shared" si="87"/>
        <v>1</v>
      </c>
      <c r="R441" s="493">
        <f t="shared" si="88"/>
        <v>0</v>
      </c>
      <c r="S441" s="800">
        <f t="shared" si="89"/>
        <v>0</v>
      </c>
    </row>
    <row r="442" spans="1:19">
      <c r="A442" s="964"/>
      <c r="B442" s="137"/>
      <c r="C442" s="53">
        <f t="shared" si="80"/>
        <v>1</v>
      </c>
      <c r="D442" s="962"/>
      <c r="E442" s="53">
        <f t="shared" si="81"/>
        <v>0.04</v>
      </c>
      <c r="F442" s="962"/>
      <c r="G442" s="53">
        <f t="shared" si="82"/>
        <v>0</v>
      </c>
      <c r="H442" s="962"/>
      <c r="I442" s="53">
        <f t="shared" si="83"/>
        <v>0</v>
      </c>
      <c r="J442" s="962"/>
      <c r="K442" s="53">
        <f t="shared" si="84"/>
        <v>0.03</v>
      </c>
      <c r="L442" s="962"/>
      <c r="M442" s="53">
        <f t="shared" si="85"/>
        <v>0.03</v>
      </c>
      <c r="N442" s="962"/>
      <c r="O442" s="53">
        <f t="shared" si="86"/>
        <v>7.0000000000000007E-2</v>
      </c>
      <c r="P442" s="962"/>
      <c r="Q442" s="53">
        <f t="shared" si="87"/>
        <v>1</v>
      </c>
      <c r="R442" s="493">
        <f t="shared" si="88"/>
        <v>0</v>
      </c>
      <c r="S442" s="800">
        <f t="shared" si="89"/>
        <v>0</v>
      </c>
    </row>
    <row r="443" spans="1:19">
      <c r="A443" s="964"/>
      <c r="B443" s="137"/>
      <c r="C443" s="53">
        <f t="shared" si="80"/>
        <v>1</v>
      </c>
      <c r="D443" s="962"/>
      <c r="E443" s="53">
        <f t="shared" si="81"/>
        <v>0.04</v>
      </c>
      <c r="F443" s="962"/>
      <c r="G443" s="53">
        <f t="shared" si="82"/>
        <v>0</v>
      </c>
      <c r="H443" s="962"/>
      <c r="I443" s="53">
        <f t="shared" si="83"/>
        <v>0</v>
      </c>
      <c r="J443" s="962"/>
      <c r="K443" s="53">
        <f t="shared" si="84"/>
        <v>0.03</v>
      </c>
      <c r="L443" s="962"/>
      <c r="M443" s="53">
        <f t="shared" si="85"/>
        <v>0.03</v>
      </c>
      <c r="N443" s="962"/>
      <c r="O443" s="53">
        <f t="shared" si="86"/>
        <v>7.0000000000000007E-2</v>
      </c>
      <c r="P443" s="962"/>
      <c r="Q443" s="53">
        <f t="shared" si="87"/>
        <v>1</v>
      </c>
      <c r="R443" s="493">
        <f t="shared" si="88"/>
        <v>0</v>
      </c>
      <c r="S443" s="800">
        <f t="shared" si="89"/>
        <v>0</v>
      </c>
    </row>
    <row r="444" spans="1:19">
      <c r="A444" s="964"/>
      <c r="B444" s="137"/>
      <c r="C444" s="53">
        <f t="shared" si="80"/>
        <v>1</v>
      </c>
      <c r="D444" s="962"/>
      <c r="E444" s="53">
        <f t="shared" si="81"/>
        <v>0.04</v>
      </c>
      <c r="F444" s="962"/>
      <c r="G444" s="53">
        <f t="shared" si="82"/>
        <v>0</v>
      </c>
      <c r="H444" s="962"/>
      <c r="I444" s="53">
        <f t="shared" si="83"/>
        <v>0</v>
      </c>
      <c r="J444" s="962"/>
      <c r="K444" s="53">
        <f t="shared" si="84"/>
        <v>0.03</v>
      </c>
      <c r="L444" s="962"/>
      <c r="M444" s="53">
        <f t="shared" si="85"/>
        <v>0.03</v>
      </c>
      <c r="N444" s="962"/>
      <c r="O444" s="53">
        <f t="shared" si="86"/>
        <v>7.0000000000000007E-2</v>
      </c>
      <c r="P444" s="962"/>
      <c r="Q444" s="53">
        <f t="shared" si="87"/>
        <v>1</v>
      </c>
      <c r="R444" s="493">
        <f t="shared" si="88"/>
        <v>0</v>
      </c>
      <c r="S444" s="800">
        <f t="shared" si="89"/>
        <v>0</v>
      </c>
    </row>
    <row r="445" spans="1:19">
      <c r="A445" s="964"/>
      <c r="B445" s="137"/>
      <c r="C445" s="53">
        <f t="shared" si="80"/>
        <v>1</v>
      </c>
      <c r="D445" s="962"/>
      <c r="E445" s="53">
        <f t="shared" si="81"/>
        <v>0.04</v>
      </c>
      <c r="F445" s="962"/>
      <c r="G445" s="53">
        <f t="shared" si="82"/>
        <v>0</v>
      </c>
      <c r="H445" s="962"/>
      <c r="I445" s="53">
        <f t="shared" si="83"/>
        <v>0</v>
      </c>
      <c r="J445" s="962"/>
      <c r="K445" s="53">
        <f t="shared" si="84"/>
        <v>0.03</v>
      </c>
      <c r="L445" s="962"/>
      <c r="M445" s="53">
        <f t="shared" si="85"/>
        <v>0.03</v>
      </c>
      <c r="N445" s="962"/>
      <c r="O445" s="53">
        <f t="shared" si="86"/>
        <v>7.0000000000000007E-2</v>
      </c>
      <c r="P445" s="962"/>
      <c r="Q445" s="53">
        <f t="shared" si="87"/>
        <v>1</v>
      </c>
      <c r="R445" s="493">
        <f t="shared" si="88"/>
        <v>0</v>
      </c>
      <c r="S445" s="800">
        <f t="shared" si="89"/>
        <v>0</v>
      </c>
    </row>
    <row r="446" spans="1:19">
      <c r="A446" s="964"/>
      <c r="B446" s="137"/>
      <c r="C446" s="53">
        <f t="shared" si="80"/>
        <v>1</v>
      </c>
      <c r="D446" s="962"/>
      <c r="E446" s="53">
        <f t="shared" si="81"/>
        <v>0.04</v>
      </c>
      <c r="F446" s="962"/>
      <c r="G446" s="53">
        <f t="shared" si="82"/>
        <v>0</v>
      </c>
      <c r="H446" s="962"/>
      <c r="I446" s="53">
        <f t="shared" si="83"/>
        <v>0</v>
      </c>
      <c r="J446" s="962"/>
      <c r="K446" s="53">
        <f t="shared" si="84"/>
        <v>0.03</v>
      </c>
      <c r="L446" s="962"/>
      <c r="M446" s="53">
        <f t="shared" si="85"/>
        <v>0.03</v>
      </c>
      <c r="N446" s="962"/>
      <c r="O446" s="53">
        <f t="shared" si="86"/>
        <v>7.0000000000000007E-2</v>
      </c>
      <c r="P446" s="962"/>
      <c r="Q446" s="53">
        <f t="shared" si="87"/>
        <v>1</v>
      </c>
      <c r="R446" s="493">
        <f t="shared" si="88"/>
        <v>0</v>
      </c>
      <c r="S446" s="800">
        <f t="shared" si="89"/>
        <v>0</v>
      </c>
    </row>
    <row r="447" spans="1:19">
      <c r="A447" s="964"/>
      <c r="B447" s="137"/>
      <c r="C447" s="53">
        <f t="shared" si="80"/>
        <v>1</v>
      </c>
      <c r="D447" s="962"/>
      <c r="E447" s="53">
        <f t="shared" si="81"/>
        <v>0.04</v>
      </c>
      <c r="F447" s="962"/>
      <c r="G447" s="53">
        <f t="shared" si="82"/>
        <v>0</v>
      </c>
      <c r="H447" s="962"/>
      <c r="I447" s="53">
        <f t="shared" si="83"/>
        <v>0</v>
      </c>
      <c r="J447" s="962"/>
      <c r="K447" s="53">
        <f t="shared" si="84"/>
        <v>0.03</v>
      </c>
      <c r="L447" s="962"/>
      <c r="M447" s="53">
        <f t="shared" si="85"/>
        <v>0.03</v>
      </c>
      <c r="N447" s="962"/>
      <c r="O447" s="53">
        <f t="shared" si="86"/>
        <v>7.0000000000000007E-2</v>
      </c>
      <c r="P447" s="962"/>
      <c r="Q447" s="53">
        <f t="shared" si="87"/>
        <v>1</v>
      </c>
      <c r="R447" s="493">
        <f t="shared" si="88"/>
        <v>0</v>
      </c>
      <c r="S447" s="800">
        <f t="shared" si="89"/>
        <v>0</v>
      </c>
    </row>
    <row r="448" spans="1:19">
      <c r="A448" s="964"/>
      <c r="B448" s="137"/>
      <c r="C448" s="53">
        <f t="shared" si="80"/>
        <v>1</v>
      </c>
      <c r="D448" s="962"/>
      <c r="E448" s="53">
        <f t="shared" si="81"/>
        <v>0.04</v>
      </c>
      <c r="F448" s="962"/>
      <c r="G448" s="53">
        <f t="shared" si="82"/>
        <v>0</v>
      </c>
      <c r="H448" s="962"/>
      <c r="I448" s="53">
        <f t="shared" si="83"/>
        <v>0</v>
      </c>
      <c r="J448" s="962"/>
      <c r="K448" s="53">
        <f t="shared" si="84"/>
        <v>0.03</v>
      </c>
      <c r="L448" s="962"/>
      <c r="M448" s="53">
        <f t="shared" si="85"/>
        <v>0.03</v>
      </c>
      <c r="N448" s="962"/>
      <c r="O448" s="53">
        <f t="shared" si="86"/>
        <v>7.0000000000000007E-2</v>
      </c>
      <c r="P448" s="962"/>
      <c r="Q448" s="53">
        <f t="shared" si="87"/>
        <v>1</v>
      </c>
      <c r="R448" s="493">
        <f t="shared" si="88"/>
        <v>0</v>
      </c>
      <c r="S448" s="800">
        <f t="shared" si="89"/>
        <v>0</v>
      </c>
    </row>
    <row r="449" spans="1:19">
      <c r="A449" s="964"/>
      <c r="B449" s="137"/>
      <c r="C449" s="53">
        <f t="shared" si="80"/>
        <v>1</v>
      </c>
      <c r="D449" s="962"/>
      <c r="E449" s="53">
        <f t="shared" si="81"/>
        <v>0.04</v>
      </c>
      <c r="F449" s="962"/>
      <c r="G449" s="53">
        <f t="shared" si="82"/>
        <v>0</v>
      </c>
      <c r="H449" s="962"/>
      <c r="I449" s="53">
        <f t="shared" si="83"/>
        <v>0</v>
      </c>
      <c r="J449" s="962"/>
      <c r="K449" s="53">
        <f t="shared" si="84"/>
        <v>0.03</v>
      </c>
      <c r="L449" s="962"/>
      <c r="M449" s="53">
        <f t="shared" si="85"/>
        <v>0.03</v>
      </c>
      <c r="N449" s="962"/>
      <c r="O449" s="53">
        <f t="shared" si="86"/>
        <v>7.0000000000000007E-2</v>
      </c>
      <c r="P449" s="962"/>
      <c r="Q449" s="53">
        <f t="shared" si="87"/>
        <v>1</v>
      </c>
      <c r="R449" s="493">
        <f t="shared" si="88"/>
        <v>0</v>
      </c>
      <c r="S449" s="800">
        <f t="shared" si="89"/>
        <v>0</v>
      </c>
    </row>
    <row r="450" spans="1:19">
      <c r="A450" s="964"/>
      <c r="B450" s="137"/>
      <c r="C450" s="53">
        <f t="shared" si="80"/>
        <v>1</v>
      </c>
      <c r="D450" s="962"/>
      <c r="E450" s="53">
        <f t="shared" si="81"/>
        <v>0.04</v>
      </c>
      <c r="F450" s="962"/>
      <c r="G450" s="53">
        <f t="shared" si="82"/>
        <v>0</v>
      </c>
      <c r="H450" s="962"/>
      <c r="I450" s="53">
        <f t="shared" si="83"/>
        <v>0</v>
      </c>
      <c r="J450" s="962"/>
      <c r="K450" s="53">
        <f t="shared" si="84"/>
        <v>0.03</v>
      </c>
      <c r="L450" s="962"/>
      <c r="M450" s="53">
        <f t="shared" si="85"/>
        <v>0.03</v>
      </c>
      <c r="N450" s="962"/>
      <c r="O450" s="53">
        <f t="shared" si="86"/>
        <v>7.0000000000000007E-2</v>
      </c>
      <c r="P450" s="962"/>
      <c r="Q450" s="53">
        <f t="shared" si="87"/>
        <v>1</v>
      </c>
      <c r="R450" s="493">
        <f t="shared" si="88"/>
        <v>0</v>
      </c>
      <c r="S450" s="800">
        <f t="shared" si="89"/>
        <v>0</v>
      </c>
    </row>
    <row r="451" spans="1:19">
      <c r="A451" s="964"/>
      <c r="B451" s="137"/>
      <c r="C451" s="53">
        <f t="shared" si="80"/>
        <v>1</v>
      </c>
      <c r="D451" s="962"/>
      <c r="E451" s="53">
        <f t="shared" si="81"/>
        <v>0.04</v>
      </c>
      <c r="F451" s="962"/>
      <c r="G451" s="53">
        <f t="shared" si="82"/>
        <v>0</v>
      </c>
      <c r="H451" s="962"/>
      <c r="I451" s="53">
        <f t="shared" si="83"/>
        <v>0</v>
      </c>
      <c r="J451" s="962"/>
      <c r="K451" s="53">
        <f t="shared" si="84"/>
        <v>0.03</v>
      </c>
      <c r="L451" s="962"/>
      <c r="M451" s="53">
        <f t="shared" si="85"/>
        <v>0.03</v>
      </c>
      <c r="N451" s="962"/>
      <c r="O451" s="53">
        <f t="shared" si="86"/>
        <v>7.0000000000000007E-2</v>
      </c>
      <c r="P451" s="962"/>
      <c r="Q451" s="53">
        <f t="shared" si="87"/>
        <v>1</v>
      </c>
      <c r="R451" s="493">
        <f t="shared" si="88"/>
        <v>0</v>
      </c>
      <c r="S451" s="800">
        <f t="shared" si="89"/>
        <v>0</v>
      </c>
    </row>
    <row r="452" spans="1:19">
      <c r="A452" s="964"/>
      <c r="B452" s="137"/>
      <c r="C452" s="53">
        <f t="shared" si="80"/>
        <v>1</v>
      </c>
      <c r="D452" s="962"/>
      <c r="E452" s="53">
        <f t="shared" si="81"/>
        <v>0.04</v>
      </c>
      <c r="F452" s="962"/>
      <c r="G452" s="53">
        <f t="shared" si="82"/>
        <v>0</v>
      </c>
      <c r="H452" s="962"/>
      <c r="I452" s="53">
        <f t="shared" si="83"/>
        <v>0</v>
      </c>
      <c r="J452" s="962"/>
      <c r="K452" s="53">
        <f t="shared" si="84"/>
        <v>0.03</v>
      </c>
      <c r="L452" s="962"/>
      <c r="M452" s="53">
        <f t="shared" si="85"/>
        <v>0.03</v>
      </c>
      <c r="N452" s="962"/>
      <c r="O452" s="53">
        <f t="shared" si="86"/>
        <v>7.0000000000000007E-2</v>
      </c>
      <c r="P452" s="962"/>
      <c r="Q452" s="53">
        <f t="shared" si="87"/>
        <v>1</v>
      </c>
      <c r="R452" s="493">
        <f t="shared" si="88"/>
        <v>0</v>
      </c>
      <c r="S452" s="800">
        <f t="shared" si="89"/>
        <v>0</v>
      </c>
    </row>
    <row r="453" spans="1:19">
      <c r="A453" s="964"/>
      <c r="B453" s="137"/>
      <c r="C453" s="53">
        <f t="shared" si="80"/>
        <v>1</v>
      </c>
      <c r="D453" s="962"/>
      <c r="E453" s="53">
        <f t="shared" si="81"/>
        <v>0.04</v>
      </c>
      <c r="F453" s="962"/>
      <c r="G453" s="53">
        <f t="shared" si="82"/>
        <v>0</v>
      </c>
      <c r="H453" s="962"/>
      <c r="I453" s="53">
        <f t="shared" si="83"/>
        <v>0</v>
      </c>
      <c r="J453" s="962"/>
      <c r="K453" s="53">
        <f t="shared" si="84"/>
        <v>0.03</v>
      </c>
      <c r="L453" s="962"/>
      <c r="M453" s="53">
        <f t="shared" si="85"/>
        <v>0.03</v>
      </c>
      <c r="N453" s="962"/>
      <c r="O453" s="53">
        <f t="shared" si="86"/>
        <v>7.0000000000000007E-2</v>
      </c>
      <c r="P453" s="962"/>
      <c r="Q453" s="53">
        <f t="shared" si="87"/>
        <v>1</v>
      </c>
      <c r="R453" s="493">
        <f t="shared" si="88"/>
        <v>0</v>
      </c>
      <c r="S453" s="800">
        <f t="shared" si="89"/>
        <v>0</v>
      </c>
    </row>
    <row r="454" spans="1:19">
      <c r="A454" s="964"/>
      <c r="B454" s="137"/>
      <c r="C454" s="53">
        <f t="shared" si="80"/>
        <v>1</v>
      </c>
      <c r="D454" s="962"/>
      <c r="E454" s="53">
        <f t="shared" si="81"/>
        <v>0.04</v>
      </c>
      <c r="F454" s="962"/>
      <c r="G454" s="53">
        <f t="shared" si="82"/>
        <v>0</v>
      </c>
      <c r="H454" s="962"/>
      <c r="I454" s="53">
        <f t="shared" si="83"/>
        <v>0</v>
      </c>
      <c r="J454" s="962"/>
      <c r="K454" s="53">
        <f t="shared" si="84"/>
        <v>0.03</v>
      </c>
      <c r="L454" s="962"/>
      <c r="M454" s="53">
        <f t="shared" si="85"/>
        <v>0.03</v>
      </c>
      <c r="N454" s="962"/>
      <c r="O454" s="53">
        <f t="shared" si="86"/>
        <v>7.0000000000000007E-2</v>
      </c>
      <c r="P454" s="962"/>
      <c r="Q454" s="53">
        <f t="shared" si="87"/>
        <v>1</v>
      </c>
      <c r="R454" s="493">
        <f t="shared" si="88"/>
        <v>0</v>
      </c>
      <c r="S454" s="800">
        <f t="shared" si="89"/>
        <v>0</v>
      </c>
    </row>
    <row r="455" spans="1:19">
      <c r="A455" s="964"/>
      <c r="B455" s="137"/>
      <c r="C455" s="53">
        <f t="shared" si="80"/>
        <v>1</v>
      </c>
      <c r="D455" s="962"/>
      <c r="E455" s="53">
        <f t="shared" si="81"/>
        <v>0.04</v>
      </c>
      <c r="F455" s="962"/>
      <c r="G455" s="53">
        <f t="shared" si="82"/>
        <v>0</v>
      </c>
      <c r="H455" s="962"/>
      <c r="I455" s="53">
        <f t="shared" si="83"/>
        <v>0</v>
      </c>
      <c r="J455" s="962"/>
      <c r="K455" s="53">
        <f t="shared" si="84"/>
        <v>0.03</v>
      </c>
      <c r="L455" s="962"/>
      <c r="M455" s="53">
        <f t="shared" si="85"/>
        <v>0.03</v>
      </c>
      <c r="N455" s="962"/>
      <c r="O455" s="53">
        <f t="shared" si="86"/>
        <v>7.0000000000000007E-2</v>
      </c>
      <c r="P455" s="962"/>
      <c r="Q455" s="53">
        <f t="shared" si="87"/>
        <v>1</v>
      </c>
      <c r="R455" s="493">
        <f t="shared" si="88"/>
        <v>0</v>
      </c>
      <c r="S455" s="800">
        <f t="shared" si="89"/>
        <v>0</v>
      </c>
    </row>
    <row r="456" spans="1:19">
      <c r="A456" s="964"/>
      <c r="B456" s="137"/>
      <c r="C456" s="53">
        <f t="shared" si="80"/>
        <v>1</v>
      </c>
      <c r="D456" s="962"/>
      <c r="E456" s="53">
        <f t="shared" si="81"/>
        <v>0.04</v>
      </c>
      <c r="F456" s="962"/>
      <c r="G456" s="53">
        <f t="shared" si="82"/>
        <v>0</v>
      </c>
      <c r="H456" s="962"/>
      <c r="I456" s="53">
        <f t="shared" si="83"/>
        <v>0</v>
      </c>
      <c r="J456" s="962"/>
      <c r="K456" s="53">
        <f t="shared" si="84"/>
        <v>0.03</v>
      </c>
      <c r="L456" s="962"/>
      <c r="M456" s="53">
        <f t="shared" si="85"/>
        <v>0.03</v>
      </c>
      <c r="N456" s="962"/>
      <c r="O456" s="53">
        <f t="shared" si="86"/>
        <v>7.0000000000000007E-2</v>
      </c>
      <c r="P456" s="962"/>
      <c r="Q456" s="53">
        <f t="shared" si="87"/>
        <v>1</v>
      </c>
      <c r="R456" s="493">
        <f t="shared" si="88"/>
        <v>0</v>
      </c>
      <c r="S456" s="800">
        <f t="shared" si="89"/>
        <v>0</v>
      </c>
    </row>
    <row r="457" spans="1:19">
      <c r="A457" s="964"/>
      <c r="B457" s="137"/>
      <c r="C457" s="53">
        <f t="shared" si="80"/>
        <v>1</v>
      </c>
      <c r="D457" s="962"/>
      <c r="E457" s="53">
        <f t="shared" si="81"/>
        <v>0.04</v>
      </c>
      <c r="F457" s="962"/>
      <c r="G457" s="53">
        <f t="shared" si="82"/>
        <v>0</v>
      </c>
      <c r="H457" s="962"/>
      <c r="I457" s="53">
        <f t="shared" si="83"/>
        <v>0</v>
      </c>
      <c r="J457" s="962"/>
      <c r="K457" s="53">
        <f t="shared" si="84"/>
        <v>0.03</v>
      </c>
      <c r="L457" s="962"/>
      <c r="M457" s="53">
        <f t="shared" si="85"/>
        <v>0.03</v>
      </c>
      <c r="N457" s="962"/>
      <c r="O457" s="53">
        <f t="shared" si="86"/>
        <v>7.0000000000000007E-2</v>
      </c>
      <c r="P457" s="962"/>
      <c r="Q457" s="53">
        <f t="shared" si="87"/>
        <v>1</v>
      </c>
      <c r="R457" s="493">
        <f t="shared" si="88"/>
        <v>0</v>
      </c>
      <c r="S457" s="800">
        <f t="shared" si="89"/>
        <v>0</v>
      </c>
    </row>
    <row r="458" spans="1:19">
      <c r="A458" s="964"/>
      <c r="B458" s="137"/>
      <c r="C458" s="53">
        <f t="shared" si="80"/>
        <v>1</v>
      </c>
      <c r="D458" s="962"/>
      <c r="E458" s="53">
        <f t="shared" si="81"/>
        <v>0.04</v>
      </c>
      <c r="F458" s="962"/>
      <c r="G458" s="53">
        <f t="shared" si="82"/>
        <v>0</v>
      </c>
      <c r="H458" s="962"/>
      <c r="I458" s="53">
        <f t="shared" si="83"/>
        <v>0</v>
      </c>
      <c r="J458" s="962"/>
      <c r="K458" s="53">
        <f t="shared" si="84"/>
        <v>0.03</v>
      </c>
      <c r="L458" s="962"/>
      <c r="M458" s="53">
        <f t="shared" si="85"/>
        <v>0.03</v>
      </c>
      <c r="N458" s="962"/>
      <c r="O458" s="53">
        <f t="shared" si="86"/>
        <v>7.0000000000000007E-2</v>
      </c>
      <c r="P458" s="962"/>
      <c r="Q458" s="53">
        <f t="shared" si="87"/>
        <v>1</v>
      </c>
      <c r="R458" s="493">
        <f t="shared" si="88"/>
        <v>0</v>
      </c>
      <c r="S458" s="800">
        <f t="shared" si="89"/>
        <v>0</v>
      </c>
    </row>
    <row r="459" spans="1:19">
      <c r="A459" s="964"/>
      <c r="B459" s="137"/>
      <c r="C459" s="53">
        <f t="shared" si="80"/>
        <v>1</v>
      </c>
      <c r="D459" s="962"/>
      <c r="E459" s="53">
        <f t="shared" si="81"/>
        <v>0.04</v>
      </c>
      <c r="F459" s="962"/>
      <c r="G459" s="53">
        <f t="shared" si="82"/>
        <v>0</v>
      </c>
      <c r="H459" s="962"/>
      <c r="I459" s="53">
        <f t="shared" si="83"/>
        <v>0</v>
      </c>
      <c r="J459" s="962"/>
      <c r="K459" s="53">
        <f t="shared" si="84"/>
        <v>0.03</v>
      </c>
      <c r="L459" s="962"/>
      <c r="M459" s="53">
        <f t="shared" si="85"/>
        <v>0.03</v>
      </c>
      <c r="N459" s="962"/>
      <c r="O459" s="53">
        <f t="shared" si="86"/>
        <v>7.0000000000000007E-2</v>
      </c>
      <c r="P459" s="962"/>
      <c r="Q459" s="53">
        <f t="shared" si="87"/>
        <v>1</v>
      </c>
      <c r="R459" s="493">
        <f t="shared" si="88"/>
        <v>0</v>
      </c>
      <c r="S459" s="800">
        <f t="shared" si="89"/>
        <v>0</v>
      </c>
    </row>
    <row r="460" spans="1:19">
      <c r="A460" s="964"/>
      <c r="B460" s="137"/>
      <c r="C460" s="53">
        <f t="shared" si="80"/>
        <v>1</v>
      </c>
      <c r="D460" s="962"/>
      <c r="E460" s="53">
        <f t="shared" si="81"/>
        <v>0.04</v>
      </c>
      <c r="F460" s="962"/>
      <c r="G460" s="53">
        <f t="shared" si="82"/>
        <v>0</v>
      </c>
      <c r="H460" s="962"/>
      <c r="I460" s="53">
        <f t="shared" si="83"/>
        <v>0</v>
      </c>
      <c r="J460" s="962"/>
      <c r="K460" s="53">
        <f t="shared" si="84"/>
        <v>0.03</v>
      </c>
      <c r="L460" s="962"/>
      <c r="M460" s="53">
        <f t="shared" si="85"/>
        <v>0.03</v>
      </c>
      <c r="N460" s="962"/>
      <c r="O460" s="53">
        <f t="shared" si="86"/>
        <v>7.0000000000000007E-2</v>
      </c>
      <c r="P460" s="962"/>
      <c r="Q460" s="53">
        <f t="shared" si="87"/>
        <v>1</v>
      </c>
      <c r="R460" s="493">
        <f t="shared" si="88"/>
        <v>0</v>
      </c>
      <c r="S460" s="800">
        <f t="shared" si="89"/>
        <v>0</v>
      </c>
    </row>
    <row r="461" spans="1:19">
      <c r="A461" s="964"/>
      <c r="B461" s="137"/>
      <c r="C461" s="53">
        <f t="shared" si="80"/>
        <v>1</v>
      </c>
      <c r="D461" s="962"/>
      <c r="E461" s="53">
        <f t="shared" si="81"/>
        <v>0.04</v>
      </c>
      <c r="F461" s="962"/>
      <c r="G461" s="53">
        <f t="shared" si="82"/>
        <v>0</v>
      </c>
      <c r="H461" s="962"/>
      <c r="I461" s="53">
        <f t="shared" si="83"/>
        <v>0</v>
      </c>
      <c r="J461" s="962"/>
      <c r="K461" s="53">
        <f t="shared" si="84"/>
        <v>0.03</v>
      </c>
      <c r="L461" s="962"/>
      <c r="M461" s="53">
        <f t="shared" si="85"/>
        <v>0.03</v>
      </c>
      <c r="N461" s="962"/>
      <c r="O461" s="53">
        <f t="shared" si="86"/>
        <v>7.0000000000000007E-2</v>
      </c>
      <c r="P461" s="962"/>
      <c r="Q461" s="53">
        <f t="shared" si="87"/>
        <v>1</v>
      </c>
      <c r="R461" s="493">
        <f t="shared" si="88"/>
        <v>0</v>
      </c>
      <c r="S461" s="800">
        <f t="shared" si="89"/>
        <v>0</v>
      </c>
    </row>
    <row r="462" spans="1:19">
      <c r="A462" s="964"/>
      <c r="B462" s="137"/>
      <c r="C462" s="53">
        <f t="shared" si="80"/>
        <v>1</v>
      </c>
      <c r="D462" s="962"/>
      <c r="E462" s="53">
        <f t="shared" si="81"/>
        <v>0.04</v>
      </c>
      <c r="F462" s="962"/>
      <c r="G462" s="53">
        <f t="shared" si="82"/>
        <v>0</v>
      </c>
      <c r="H462" s="962"/>
      <c r="I462" s="53">
        <f t="shared" si="83"/>
        <v>0</v>
      </c>
      <c r="J462" s="962"/>
      <c r="K462" s="53">
        <f t="shared" si="84"/>
        <v>0.03</v>
      </c>
      <c r="L462" s="962"/>
      <c r="M462" s="53">
        <f t="shared" si="85"/>
        <v>0.03</v>
      </c>
      <c r="N462" s="962"/>
      <c r="O462" s="53">
        <f t="shared" si="86"/>
        <v>7.0000000000000007E-2</v>
      </c>
      <c r="P462" s="962"/>
      <c r="Q462" s="53">
        <f t="shared" si="87"/>
        <v>1</v>
      </c>
      <c r="R462" s="493">
        <f t="shared" si="88"/>
        <v>0</v>
      </c>
      <c r="S462" s="800">
        <f t="shared" si="89"/>
        <v>0</v>
      </c>
    </row>
    <row r="463" spans="1:19">
      <c r="A463" s="964"/>
      <c r="B463" s="137"/>
      <c r="C463" s="53">
        <f t="shared" si="80"/>
        <v>1</v>
      </c>
      <c r="D463" s="962"/>
      <c r="E463" s="53">
        <f t="shared" si="81"/>
        <v>0.04</v>
      </c>
      <c r="F463" s="962"/>
      <c r="G463" s="53">
        <f t="shared" si="82"/>
        <v>0</v>
      </c>
      <c r="H463" s="962"/>
      <c r="I463" s="53">
        <f t="shared" si="83"/>
        <v>0</v>
      </c>
      <c r="J463" s="962"/>
      <c r="K463" s="53">
        <f t="shared" si="84"/>
        <v>0.03</v>
      </c>
      <c r="L463" s="962"/>
      <c r="M463" s="53">
        <f t="shared" si="85"/>
        <v>0.03</v>
      </c>
      <c r="N463" s="962"/>
      <c r="O463" s="53">
        <f t="shared" si="86"/>
        <v>7.0000000000000007E-2</v>
      </c>
      <c r="P463" s="962"/>
      <c r="Q463" s="53">
        <f t="shared" si="87"/>
        <v>1</v>
      </c>
      <c r="R463" s="493">
        <f t="shared" si="88"/>
        <v>0</v>
      </c>
      <c r="S463" s="800">
        <f t="shared" si="89"/>
        <v>0</v>
      </c>
    </row>
    <row r="464" spans="1:19">
      <c r="A464" s="964"/>
      <c r="B464" s="137"/>
      <c r="C464" s="53">
        <f t="shared" si="80"/>
        <v>1</v>
      </c>
      <c r="D464" s="962"/>
      <c r="E464" s="53">
        <f t="shared" si="81"/>
        <v>0.04</v>
      </c>
      <c r="F464" s="962"/>
      <c r="G464" s="53">
        <f t="shared" si="82"/>
        <v>0</v>
      </c>
      <c r="H464" s="962"/>
      <c r="I464" s="53">
        <f t="shared" si="83"/>
        <v>0</v>
      </c>
      <c r="J464" s="962"/>
      <c r="K464" s="53">
        <f t="shared" si="84"/>
        <v>0.03</v>
      </c>
      <c r="L464" s="962"/>
      <c r="M464" s="53">
        <f t="shared" si="85"/>
        <v>0.03</v>
      </c>
      <c r="N464" s="962"/>
      <c r="O464" s="53">
        <f t="shared" si="86"/>
        <v>7.0000000000000007E-2</v>
      </c>
      <c r="P464" s="962"/>
      <c r="Q464" s="53">
        <f t="shared" si="87"/>
        <v>1</v>
      </c>
      <c r="R464" s="493">
        <f t="shared" si="88"/>
        <v>0</v>
      </c>
      <c r="S464" s="800">
        <f t="shared" si="89"/>
        <v>0</v>
      </c>
    </row>
    <row r="465" spans="1:19">
      <c r="A465" s="964"/>
      <c r="B465" s="137"/>
      <c r="C465" s="53">
        <f t="shared" si="80"/>
        <v>1</v>
      </c>
      <c r="D465" s="962"/>
      <c r="E465" s="53">
        <f t="shared" si="81"/>
        <v>0.04</v>
      </c>
      <c r="F465" s="962"/>
      <c r="G465" s="53">
        <f t="shared" si="82"/>
        <v>0</v>
      </c>
      <c r="H465" s="962"/>
      <c r="I465" s="53">
        <f t="shared" si="83"/>
        <v>0</v>
      </c>
      <c r="J465" s="962"/>
      <c r="K465" s="53">
        <f t="shared" si="84"/>
        <v>0.03</v>
      </c>
      <c r="L465" s="962"/>
      <c r="M465" s="53">
        <f t="shared" si="85"/>
        <v>0.03</v>
      </c>
      <c r="N465" s="962"/>
      <c r="O465" s="53">
        <f t="shared" si="86"/>
        <v>7.0000000000000007E-2</v>
      </c>
      <c r="P465" s="962"/>
      <c r="Q465" s="53">
        <f t="shared" si="87"/>
        <v>1</v>
      </c>
      <c r="R465" s="493">
        <f t="shared" si="88"/>
        <v>0</v>
      </c>
      <c r="S465" s="800">
        <f t="shared" si="89"/>
        <v>0</v>
      </c>
    </row>
    <row r="466" spans="1:19">
      <c r="A466" s="964"/>
      <c r="B466" s="137"/>
      <c r="C466" s="53">
        <f t="shared" si="80"/>
        <v>1</v>
      </c>
      <c r="D466" s="962"/>
      <c r="E466" s="53">
        <f t="shared" si="81"/>
        <v>0.04</v>
      </c>
      <c r="F466" s="962"/>
      <c r="G466" s="53">
        <f t="shared" si="82"/>
        <v>0</v>
      </c>
      <c r="H466" s="962"/>
      <c r="I466" s="53">
        <f t="shared" si="83"/>
        <v>0</v>
      </c>
      <c r="J466" s="962"/>
      <c r="K466" s="53">
        <f t="shared" si="84"/>
        <v>0.03</v>
      </c>
      <c r="L466" s="962"/>
      <c r="M466" s="53">
        <f t="shared" si="85"/>
        <v>0.03</v>
      </c>
      <c r="N466" s="962"/>
      <c r="O466" s="53">
        <f t="shared" si="86"/>
        <v>7.0000000000000007E-2</v>
      </c>
      <c r="P466" s="962"/>
      <c r="Q466" s="53">
        <f t="shared" si="87"/>
        <v>1</v>
      </c>
      <c r="R466" s="493">
        <f t="shared" si="88"/>
        <v>0</v>
      </c>
      <c r="S466" s="800">
        <f t="shared" si="89"/>
        <v>0</v>
      </c>
    </row>
    <row r="467" spans="1:19">
      <c r="A467" s="964"/>
      <c r="B467" s="137"/>
      <c r="C467" s="53">
        <f t="shared" si="80"/>
        <v>1</v>
      </c>
      <c r="D467" s="962"/>
      <c r="E467" s="53">
        <f t="shared" si="81"/>
        <v>0.04</v>
      </c>
      <c r="F467" s="962"/>
      <c r="G467" s="53">
        <f t="shared" si="82"/>
        <v>0</v>
      </c>
      <c r="H467" s="962"/>
      <c r="I467" s="53">
        <f t="shared" si="83"/>
        <v>0</v>
      </c>
      <c r="J467" s="962"/>
      <c r="K467" s="53">
        <f t="shared" si="84"/>
        <v>0.03</v>
      </c>
      <c r="L467" s="962"/>
      <c r="M467" s="53">
        <f t="shared" si="85"/>
        <v>0.03</v>
      </c>
      <c r="N467" s="962"/>
      <c r="O467" s="53">
        <f t="shared" si="86"/>
        <v>7.0000000000000007E-2</v>
      </c>
      <c r="P467" s="962"/>
      <c r="Q467" s="53">
        <f t="shared" si="87"/>
        <v>1</v>
      </c>
      <c r="R467" s="493">
        <f t="shared" si="88"/>
        <v>0</v>
      </c>
      <c r="S467" s="800">
        <f t="shared" si="89"/>
        <v>0</v>
      </c>
    </row>
    <row r="468" spans="1:19">
      <c r="A468" s="964"/>
      <c r="B468" s="137"/>
      <c r="C468" s="53">
        <f t="shared" si="80"/>
        <v>1</v>
      </c>
      <c r="D468" s="962"/>
      <c r="E468" s="53">
        <f t="shared" si="81"/>
        <v>0.04</v>
      </c>
      <c r="F468" s="962"/>
      <c r="G468" s="53">
        <f t="shared" si="82"/>
        <v>0</v>
      </c>
      <c r="H468" s="962"/>
      <c r="I468" s="53">
        <f t="shared" si="83"/>
        <v>0</v>
      </c>
      <c r="J468" s="962"/>
      <c r="K468" s="53">
        <f t="shared" si="84"/>
        <v>0.03</v>
      </c>
      <c r="L468" s="962"/>
      <c r="M468" s="53">
        <f t="shared" si="85"/>
        <v>0.03</v>
      </c>
      <c r="N468" s="962"/>
      <c r="O468" s="53">
        <f t="shared" si="86"/>
        <v>7.0000000000000007E-2</v>
      </c>
      <c r="P468" s="962"/>
      <c r="Q468" s="53">
        <f t="shared" si="87"/>
        <v>1</v>
      </c>
      <c r="R468" s="493">
        <f t="shared" si="88"/>
        <v>0</v>
      </c>
      <c r="S468" s="800">
        <f t="shared" ref="S468:S497" si="90">ROUND(R468*B468/10000,0)</f>
        <v>0</v>
      </c>
    </row>
    <row r="469" spans="1:19">
      <c r="A469" s="964"/>
      <c r="B469" s="137"/>
      <c r="C469" s="53">
        <f t="shared" si="80"/>
        <v>1</v>
      </c>
      <c r="D469" s="962"/>
      <c r="E469" s="53">
        <f t="shared" si="81"/>
        <v>0.04</v>
      </c>
      <c r="F469" s="962"/>
      <c r="G469" s="53">
        <f t="shared" si="82"/>
        <v>0</v>
      </c>
      <c r="H469" s="962"/>
      <c r="I469" s="53">
        <f t="shared" si="83"/>
        <v>0</v>
      </c>
      <c r="J469" s="962"/>
      <c r="K469" s="53">
        <f t="shared" si="84"/>
        <v>0.03</v>
      </c>
      <c r="L469" s="962"/>
      <c r="M469" s="53">
        <f t="shared" si="85"/>
        <v>0.03</v>
      </c>
      <c r="N469" s="962"/>
      <c r="O469" s="53">
        <f t="shared" si="86"/>
        <v>7.0000000000000007E-2</v>
      </c>
      <c r="P469" s="962"/>
      <c r="Q469" s="53">
        <f t="shared" si="87"/>
        <v>1</v>
      </c>
      <c r="R469" s="493">
        <f t="shared" si="88"/>
        <v>0</v>
      </c>
      <c r="S469" s="800">
        <f t="shared" si="90"/>
        <v>0</v>
      </c>
    </row>
    <row r="470" spans="1:19">
      <c r="A470" s="964"/>
      <c r="B470" s="137"/>
      <c r="C470" s="53">
        <f t="shared" si="80"/>
        <v>1</v>
      </c>
      <c r="D470" s="962"/>
      <c r="E470" s="53">
        <f t="shared" si="81"/>
        <v>0.04</v>
      </c>
      <c r="F470" s="962"/>
      <c r="G470" s="53">
        <f t="shared" si="82"/>
        <v>0</v>
      </c>
      <c r="H470" s="962"/>
      <c r="I470" s="53">
        <f t="shared" si="83"/>
        <v>0</v>
      </c>
      <c r="J470" s="962"/>
      <c r="K470" s="53">
        <f t="shared" si="84"/>
        <v>0.03</v>
      </c>
      <c r="L470" s="962"/>
      <c r="M470" s="53">
        <f t="shared" si="85"/>
        <v>0.03</v>
      </c>
      <c r="N470" s="962"/>
      <c r="O470" s="53">
        <f t="shared" si="86"/>
        <v>7.0000000000000007E-2</v>
      </c>
      <c r="P470" s="962"/>
      <c r="Q470" s="53">
        <f t="shared" si="87"/>
        <v>1</v>
      </c>
      <c r="R470" s="493">
        <f t="shared" si="88"/>
        <v>0</v>
      </c>
      <c r="S470" s="800">
        <f t="shared" si="90"/>
        <v>0</v>
      </c>
    </row>
    <row r="471" spans="1:19">
      <c r="A471" s="964"/>
      <c r="B471" s="137"/>
      <c r="C471" s="53">
        <f t="shared" si="80"/>
        <v>1</v>
      </c>
      <c r="D471" s="962"/>
      <c r="E471" s="53">
        <f t="shared" si="81"/>
        <v>0.04</v>
      </c>
      <c r="F471" s="962"/>
      <c r="G471" s="53">
        <f t="shared" si="82"/>
        <v>0</v>
      </c>
      <c r="H471" s="962"/>
      <c r="I471" s="53">
        <f t="shared" si="83"/>
        <v>0</v>
      </c>
      <c r="J471" s="962"/>
      <c r="K471" s="53">
        <f t="shared" si="84"/>
        <v>0.03</v>
      </c>
      <c r="L471" s="962"/>
      <c r="M471" s="53">
        <f t="shared" si="85"/>
        <v>0.03</v>
      </c>
      <c r="N471" s="962"/>
      <c r="O471" s="53">
        <f t="shared" si="86"/>
        <v>7.0000000000000007E-2</v>
      </c>
      <c r="P471" s="962"/>
      <c r="Q471" s="53">
        <f t="shared" si="87"/>
        <v>1</v>
      </c>
      <c r="R471" s="493">
        <f t="shared" si="88"/>
        <v>0</v>
      </c>
      <c r="S471" s="800">
        <f t="shared" si="90"/>
        <v>0</v>
      </c>
    </row>
    <row r="472" spans="1:19">
      <c r="A472" s="964"/>
      <c r="B472" s="137"/>
      <c r="C472" s="53">
        <f t="shared" si="80"/>
        <v>1</v>
      </c>
      <c r="D472" s="962"/>
      <c r="E472" s="53">
        <f t="shared" si="81"/>
        <v>0.04</v>
      </c>
      <c r="F472" s="962"/>
      <c r="G472" s="53">
        <f t="shared" si="82"/>
        <v>0</v>
      </c>
      <c r="H472" s="962"/>
      <c r="I472" s="53">
        <f t="shared" si="83"/>
        <v>0</v>
      </c>
      <c r="J472" s="962"/>
      <c r="K472" s="53">
        <f t="shared" si="84"/>
        <v>0.03</v>
      </c>
      <c r="L472" s="962"/>
      <c r="M472" s="53">
        <f t="shared" si="85"/>
        <v>0.03</v>
      </c>
      <c r="N472" s="962"/>
      <c r="O472" s="53">
        <f t="shared" si="86"/>
        <v>7.0000000000000007E-2</v>
      </c>
      <c r="P472" s="962"/>
      <c r="Q472" s="53">
        <f t="shared" si="87"/>
        <v>1</v>
      </c>
      <c r="R472" s="493">
        <f t="shared" si="88"/>
        <v>0</v>
      </c>
      <c r="S472" s="800">
        <f t="shared" si="90"/>
        <v>0</v>
      </c>
    </row>
    <row r="473" spans="1:19">
      <c r="A473" s="964"/>
      <c r="B473" s="137"/>
      <c r="C473" s="53">
        <f t="shared" si="80"/>
        <v>1</v>
      </c>
      <c r="D473" s="962"/>
      <c r="E473" s="53">
        <f t="shared" si="81"/>
        <v>0.04</v>
      </c>
      <c r="F473" s="962"/>
      <c r="G473" s="53">
        <f t="shared" si="82"/>
        <v>0</v>
      </c>
      <c r="H473" s="962"/>
      <c r="I473" s="53">
        <f t="shared" si="83"/>
        <v>0</v>
      </c>
      <c r="J473" s="962"/>
      <c r="K473" s="53">
        <f t="shared" si="84"/>
        <v>0.03</v>
      </c>
      <c r="L473" s="962"/>
      <c r="M473" s="53">
        <f t="shared" si="85"/>
        <v>0.03</v>
      </c>
      <c r="N473" s="962"/>
      <c r="O473" s="53">
        <f t="shared" si="86"/>
        <v>7.0000000000000007E-2</v>
      </c>
      <c r="P473" s="962"/>
      <c r="Q473" s="53">
        <f t="shared" si="87"/>
        <v>1</v>
      </c>
      <c r="R473" s="493">
        <f t="shared" si="88"/>
        <v>0</v>
      </c>
      <c r="S473" s="800">
        <f t="shared" si="90"/>
        <v>0</v>
      </c>
    </row>
    <row r="474" spans="1:19">
      <c r="A474" s="964"/>
      <c r="B474" s="137"/>
      <c r="C474" s="53">
        <f t="shared" ref="C474:C524" si="91">IF(B474="",1,(LOOKUP(B474,$3:$3,$4:$4)-LOOKUP($B$24,$3:$3,$4:$4)+100)/100)</f>
        <v>1</v>
      </c>
      <c r="D474" s="962"/>
      <c r="E474" s="53">
        <f t="shared" ref="E474:E524" si="92">(SUMIF($5:$5,D474,$6:$6)-SUMIF($5:$5,$D$24,$6:$6)+100)/100</f>
        <v>0.04</v>
      </c>
      <c r="F474" s="962"/>
      <c r="G474" s="53">
        <f t="shared" ref="G474:G524" si="93">(SUMIF($7:$7,F474,$8:$8)-SUMIF($7:$7,$F$24,$8:$8)+100)/100</f>
        <v>0</v>
      </c>
      <c r="H474" s="962"/>
      <c r="I474" s="53">
        <f t="shared" ref="I474:I524" si="94">(SUMIF($9:$9,H474,$10:$10)-SUMIF($9:$9,$H$24,$10:$10)+100)/100</f>
        <v>0</v>
      </c>
      <c r="J474" s="962"/>
      <c r="K474" s="53">
        <f t="shared" ref="K474:K524" si="95">(SUMIF($11:$11,J474,$12:$12)-SUMIF($11:$11,$J$24,$12:$12)+100)/100</f>
        <v>0.03</v>
      </c>
      <c r="L474" s="962"/>
      <c r="M474" s="53">
        <f t="shared" ref="M474:M524" si="96">(SUMIF($13:$13,L474,$14:$14)-SUMIF($13:$13,$L$24,$14:$14)+100)/100</f>
        <v>0.03</v>
      </c>
      <c r="N474" s="962"/>
      <c r="O474" s="53">
        <f t="shared" ref="O474:O524" si="97">(SUMIF($15:$15,N474,$16:$16)-SUMIF($15:$15,$N$24,$16:$16)+100)/100</f>
        <v>7.0000000000000007E-2</v>
      </c>
      <c r="P474" s="962"/>
      <c r="Q474" s="53">
        <f t="shared" ref="Q474:Q524" si="98">(SUMIF($17:$17,P474,$18:$18)-SUMIF($17:$17,$P$24,$18:$18)+100)/100</f>
        <v>1</v>
      </c>
      <c r="R474" s="493">
        <f t="shared" ref="R474:R524" si="99">IF(B474="",0,ROUND($R$24*C474*E474*G474*I474*K474*M474*O474*Q474,0))</f>
        <v>0</v>
      </c>
      <c r="S474" s="800">
        <f t="shared" si="90"/>
        <v>0</v>
      </c>
    </row>
    <row r="475" spans="1:19">
      <c r="A475" s="964"/>
      <c r="B475" s="137"/>
      <c r="C475" s="53">
        <f t="shared" si="91"/>
        <v>1</v>
      </c>
      <c r="D475" s="962"/>
      <c r="E475" s="53">
        <f t="shared" si="92"/>
        <v>0.04</v>
      </c>
      <c r="F475" s="962"/>
      <c r="G475" s="53">
        <f t="shared" si="93"/>
        <v>0</v>
      </c>
      <c r="H475" s="962"/>
      <c r="I475" s="53">
        <f t="shared" si="94"/>
        <v>0</v>
      </c>
      <c r="J475" s="962"/>
      <c r="K475" s="53">
        <f t="shared" si="95"/>
        <v>0.03</v>
      </c>
      <c r="L475" s="962"/>
      <c r="M475" s="53">
        <f t="shared" si="96"/>
        <v>0.03</v>
      </c>
      <c r="N475" s="962"/>
      <c r="O475" s="53">
        <f t="shared" si="97"/>
        <v>7.0000000000000007E-2</v>
      </c>
      <c r="P475" s="962"/>
      <c r="Q475" s="53">
        <f t="shared" si="98"/>
        <v>1</v>
      </c>
      <c r="R475" s="493">
        <f t="shared" si="99"/>
        <v>0</v>
      </c>
      <c r="S475" s="800">
        <f t="shared" si="90"/>
        <v>0</v>
      </c>
    </row>
    <row r="476" spans="1:19">
      <c r="A476" s="964"/>
      <c r="B476" s="137"/>
      <c r="C476" s="53">
        <f t="shared" si="91"/>
        <v>1</v>
      </c>
      <c r="D476" s="962"/>
      <c r="E476" s="53">
        <f t="shared" si="92"/>
        <v>0.04</v>
      </c>
      <c r="F476" s="962"/>
      <c r="G476" s="53">
        <f t="shared" si="93"/>
        <v>0</v>
      </c>
      <c r="H476" s="962"/>
      <c r="I476" s="53">
        <f t="shared" si="94"/>
        <v>0</v>
      </c>
      <c r="J476" s="962"/>
      <c r="K476" s="53">
        <f t="shared" si="95"/>
        <v>0.03</v>
      </c>
      <c r="L476" s="962"/>
      <c r="M476" s="53">
        <f t="shared" si="96"/>
        <v>0.03</v>
      </c>
      <c r="N476" s="962"/>
      <c r="O476" s="53">
        <f t="shared" si="97"/>
        <v>7.0000000000000007E-2</v>
      </c>
      <c r="P476" s="962"/>
      <c r="Q476" s="53">
        <f t="shared" si="98"/>
        <v>1</v>
      </c>
      <c r="R476" s="493">
        <f t="shared" si="99"/>
        <v>0</v>
      </c>
      <c r="S476" s="800">
        <f t="shared" si="90"/>
        <v>0</v>
      </c>
    </row>
    <row r="477" spans="1:19">
      <c r="A477" s="964"/>
      <c r="B477" s="137"/>
      <c r="C477" s="53">
        <f t="shared" si="91"/>
        <v>1</v>
      </c>
      <c r="D477" s="962"/>
      <c r="E477" s="53">
        <f t="shared" si="92"/>
        <v>0.04</v>
      </c>
      <c r="F477" s="962"/>
      <c r="G477" s="53">
        <f t="shared" si="93"/>
        <v>0</v>
      </c>
      <c r="H477" s="962"/>
      <c r="I477" s="53">
        <f t="shared" si="94"/>
        <v>0</v>
      </c>
      <c r="J477" s="962"/>
      <c r="K477" s="53">
        <f t="shared" si="95"/>
        <v>0.03</v>
      </c>
      <c r="L477" s="962"/>
      <c r="M477" s="53">
        <f t="shared" si="96"/>
        <v>0.03</v>
      </c>
      <c r="N477" s="962"/>
      <c r="O477" s="53">
        <f t="shared" si="97"/>
        <v>7.0000000000000007E-2</v>
      </c>
      <c r="P477" s="962"/>
      <c r="Q477" s="53">
        <f t="shared" si="98"/>
        <v>1</v>
      </c>
      <c r="R477" s="493">
        <f t="shared" si="99"/>
        <v>0</v>
      </c>
      <c r="S477" s="800">
        <f t="shared" si="90"/>
        <v>0</v>
      </c>
    </row>
    <row r="478" spans="1:19">
      <c r="A478" s="964"/>
      <c r="B478" s="137"/>
      <c r="C478" s="53">
        <f t="shared" si="91"/>
        <v>1</v>
      </c>
      <c r="D478" s="962"/>
      <c r="E478" s="53">
        <f t="shared" si="92"/>
        <v>0.04</v>
      </c>
      <c r="F478" s="962"/>
      <c r="G478" s="53">
        <f t="shared" si="93"/>
        <v>0</v>
      </c>
      <c r="H478" s="962"/>
      <c r="I478" s="53">
        <f t="shared" si="94"/>
        <v>0</v>
      </c>
      <c r="J478" s="962"/>
      <c r="K478" s="53">
        <f t="shared" si="95"/>
        <v>0.03</v>
      </c>
      <c r="L478" s="962"/>
      <c r="M478" s="53">
        <f t="shared" si="96"/>
        <v>0.03</v>
      </c>
      <c r="N478" s="962"/>
      <c r="O478" s="53">
        <f t="shared" si="97"/>
        <v>7.0000000000000007E-2</v>
      </c>
      <c r="P478" s="962"/>
      <c r="Q478" s="53">
        <f t="shared" si="98"/>
        <v>1</v>
      </c>
      <c r="R478" s="493">
        <f t="shared" si="99"/>
        <v>0</v>
      </c>
      <c r="S478" s="800">
        <f t="shared" si="90"/>
        <v>0</v>
      </c>
    </row>
    <row r="479" spans="1:19">
      <c r="A479" s="964"/>
      <c r="B479" s="137"/>
      <c r="C479" s="53">
        <f t="shared" si="91"/>
        <v>1</v>
      </c>
      <c r="D479" s="962"/>
      <c r="E479" s="53">
        <f t="shared" si="92"/>
        <v>0.04</v>
      </c>
      <c r="F479" s="962"/>
      <c r="G479" s="53">
        <f t="shared" si="93"/>
        <v>0</v>
      </c>
      <c r="H479" s="962"/>
      <c r="I479" s="53">
        <f t="shared" si="94"/>
        <v>0</v>
      </c>
      <c r="J479" s="962"/>
      <c r="K479" s="53">
        <f t="shared" si="95"/>
        <v>0.03</v>
      </c>
      <c r="L479" s="962"/>
      <c r="M479" s="53">
        <f t="shared" si="96"/>
        <v>0.03</v>
      </c>
      <c r="N479" s="962"/>
      <c r="O479" s="53">
        <f t="shared" si="97"/>
        <v>7.0000000000000007E-2</v>
      </c>
      <c r="P479" s="962"/>
      <c r="Q479" s="53">
        <f t="shared" si="98"/>
        <v>1</v>
      </c>
      <c r="R479" s="493">
        <f t="shared" si="99"/>
        <v>0</v>
      </c>
      <c r="S479" s="800">
        <f t="shared" si="90"/>
        <v>0</v>
      </c>
    </row>
    <row r="480" spans="1:19">
      <c r="A480" s="964"/>
      <c r="B480" s="137"/>
      <c r="C480" s="53">
        <f t="shared" si="91"/>
        <v>1</v>
      </c>
      <c r="D480" s="962"/>
      <c r="E480" s="53">
        <f t="shared" si="92"/>
        <v>0.04</v>
      </c>
      <c r="F480" s="962"/>
      <c r="G480" s="53">
        <f t="shared" si="93"/>
        <v>0</v>
      </c>
      <c r="H480" s="962"/>
      <c r="I480" s="53">
        <f t="shared" si="94"/>
        <v>0</v>
      </c>
      <c r="J480" s="962"/>
      <c r="K480" s="53">
        <f t="shared" si="95"/>
        <v>0.03</v>
      </c>
      <c r="L480" s="962"/>
      <c r="M480" s="53">
        <f t="shared" si="96"/>
        <v>0.03</v>
      </c>
      <c r="N480" s="962"/>
      <c r="O480" s="53">
        <f t="shared" si="97"/>
        <v>7.0000000000000007E-2</v>
      </c>
      <c r="P480" s="962"/>
      <c r="Q480" s="53">
        <f t="shared" si="98"/>
        <v>1</v>
      </c>
      <c r="R480" s="493">
        <f t="shared" si="99"/>
        <v>0</v>
      </c>
      <c r="S480" s="800">
        <f t="shared" si="90"/>
        <v>0</v>
      </c>
    </row>
    <row r="481" spans="1:19">
      <c r="A481" s="964"/>
      <c r="B481" s="137"/>
      <c r="C481" s="53">
        <f t="shared" si="91"/>
        <v>1</v>
      </c>
      <c r="D481" s="962"/>
      <c r="E481" s="53">
        <f t="shared" si="92"/>
        <v>0.04</v>
      </c>
      <c r="F481" s="962"/>
      <c r="G481" s="53">
        <f t="shared" si="93"/>
        <v>0</v>
      </c>
      <c r="H481" s="962"/>
      <c r="I481" s="53">
        <f t="shared" si="94"/>
        <v>0</v>
      </c>
      <c r="J481" s="962"/>
      <c r="K481" s="53">
        <f t="shared" si="95"/>
        <v>0.03</v>
      </c>
      <c r="L481" s="962"/>
      <c r="M481" s="53">
        <f t="shared" si="96"/>
        <v>0.03</v>
      </c>
      <c r="N481" s="962"/>
      <c r="O481" s="53">
        <f t="shared" si="97"/>
        <v>7.0000000000000007E-2</v>
      </c>
      <c r="P481" s="962"/>
      <c r="Q481" s="53">
        <f t="shared" si="98"/>
        <v>1</v>
      </c>
      <c r="R481" s="493">
        <f t="shared" si="99"/>
        <v>0</v>
      </c>
      <c r="S481" s="800">
        <f t="shared" si="90"/>
        <v>0</v>
      </c>
    </row>
    <row r="482" spans="1:19">
      <c r="A482" s="964"/>
      <c r="B482" s="137"/>
      <c r="C482" s="53">
        <f t="shared" si="91"/>
        <v>1</v>
      </c>
      <c r="D482" s="962"/>
      <c r="E482" s="53">
        <f t="shared" si="92"/>
        <v>0.04</v>
      </c>
      <c r="F482" s="962"/>
      <c r="G482" s="53">
        <f t="shared" si="93"/>
        <v>0</v>
      </c>
      <c r="H482" s="962"/>
      <c r="I482" s="53">
        <f t="shared" si="94"/>
        <v>0</v>
      </c>
      <c r="J482" s="962"/>
      <c r="K482" s="53">
        <f t="shared" si="95"/>
        <v>0.03</v>
      </c>
      <c r="L482" s="962"/>
      <c r="M482" s="53">
        <f t="shared" si="96"/>
        <v>0.03</v>
      </c>
      <c r="N482" s="962"/>
      <c r="O482" s="53">
        <f t="shared" si="97"/>
        <v>7.0000000000000007E-2</v>
      </c>
      <c r="P482" s="962"/>
      <c r="Q482" s="53">
        <f t="shared" si="98"/>
        <v>1</v>
      </c>
      <c r="R482" s="493">
        <f t="shared" si="99"/>
        <v>0</v>
      </c>
      <c r="S482" s="800">
        <f t="shared" si="90"/>
        <v>0</v>
      </c>
    </row>
    <row r="483" spans="1:19">
      <c r="A483" s="964"/>
      <c r="B483" s="137"/>
      <c r="C483" s="53">
        <f t="shared" si="91"/>
        <v>1</v>
      </c>
      <c r="D483" s="962"/>
      <c r="E483" s="53">
        <f t="shared" si="92"/>
        <v>0.04</v>
      </c>
      <c r="F483" s="962"/>
      <c r="G483" s="53">
        <f t="shared" si="93"/>
        <v>0</v>
      </c>
      <c r="H483" s="962"/>
      <c r="I483" s="53">
        <f t="shared" si="94"/>
        <v>0</v>
      </c>
      <c r="J483" s="962"/>
      <c r="K483" s="53">
        <f t="shared" si="95"/>
        <v>0.03</v>
      </c>
      <c r="L483" s="962"/>
      <c r="M483" s="53">
        <f t="shared" si="96"/>
        <v>0.03</v>
      </c>
      <c r="N483" s="962"/>
      <c r="O483" s="53">
        <f t="shared" si="97"/>
        <v>7.0000000000000007E-2</v>
      </c>
      <c r="P483" s="962"/>
      <c r="Q483" s="53">
        <f t="shared" si="98"/>
        <v>1</v>
      </c>
      <c r="R483" s="493">
        <f t="shared" si="99"/>
        <v>0</v>
      </c>
      <c r="S483" s="800">
        <f t="shared" si="90"/>
        <v>0</v>
      </c>
    </row>
    <row r="484" spans="1:19">
      <c r="A484" s="964"/>
      <c r="B484" s="137"/>
      <c r="C484" s="53">
        <f t="shared" si="91"/>
        <v>1</v>
      </c>
      <c r="D484" s="962"/>
      <c r="E484" s="53">
        <f t="shared" si="92"/>
        <v>0.04</v>
      </c>
      <c r="F484" s="962"/>
      <c r="G484" s="53">
        <f t="shared" si="93"/>
        <v>0</v>
      </c>
      <c r="H484" s="962"/>
      <c r="I484" s="53">
        <f t="shared" si="94"/>
        <v>0</v>
      </c>
      <c r="J484" s="962"/>
      <c r="K484" s="53">
        <f t="shared" si="95"/>
        <v>0.03</v>
      </c>
      <c r="L484" s="962"/>
      <c r="M484" s="53">
        <f t="shared" si="96"/>
        <v>0.03</v>
      </c>
      <c r="N484" s="962"/>
      <c r="O484" s="53">
        <f t="shared" si="97"/>
        <v>7.0000000000000007E-2</v>
      </c>
      <c r="P484" s="962"/>
      <c r="Q484" s="53">
        <f t="shared" si="98"/>
        <v>1</v>
      </c>
      <c r="R484" s="493">
        <f t="shared" si="99"/>
        <v>0</v>
      </c>
      <c r="S484" s="800">
        <f t="shared" si="90"/>
        <v>0</v>
      </c>
    </row>
    <row r="485" spans="1:19">
      <c r="A485" s="964"/>
      <c r="B485" s="137"/>
      <c r="C485" s="53">
        <f t="shared" si="91"/>
        <v>1</v>
      </c>
      <c r="D485" s="962"/>
      <c r="E485" s="53">
        <f t="shared" si="92"/>
        <v>0.04</v>
      </c>
      <c r="F485" s="962"/>
      <c r="G485" s="53">
        <f t="shared" si="93"/>
        <v>0</v>
      </c>
      <c r="H485" s="962"/>
      <c r="I485" s="53">
        <f t="shared" si="94"/>
        <v>0</v>
      </c>
      <c r="J485" s="962"/>
      <c r="K485" s="53">
        <f t="shared" si="95"/>
        <v>0.03</v>
      </c>
      <c r="L485" s="962"/>
      <c r="M485" s="53">
        <f t="shared" si="96"/>
        <v>0.03</v>
      </c>
      <c r="N485" s="962"/>
      <c r="O485" s="53">
        <f t="shared" si="97"/>
        <v>7.0000000000000007E-2</v>
      </c>
      <c r="P485" s="962"/>
      <c r="Q485" s="53">
        <f t="shared" si="98"/>
        <v>1</v>
      </c>
      <c r="R485" s="493">
        <f t="shared" si="99"/>
        <v>0</v>
      </c>
      <c r="S485" s="800">
        <f t="shared" si="90"/>
        <v>0</v>
      </c>
    </row>
    <row r="486" spans="1:19">
      <c r="A486" s="964"/>
      <c r="B486" s="137"/>
      <c r="C486" s="53">
        <f t="shared" si="91"/>
        <v>1</v>
      </c>
      <c r="D486" s="962"/>
      <c r="E486" s="53">
        <f t="shared" si="92"/>
        <v>0.04</v>
      </c>
      <c r="F486" s="962"/>
      <c r="G486" s="53">
        <f t="shared" si="93"/>
        <v>0</v>
      </c>
      <c r="H486" s="962"/>
      <c r="I486" s="53">
        <f t="shared" si="94"/>
        <v>0</v>
      </c>
      <c r="J486" s="962"/>
      <c r="K486" s="53">
        <f t="shared" si="95"/>
        <v>0.03</v>
      </c>
      <c r="L486" s="962"/>
      <c r="M486" s="53">
        <f t="shared" si="96"/>
        <v>0.03</v>
      </c>
      <c r="N486" s="962"/>
      <c r="O486" s="53">
        <f t="shared" si="97"/>
        <v>7.0000000000000007E-2</v>
      </c>
      <c r="P486" s="962"/>
      <c r="Q486" s="53">
        <f t="shared" si="98"/>
        <v>1</v>
      </c>
      <c r="R486" s="493">
        <f t="shared" si="99"/>
        <v>0</v>
      </c>
      <c r="S486" s="800">
        <f t="shared" si="90"/>
        <v>0</v>
      </c>
    </row>
    <row r="487" spans="1:19">
      <c r="A487" s="964"/>
      <c r="B487" s="137"/>
      <c r="C487" s="53">
        <f t="shared" si="91"/>
        <v>1</v>
      </c>
      <c r="D487" s="962"/>
      <c r="E487" s="53">
        <f t="shared" si="92"/>
        <v>0.04</v>
      </c>
      <c r="F487" s="962"/>
      <c r="G487" s="53">
        <f t="shared" si="93"/>
        <v>0</v>
      </c>
      <c r="H487" s="962"/>
      <c r="I487" s="53">
        <f t="shared" si="94"/>
        <v>0</v>
      </c>
      <c r="J487" s="962"/>
      <c r="K487" s="53">
        <f t="shared" si="95"/>
        <v>0.03</v>
      </c>
      <c r="L487" s="962"/>
      <c r="M487" s="53">
        <f t="shared" si="96"/>
        <v>0.03</v>
      </c>
      <c r="N487" s="962"/>
      <c r="O487" s="53">
        <f t="shared" si="97"/>
        <v>7.0000000000000007E-2</v>
      </c>
      <c r="P487" s="962"/>
      <c r="Q487" s="53">
        <f t="shared" si="98"/>
        <v>1</v>
      </c>
      <c r="R487" s="493">
        <f t="shared" si="99"/>
        <v>0</v>
      </c>
      <c r="S487" s="800">
        <f t="shared" si="90"/>
        <v>0</v>
      </c>
    </row>
    <row r="488" spans="1:19">
      <c r="A488" s="964"/>
      <c r="B488" s="137"/>
      <c r="C488" s="53">
        <f t="shared" si="91"/>
        <v>1</v>
      </c>
      <c r="D488" s="962"/>
      <c r="E488" s="53">
        <f t="shared" si="92"/>
        <v>0.04</v>
      </c>
      <c r="F488" s="962"/>
      <c r="G488" s="53">
        <f t="shared" si="93"/>
        <v>0</v>
      </c>
      <c r="H488" s="962"/>
      <c r="I488" s="53">
        <f t="shared" si="94"/>
        <v>0</v>
      </c>
      <c r="J488" s="962"/>
      <c r="K488" s="53">
        <f t="shared" si="95"/>
        <v>0.03</v>
      </c>
      <c r="L488" s="962"/>
      <c r="M488" s="53">
        <f t="shared" si="96"/>
        <v>0.03</v>
      </c>
      <c r="N488" s="962"/>
      <c r="O488" s="53">
        <f t="shared" si="97"/>
        <v>7.0000000000000007E-2</v>
      </c>
      <c r="P488" s="962"/>
      <c r="Q488" s="53">
        <f t="shared" si="98"/>
        <v>1</v>
      </c>
      <c r="R488" s="493">
        <f t="shared" si="99"/>
        <v>0</v>
      </c>
      <c r="S488" s="800">
        <f t="shared" si="90"/>
        <v>0</v>
      </c>
    </row>
    <row r="489" spans="1:19">
      <c r="A489" s="964"/>
      <c r="B489" s="137"/>
      <c r="C489" s="53">
        <f t="shared" si="91"/>
        <v>1</v>
      </c>
      <c r="D489" s="962"/>
      <c r="E489" s="53">
        <f t="shared" si="92"/>
        <v>0.04</v>
      </c>
      <c r="F489" s="962"/>
      <c r="G489" s="53">
        <f t="shared" si="93"/>
        <v>0</v>
      </c>
      <c r="H489" s="962"/>
      <c r="I489" s="53">
        <f t="shared" si="94"/>
        <v>0</v>
      </c>
      <c r="J489" s="962"/>
      <c r="K489" s="53">
        <f t="shared" si="95"/>
        <v>0.03</v>
      </c>
      <c r="L489" s="962"/>
      <c r="M489" s="53">
        <f t="shared" si="96"/>
        <v>0.03</v>
      </c>
      <c r="N489" s="962"/>
      <c r="O489" s="53">
        <f t="shared" si="97"/>
        <v>7.0000000000000007E-2</v>
      </c>
      <c r="P489" s="962"/>
      <c r="Q489" s="53">
        <f t="shared" si="98"/>
        <v>1</v>
      </c>
      <c r="R489" s="493">
        <f t="shared" si="99"/>
        <v>0</v>
      </c>
      <c r="S489" s="800">
        <f t="shared" si="90"/>
        <v>0</v>
      </c>
    </row>
    <row r="490" spans="1:19">
      <c r="A490" s="964"/>
      <c r="B490" s="137"/>
      <c r="C490" s="53">
        <f t="shared" si="91"/>
        <v>1</v>
      </c>
      <c r="D490" s="962"/>
      <c r="E490" s="53">
        <f t="shared" si="92"/>
        <v>0.04</v>
      </c>
      <c r="F490" s="962"/>
      <c r="G490" s="53">
        <f t="shared" si="93"/>
        <v>0</v>
      </c>
      <c r="H490" s="962"/>
      <c r="I490" s="53">
        <f t="shared" si="94"/>
        <v>0</v>
      </c>
      <c r="J490" s="962"/>
      <c r="K490" s="53">
        <f t="shared" si="95"/>
        <v>0.03</v>
      </c>
      <c r="L490" s="962"/>
      <c r="M490" s="53">
        <f t="shared" si="96"/>
        <v>0.03</v>
      </c>
      <c r="N490" s="962"/>
      <c r="O490" s="53">
        <f t="shared" si="97"/>
        <v>7.0000000000000007E-2</v>
      </c>
      <c r="P490" s="962"/>
      <c r="Q490" s="53">
        <f t="shared" si="98"/>
        <v>1</v>
      </c>
      <c r="R490" s="493">
        <f t="shared" si="99"/>
        <v>0</v>
      </c>
      <c r="S490" s="800">
        <f t="shared" si="90"/>
        <v>0</v>
      </c>
    </row>
    <row r="491" spans="1:19">
      <c r="A491" s="964"/>
      <c r="B491" s="137"/>
      <c r="C491" s="53">
        <f t="shared" si="91"/>
        <v>1</v>
      </c>
      <c r="D491" s="962"/>
      <c r="E491" s="53">
        <f t="shared" si="92"/>
        <v>0.04</v>
      </c>
      <c r="F491" s="962"/>
      <c r="G491" s="53">
        <f t="shared" si="93"/>
        <v>0</v>
      </c>
      <c r="H491" s="962"/>
      <c r="I491" s="53">
        <f t="shared" si="94"/>
        <v>0</v>
      </c>
      <c r="J491" s="962"/>
      <c r="K491" s="53">
        <f t="shared" si="95"/>
        <v>0.03</v>
      </c>
      <c r="L491" s="962"/>
      <c r="M491" s="53">
        <f t="shared" si="96"/>
        <v>0.03</v>
      </c>
      <c r="N491" s="962"/>
      <c r="O491" s="53">
        <f t="shared" si="97"/>
        <v>7.0000000000000007E-2</v>
      </c>
      <c r="P491" s="962"/>
      <c r="Q491" s="53">
        <f t="shared" si="98"/>
        <v>1</v>
      </c>
      <c r="R491" s="493">
        <f t="shared" si="99"/>
        <v>0</v>
      </c>
      <c r="S491" s="800">
        <f t="shared" si="90"/>
        <v>0</v>
      </c>
    </row>
    <row r="492" spans="1:19">
      <c r="A492" s="964"/>
      <c r="B492" s="137"/>
      <c r="C492" s="53">
        <f t="shared" si="91"/>
        <v>1</v>
      </c>
      <c r="D492" s="962"/>
      <c r="E492" s="53">
        <f t="shared" si="92"/>
        <v>0.04</v>
      </c>
      <c r="F492" s="962"/>
      <c r="G492" s="53">
        <f t="shared" si="93"/>
        <v>0</v>
      </c>
      <c r="H492" s="962"/>
      <c r="I492" s="53">
        <f t="shared" si="94"/>
        <v>0</v>
      </c>
      <c r="J492" s="962"/>
      <c r="K492" s="53">
        <f t="shared" si="95"/>
        <v>0.03</v>
      </c>
      <c r="L492" s="962"/>
      <c r="M492" s="53">
        <f t="shared" si="96"/>
        <v>0.03</v>
      </c>
      <c r="N492" s="962"/>
      <c r="O492" s="53">
        <f t="shared" si="97"/>
        <v>7.0000000000000007E-2</v>
      </c>
      <c r="P492" s="962"/>
      <c r="Q492" s="53">
        <f t="shared" si="98"/>
        <v>1</v>
      </c>
      <c r="R492" s="493">
        <f t="shared" si="99"/>
        <v>0</v>
      </c>
      <c r="S492" s="800">
        <f t="shared" si="90"/>
        <v>0</v>
      </c>
    </row>
    <row r="493" spans="1:19">
      <c r="A493" s="964"/>
      <c r="B493" s="137"/>
      <c r="C493" s="53">
        <f t="shared" si="91"/>
        <v>1</v>
      </c>
      <c r="D493" s="962"/>
      <c r="E493" s="53">
        <f t="shared" si="92"/>
        <v>0.04</v>
      </c>
      <c r="F493" s="962"/>
      <c r="G493" s="53">
        <f t="shared" si="93"/>
        <v>0</v>
      </c>
      <c r="H493" s="962"/>
      <c r="I493" s="53">
        <f t="shared" si="94"/>
        <v>0</v>
      </c>
      <c r="J493" s="962"/>
      <c r="K493" s="53">
        <f t="shared" si="95"/>
        <v>0.03</v>
      </c>
      <c r="L493" s="962"/>
      <c r="M493" s="53">
        <f t="shared" si="96"/>
        <v>0.03</v>
      </c>
      <c r="N493" s="962"/>
      <c r="O493" s="53">
        <f t="shared" si="97"/>
        <v>7.0000000000000007E-2</v>
      </c>
      <c r="P493" s="962"/>
      <c r="Q493" s="53">
        <f t="shared" si="98"/>
        <v>1</v>
      </c>
      <c r="R493" s="493">
        <f t="shared" si="99"/>
        <v>0</v>
      </c>
      <c r="S493" s="800">
        <f t="shared" si="90"/>
        <v>0</v>
      </c>
    </row>
    <row r="494" spans="1:19">
      <c r="A494" s="964"/>
      <c r="B494" s="137"/>
      <c r="C494" s="53">
        <f t="shared" si="91"/>
        <v>1</v>
      </c>
      <c r="D494" s="962"/>
      <c r="E494" s="53">
        <f t="shared" si="92"/>
        <v>0.04</v>
      </c>
      <c r="F494" s="962"/>
      <c r="G494" s="53">
        <f t="shared" si="93"/>
        <v>0</v>
      </c>
      <c r="H494" s="962"/>
      <c r="I494" s="53">
        <f t="shared" si="94"/>
        <v>0</v>
      </c>
      <c r="J494" s="962"/>
      <c r="K494" s="53">
        <f t="shared" si="95"/>
        <v>0.03</v>
      </c>
      <c r="L494" s="962"/>
      <c r="M494" s="53">
        <f t="shared" si="96"/>
        <v>0.03</v>
      </c>
      <c r="N494" s="962"/>
      <c r="O494" s="53">
        <f t="shared" si="97"/>
        <v>7.0000000000000007E-2</v>
      </c>
      <c r="P494" s="962"/>
      <c r="Q494" s="53">
        <f t="shared" si="98"/>
        <v>1</v>
      </c>
      <c r="R494" s="493">
        <f t="shared" si="99"/>
        <v>0</v>
      </c>
      <c r="S494" s="800">
        <f t="shared" si="90"/>
        <v>0</v>
      </c>
    </row>
    <row r="495" spans="1:19">
      <c r="A495" s="964"/>
      <c r="B495" s="137"/>
      <c r="C495" s="53">
        <f t="shared" si="91"/>
        <v>1</v>
      </c>
      <c r="D495" s="962"/>
      <c r="E495" s="53">
        <f t="shared" si="92"/>
        <v>0.04</v>
      </c>
      <c r="F495" s="962"/>
      <c r="G495" s="53">
        <f t="shared" si="93"/>
        <v>0</v>
      </c>
      <c r="H495" s="962"/>
      <c r="I495" s="53">
        <f t="shared" si="94"/>
        <v>0</v>
      </c>
      <c r="J495" s="962"/>
      <c r="K495" s="53">
        <f t="shared" si="95"/>
        <v>0.03</v>
      </c>
      <c r="L495" s="962"/>
      <c r="M495" s="53">
        <f t="shared" si="96"/>
        <v>0.03</v>
      </c>
      <c r="N495" s="962"/>
      <c r="O495" s="53">
        <f t="shared" si="97"/>
        <v>7.0000000000000007E-2</v>
      </c>
      <c r="P495" s="962"/>
      <c r="Q495" s="53">
        <f t="shared" si="98"/>
        <v>1</v>
      </c>
      <c r="R495" s="493">
        <f t="shared" si="99"/>
        <v>0</v>
      </c>
      <c r="S495" s="800">
        <f t="shared" si="90"/>
        <v>0</v>
      </c>
    </row>
    <row r="496" spans="1:19">
      <c r="A496" s="964"/>
      <c r="B496" s="137"/>
      <c r="C496" s="53">
        <f t="shared" si="91"/>
        <v>1</v>
      </c>
      <c r="D496" s="962"/>
      <c r="E496" s="53">
        <f t="shared" si="92"/>
        <v>0.04</v>
      </c>
      <c r="F496" s="962"/>
      <c r="G496" s="53">
        <f t="shared" si="93"/>
        <v>0</v>
      </c>
      <c r="H496" s="962"/>
      <c r="I496" s="53">
        <f t="shared" si="94"/>
        <v>0</v>
      </c>
      <c r="J496" s="962"/>
      <c r="K496" s="53">
        <f t="shared" si="95"/>
        <v>0.03</v>
      </c>
      <c r="L496" s="962"/>
      <c r="M496" s="53">
        <f t="shared" si="96"/>
        <v>0.03</v>
      </c>
      <c r="N496" s="962"/>
      <c r="O496" s="53">
        <f t="shared" si="97"/>
        <v>7.0000000000000007E-2</v>
      </c>
      <c r="P496" s="962"/>
      <c r="Q496" s="53">
        <f t="shared" si="98"/>
        <v>1</v>
      </c>
      <c r="R496" s="493">
        <f t="shared" si="99"/>
        <v>0</v>
      </c>
      <c r="S496" s="800">
        <f t="shared" si="90"/>
        <v>0</v>
      </c>
    </row>
    <row r="497" spans="1:19">
      <c r="A497" s="964"/>
      <c r="B497" s="137"/>
      <c r="C497" s="53">
        <f t="shared" si="91"/>
        <v>1</v>
      </c>
      <c r="D497" s="962"/>
      <c r="E497" s="53">
        <f t="shared" si="92"/>
        <v>0.04</v>
      </c>
      <c r="F497" s="962"/>
      <c r="G497" s="53">
        <f t="shared" si="93"/>
        <v>0</v>
      </c>
      <c r="H497" s="962"/>
      <c r="I497" s="53">
        <f t="shared" si="94"/>
        <v>0</v>
      </c>
      <c r="J497" s="962"/>
      <c r="K497" s="53">
        <f t="shared" si="95"/>
        <v>0.03</v>
      </c>
      <c r="L497" s="962"/>
      <c r="M497" s="53">
        <f t="shared" si="96"/>
        <v>0.03</v>
      </c>
      <c r="N497" s="962"/>
      <c r="O497" s="53">
        <f t="shared" si="97"/>
        <v>7.0000000000000007E-2</v>
      </c>
      <c r="P497" s="962"/>
      <c r="Q497" s="53">
        <f t="shared" si="98"/>
        <v>1</v>
      </c>
      <c r="R497" s="493">
        <f t="shared" si="99"/>
        <v>0</v>
      </c>
      <c r="S497" s="800">
        <f t="shared" si="90"/>
        <v>0</v>
      </c>
    </row>
    <row r="498" spans="1:19">
      <c r="A498" s="964"/>
      <c r="B498" s="137"/>
      <c r="C498" s="53">
        <f t="shared" si="91"/>
        <v>1</v>
      </c>
      <c r="D498" s="962"/>
      <c r="E498" s="53">
        <f t="shared" si="92"/>
        <v>0.04</v>
      </c>
      <c r="F498" s="962"/>
      <c r="G498" s="53">
        <f t="shared" si="93"/>
        <v>0</v>
      </c>
      <c r="H498" s="962"/>
      <c r="I498" s="53">
        <f t="shared" si="94"/>
        <v>0</v>
      </c>
      <c r="J498" s="962"/>
      <c r="K498" s="53">
        <f t="shared" si="95"/>
        <v>0.03</v>
      </c>
      <c r="L498" s="962"/>
      <c r="M498" s="53">
        <f t="shared" si="96"/>
        <v>0.03</v>
      </c>
      <c r="N498" s="962"/>
      <c r="O498" s="53">
        <f t="shared" si="97"/>
        <v>7.0000000000000007E-2</v>
      </c>
      <c r="P498" s="962"/>
      <c r="Q498" s="53">
        <f t="shared" si="98"/>
        <v>1</v>
      </c>
      <c r="R498" s="493">
        <f t="shared" si="99"/>
        <v>0</v>
      </c>
      <c r="S498" s="800">
        <f t="shared" ref="S498:S524" si="100">ROUND(R498*B498/10000,0)</f>
        <v>0</v>
      </c>
    </row>
    <row r="499" spans="1:19">
      <c r="A499" s="964"/>
      <c r="B499" s="137"/>
      <c r="C499" s="53">
        <f t="shared" si="91"/>
        <v>1</v>
      </c>
      <c r="D499" s="962"/>
      <c r="E499" s="53">
        <f t="shared" si="92"/>
        <v>0.04</v>
      </c>
      <c r="F499" s="962"/>
      <c r="G499" s="53">
        <f t="shared" si="93"/>
        <v>0</v>
      </c>
      <c r="H499" s="962"/>
      <c r="I499" s="53">
        <f t="shared" si="94"/>
        <v>0</v>
      </c>
      <c r="J499" s="962"/>
      <c r="K499" s="53">
        <f t="shared" si="95"/>
        <v>0.03</v>
      </c>
      <c r="L499" s="962"/>
      <c r="M499" s="53">
        <f t="shared" si="96"/>
        <v>0.03</v>
      </c>
      <c r="N499" s="962"/>
      <c r="O499" s="53">
        <f t="shared" si="97"/>
        <v>7.0000000000000007E-2</v>
      </c>
      <c r="P499" s="962"/>
      <c r="Q499" s="53">
        <f t="shared" si="98"/>
        <v>1</v>
      </c>
      <c r="R499" s="493">
        <f t="shared" si="99"/>
        <v>0</v>
      </c>
      <c r="S499" s="800">
        <f t="shared" si="100"/>
        <v>0</v>
      </c>
    </row>
    <row r="500" spans="1:19">
      <c r="A500" s="964"/>
      <c r="B500" s="137"/>
      <c r="C500" s="53">
        <f t="shared" si="91"/>
        <v>1</v>
      </c>
      <c r="D500" s="962"/>
      <c r="E500" s="53">
        <f t="shared" si="92"/>
        <v>0.04</v>
      </c>
      <c r="F500" s="962"/>
      <c r="G500" s="53">
        <f t="shared" si="93"/>
        <v>0</v>
      </c>
      <c r="H500" s="962"/>
      <c r="I500" s="53">
        <f t="shared" si="94"/>
        <v>0</v>
      </c>
      <c r="J500" s="962"/>
      <c r="K500" s="53">
        <f t="shared" si="95"/>
        <v>0.03</v>
      </c>
      <c r="L500" s="962"/>
      <c r="M500" s="53">
        <f t="shared" si="96"/>
        <v>0.03</v>
      </c>
      <c r="N500" s="962"/>
      <c r="O500" s="53">
        <f t="shared" si="97"/>
        <v>7.0000000000000007E-2</v>
      </c>
      <c r="P500" s="962"/>
      <c r="Q500" s="53">
        <f t="shared" si="98"/>
        <v>1</v>
      </c>
      <c r="R500" s="493">
        <f t="shared" si="99"/>
        <v>0</v>
      </c>
      <c r="S500" s="800">
        <f t="shared" si="100"/>
        <v>0</v>
      </c>
    </row>
    <row r="501" spans="1:19">
      <c r="A501" s="964"/>
      <c r="B501" s="137"/>
      <c r="C501" s="53">
        <f t="shared" si="91"/>
        <v>1</v>
      </c>
      <c r="D501" s="962"/>
      <c r="E501" s="53">
        <f t="shared" si="92"/>
        <v>0.04</v>
      </c>
      <c r="F501" s="962"/>
      <c r="G501" s="53">
        <f t="shared" si="93"/>
        <v>0</v>
      </c>
      <c r="H501" s="962"/>
      <c r="I501" s="53">
        <f t="shared" si="94"/>
        <v>0</v>
      </c>
      <c r="J501" s="962"/>
      <c r="K501" s="53">
        <f t="shared" si="95"/>
        <v>0.03</v>
      </c>
      <c r="L501" s="962"/>
      <c r="M501" s="53">
        <f t="shared" si="96"/>
        <v>0.03</v>
      </c>
      <c r="N501" s="962"/>
      <c r="O501" s="53">
        <f t="shared" si="97"/>
        <v>7.0000000000000007E-2</v>
      </c>
      <c r="P501" s="962"/>
      <c r="Q501" s="53">
        <f t="shared" si="98"/>
        <v>1</v>
      </c>
      <c r="R501" s="493">
        <f t="shared" si="99"/>
        <v>0</v>
      </c>
      <c r="S501" s="800">
        <f t="shared" si="100"/>
        <v>0</v>
      </c>
    </row>
    <row r="502" spans="1:19">
      <c r="A502" s="964"/>
      <c r="B502" s="137"/>
      <c r="C502" s="53">
        <f t="shared" si="91"/>
        <v>1</v>
      </c>
      <c r="D502" s="962"/>
      <c r="E502" s="53">
        <f t="shared" si="92"/>
        <v>0.04</v>
      </c>
      <c r="F502" s="962"/>
      <c r="G502" s="53">
        <f t="shared" si="93"/>
        <v>0</v>
      </c>
      <c r="H502" s="962"/>
      <c r="I502" s="53">
        <f t="shared" si="94"/>
        <v>0</v>
      </c>
      <c r="J502" s="962"/>
      <c r="K502" s="53">
        <f t="shared" si="95"/>
        <v>0.03</v>
      </c>
      <c r="L502" s="962"/>
      <c r="M502" s="53">
        <f t="shared" si="96"/>
        <v>0.03</v>
      </c>
      <c r="N502" s="962"/>
      <c r="O502" s="53">
        <f t="shared" si="97"/>
        <v>7.0000000000000007E-2</v>
      </c>
      <c r="P502" s="962"/>
      <c r="Q502" s="53">
        <f t="shared" si="98"/>
        <v>1</v>
      </c>
      <c r="R502" s="493">
        <f t="shared" si="99"/>
        <v>0</v>
      </c>
      <c r="S502" s="800">
        <f t="shared" si="100"/>
        <v>0</v>
      </c>
    </row>
    <row r="503" spans="1:19">
      <c r="A503" s="964"/>
      <c r="B503" s="137"/>
      <c r="C503" s="53">
        <f t="shared" si="91"/>
        <v>1</v>
      </c>
      <c r="D503" s="962"/>
      <c r="E503" s="53">
        <f t="shared" si="92"/>
        <v>0.04</v>
      </c>
      <c r="F503" s="962"/>
      <c r="G503" s="53">
        <f t="shared" si="93"/>
        <v>0</v>
      </c>
      <c r="H503" s="962"/>
      <c r="I503" s="53">
        <f t="shared" si="94"/>
        <v>0</v>
      </c>
      <c r="J503" s="962"/>
      <c r="K503" s="53">
        <f t="shared" si="95"/>
        <v>0.03</v>
      </c>
      <c r="L503" s="962"/>
      <c r="M503" s="53">
        <f t="shared" si="96"/>
        <v>0.03</v>
      </c>
      <c r="N503" s="962"/>
      <c r="O503" s="53">
        <f t="shared" si="97"/>
        <v>7.0000000000000007E-2</v>
      </c>
      <c r="P503" s="962"/>
      <c r="Q503" s="53">
        <f t="shared" si="98"/>
        <v>1</v>
      </c>
      <c r="R503" s="493">
        <f t="shared" si="99"/>
        <v>0</v>
      </c>
      <c r="S503" s="800">
        <f t="shared" si="100"/>
        <v>0</v>
      </c>
    </row>
    <row r="504" spans="1:19">
      <c r="A504" s="964"/>
      <c r="B504" s="137"/>
      <c r="C504" s="53">
        <f t="shared" si="91"/>
        <v>1</v>
      </c>
      <c r="D504" s="962"/>
      <c r="E504" s="53">
        <f t="shared" si="92"/>
        <v>0.04</v>
      </c>
      <c r="F504" s="962"/>
      <c r="G504" s="53">
        <f t="shared" si="93"/>
        <v>0</v>
      </c>
      <c r="H504" s="962"/>
      <c r="I504" s="53">
        <f t="shared" si="94"/>
        <v>0</v>
      </c>
      <c r="J504" s="962"/>
      <c r="K504" s="53">
        <f t="shared" si="95"/>
        <v>0.03</v>
      </c>
      <c r="L504" s="962"/>
      <c r="M504" s="53">
        <f t="shared" si="96"/>
        <v>0.03</v>
      </c>
      <c r="N504" s="962"/>
      <c r="O504" s="53">
        <f t="shared" si="97"/>
        <v>7.0000000000000007E-2</v>
      </c>
      <c r="P504" s="962"/>
      <c r="Q504" s="53">
        <f t="shared" si="98"/>
        <v>1</v>
      </c>
      <c r="R504" s="493">
        <f t="shared" si="99"/>
        <v>0</v>
      </c>
      <c r="S504" s="800">
        <f t="shared" si="100"/>
        <v>0</v>
      </c>
    </row>
    <row r="505" spans="1:19">
      <c r="A505" s="964"/>
      <c r="B505" s="137"/>
      <c r="C505" s="53">
        <f t="shared" si="91"/>
        <v>1</v>
      </c>
      <c r="D505" s="962"/>
      <c r="E505" s="53">
        <f t="shared" si="92"/>
        <v>0.04</v>
      </c>
      <c r="F505" s="962"/>
      <c r="G505" s="53">
        <f t="shared" si="93"/>
        <v>0</v>
      </c>
      <c r="H505" s="962"/>
      <c r="I505" s="53">
        <f t="shared" si="94"/>
        <v>0</v>
      </c>
      <c r="J505" s="962"/>
      <c r="K505" s="53">
        <f t="shared" si="95"/>
        <v>0.03</v>
      </c>
      <c r="L505" s="962"/>
      <c r="M505" s="53">
        <f t="shared" si="96"/>
        <v>0.03</v>
      </c>
      <c r="N505" s="962"/>
      <c r="O505" s="53">
        <f t="shared" si="97"/>
        <v>7.0000000000000007E-2</v>
      </c>
      <c r="P505" s="962"/>
      <c r="Q505" s="53">
        <f t="shared" si="98"/>
        <v>1</v>
      </c>
      <c r="R505" s="493">
        <f t="shared" si="99"/>
        <v>0</v>
      </c>
      <c r="S505" s="800">
        <f t="shared" si="100"/>
        <v>0</v>
      </c>
    </row>
    <row r="506" spans="1:19">
      <c r="A506" s="964"/>
      <c r="B506" s="137"/>
      <c r="C506" s="53">
        <f t="shared" si="91"/>
        <v>1</v>
      </c>
      <c r="D506" s="962"/>
      <c r="E506" s="53">
        <f t="shared" si="92"/>
        <v>0.04</v>
      </c>
      <c r="F506" s="962"/>
      <c r="G506" s="53">
        <f t="shared" si="93"/>
        <v>0</v>
      </c>
      <c r="H506" s="962"/>
      <c r="I506" s="53">
        <f t="shared" si="94"/>
        <v>0</v>
      </c>
      <c r="J506" s="962"/>
      <c r="K506" s="53">
        <f t="shared" si="95"/>
        <v>0.03</v>
      </c>
      <c r="L506" s="962"/>
      <c r="M506" s="53">
        <f t="shared" si="96"/>
        <v>0.03</v>
      </c>
      <c r="N506" s="962"/>
      <c r="O506" s="53">
        <f t="shared" si="97"/>
        <v>7.0000000000000007E-2</v>
      </c>
      <c r="P506" s="962"/>
      <c r="Q506" s="53">
        <f t="shared" si="98"/>
        <v>1</v>
      </c>
      <c r="R506" s="493">
        <f t="shared" si="99"/>
        <v>0</v>
      </c>
      <c r="S506" s="800">
        <f t="shared" si="100"/>
        <v>0</v>
      </c>
    </row>
    <row r="507" spans="1:19">
      <c r="A507" s="964"/>
      <c r="B507" s="137"/>
      <c r="C507" s="53">
        <f t="shared" si="91"/>
        <v>1</v>
      </c>
      <c r="D507" s="962"/>
      <c r="E507" s="53">
        <f t="shared" si="92"/>
        <v>0.04</v>
      </c>
      <c r="F507" s="962"/>
      <c r="G507" s="53">
        <f t="shared" si="93"/>
        <v>0</v>
      </c>
      <c r="H507" s="962"/>
      <c r="I507" s="53">
        <f t="shared" si="94"/>
        <v>0</v>
      </c>
      <c r="J507" s="962"/>
      <c r="K507" s="53">
        <f t="shared" si="95"/>
        <v>0.03</v>
      </c>
      <c r="L507" s="962"/>
      <c r="M507" s="53">
        <f t="shared" si="96"/>
        <v>0.03</v>
      </c>
      <c r="N507" s="962"/>
      <c r="O507" s="53">
        <f t="shared" si="97"/>
        <v>7.0000000000000007E-2</v>
      </c>
      <c r="P507" s="962"/>
      <c r="Q507" s="53">
        <f t="shared" si="98"/>
        <v>1</v>
      </c>
      <c r="R507" s="493">
        <f t="shared" si="99"/>
        <v>0</v>
      </c>
      <c r="S507" s="800">
        <f t="shared" si="100"/>
        <v>0</v>
      </c>
    </row>
    <row r="508" spans="1:19">
      <c r="A508" s="964"/>
      <c r="B508" s="137"/>
      <c r="C508" s="53">
        <f t="shared" si="91"/>
        <v>1</v>
      </c>
      <c r="D508" s="962"/>
      <c r="E508" s="53">
        <f t="shared" si="92"/>
        <v>0.04</v>
      </c>
      <c r="F508" s="962"/>
      <c r="G508" s="53">
        <f t="shared" si="93"/>
        <v>0</v>
      </c>
      <c r="H508" s="962"/>
      <c r="I508" s="53">
        <f t="shared" si="94"/>
        <v>0</v>
      </c>
      <c r="J508" s="962"/>
      <c r="K508" s="53">
        <f t="shared" si="95"/>
        <v>0.03</v>
      </c>
      <c r="L508" s="962"/>
      <c r="M508" s="53">
        <f t="shared" si="96"/>
        <v>0.03</v>
      </c>
      <c r="N508" s="962"/>
      <c r="O508" s="53">
        <f t="shared" si="97"/>
        <v>7.0000000000000007E-2</v>
      </c>
      <c r="P508" s="962"/>
      <c r="Q508" s="53">
        <f t="shared" si="98"/>
        <v>1</v>
      </c>
      <c r="R508" s="493">
        <f t="shared" si="99"/>
        <v>0</v>
      </c>
      <c r="S508" s="800">
        <f t="shared" si="100"/>
        <v>0</v>
      </c>
    </row>
    <row r="509" spans="1:19">
      <c r="A509" s="964"/>
      <c r="B509" s="137"/>
      <c r="C509" s="53">
        <f t="shared" si="91"/>
        <v>1</v>
      </c>
      <c r="D509" s="962"/>
      <c r="E509" s="53">
        <f t="shared" si="92"/>
        <v>0.04</v>
      </c>
      <c r="F509" s="962"/>
      <c r="G509" s="53">
        <f t="shared" si="93"/>
        <v>0</v>
      </c>
      <c r="H509" s="962"/>
      <c r="I509" s="53">
        <f t="shared" si="94"/>
        <v>0</v>
      </c>
      <c r="J509" s="962"/>
      <c r="K509" s="53">
        <f t="shared" si="95"/>
        <v>0.03</v>
      </c>
      <c r="L509" s="962"/>
      <c r="M509" s="53">
        <f t="shared" si="96"/>
        <v>0.03</v>
      </c>
      <c r="N509" s="962"/>
      <c r="O509" s="53">
        <f t="shared" si="97"/>
        <v>7.0000000000000007E-2</v>
      </c>
      <c r="P509" s="962"/>
      <c r="Q509" s="53">
        <f t="shared" si="98"/>
        <v>1</v>
      </c>
      <c r="R509" s="493">
        <f t="shared" si="99"/>
        <v>0</v>
      </c>
      <c r="S509" s="800">
        <f t="shared" si="100"/>
        <v>0</v>
      </c>
    </row>
    <row r="510" spans="1:19">
      <c r="A510" s="964"/>
      <c r="B510" s="137"/>
      <c r="C510" s="53">
        <f t="shared" si="91"/>
        <v>1</v>
      </c>
      <c r="D510" s="962"/>
      <c r="E510" s="53">
        <f t="shared" si="92"/>
        <v>0.04</v>
      </c>
      <c r="F510" s="962"/>
      <c r="G510" s="53">
        <f t="shared" si="93"/>
        <v>0</v>
      </c>
      <c r="H510" s="962"/>
      <c r="I510" s="53">
        <f t="shared" si="94"/>
        <v>0</v>
      </c>
      <c r="J510" s="962"/>
      <c r="K510" s="53">
        <f t="shared" si="95"/>
        <v>0.03</v>
      </c>
      <c r="L510" s="962"/>
      <c r="M510" s="53">
        <f t="shared" si="96"/>
        <v>0.03</v>
      </c>
      <c r="N510" s="962"/>
      <c r="O510" s="53">
        <f t="shared" si="97"/>
        <v>7.0000000000000007E-2</v>
      </c>
      <c r="P510" s="962"/>
      <c r="Q510" s="53">
        <f t="shared" si="98"/>
        <v>1</v>
      </c>
      <c r="R510" s="493">
        <f t="shared" si="99"/>
        <v>0</v>
      </c>
      <c r="S510" s="800">
        <f t="shared" si="100"/>
        <v>0</v>
      </c>
    </row>
    <row r="511" spans="1:19">
      <c r="A511" s="964"/>
      <c r="B511" s="137"/>
      <c r="C511" s="53">
        <f t="shared" si="91"/>
        <v>1</v>
      </c>
      <c r="D511" s="962"/>
      <c r="E511" s="53">
        <f t="shared" si="92"/>
        <v>0.04</v>
      </c>
      <c r="F511" s="962"/>
      <c r="G511" s="53">
        <f t="shared" si="93"/>
        <v>0</v>
      </c>
      <c r="H511" s="962"/>
      <c r="I511" s="53">
        <f t="shared" si="94"/>
        <v>0</v>
      </c>
      <c r="J511" s="962"/>
      <c r="K511" s="53">
        <f t="shared" si="95"/>
        <v>0.03</v>
      </c>
      <c r="L511" s="962"/>
      <c r="M511" s="53">
        <f t="shared" si="96"/>
        <v>0.03</v>
      </c>
      <c r="N511" s="962"/>
      <c r="O511" s="53">
        <f t="shared" si="97"/>
        <v>7.0000000000000007E-2</v>
      </c>
      <c r="P511" s="962"/>
      <c r="Q511" s="53">
        <f t="shared" si="98"/>
        <v>1</v>
      </c>
      <c r="R511" s="493">
        <f t="shared" si="99"/>
        <v>0</v>
      </c>
      <c r="S511" s="800">
        <f t="shared" si="100"/>
        <v>0</v>
      </c>
    </row>
    <row r="512" spans="1:19">
      <c r="A512" s="964"/>
      <c r="B512" s="137"/>
      <c r="C512" s="53">
        <f t="shared" si="91"/>
        <v>1</v>
      </c>
      <c r="D512" s="962"/>
      <c r="E512" s="53">
        <f t="shared" si="92"/>
        <v>0.04</v>
      </c>
      <c r="F512" s="962"/>
      <c r="G512" s="53">
        <f t="shared" si="93"/>
        <v>0</v>
      </c>
      <c r="H512" s="962"/>
      <c r="I512" s="53">
        <f t="shared" si="94"/>
        <v>0</v>
      </c>
      <c r="J512" s="962"/>
      <c r="K512" s="53">
        <f t="shared" si="95"/>
        <v>0.03</v>
      </c>
      <c r="L512" s="962"/>
      <c r="M512" s="53">
        <f t="shared" si="96"/>
        <v>0.03</v>
      </c>
      <c r="N512" s="962"/>
      <c r="O512" s="53">
        <f t="shared" si="97"/>
        <v>7.0000000000000007E-2</v>
      </c>
      <c r="P512" s="962"/>
      <c r="Q512" s="53">
        <f t="shared" si="98"/>
        <v>1</v>
      </c>
      <c r="R512" s="493">
        <f t="shared" si="99"/>
        <v>0</v>
      </c>
      <c r="S512" s="800">
        <f t="shared" si="100"/>
        <v>0</v>
      </c>
    </row>
    <row r="513" spans="1:19">
      <c r="A513" s="964"/>
      <c r="B513" s="137"/>
      <c r="C513" s="53">
        <f t="shared" si="91"/>
        <v>1</v>
      </c>
      <c r="D513" s="962"/>
      <c r="E513" s="53">
        <f t="shared" si="92"/>
        <v>0.04</v>
      </c>
      <c r="F513" s="962"/>
      <c r="G513" s="53">
        <f t="shared" si="93"/>
        <v>0</v>
      </c>
      <c r="H513" s="962"/>
      <c r="I513" s="53">
        <f t="shared" si="94"/>
        <v>0</v>
      </c>
      <c r="J513" s="962"/>
      <c r="K513" s="53">
        <f t="shared" si="95"/>
        <v>0.03</v>
      </c>
      <c r="L513" s="962"/>
      <c r="M513" s="53">
        <f t="shared" si="96"/>
        <v>0.03</v>
      </c>
      <c r="N513" s="962"/>
      <c r="O513" s="53">
        <f t="shared" si="97"/>
        <v>7.0000000000000007E-2</v>
      </c>
      <c r="P513" s="962"/>
      <c r="Q513" s="53">
        <f t="shared" si="98"/>
        <v>1</v>
      </c>
      <c r="R513" s="493">
        <f t="shared" si="99"/>
        <v>0</v>
      </c>
      <c r="S513" s="800">
        <f t="shared" si="100"/>
        <v>0</v>
      </c>
    </row>
    <row r="514" spans="1:19">
      <c r="A514" s="964"/>
      <c r="B514" s="137"/>
      <c r="C514" s="53">
        <f t="shared" si="91"/>
        <v>1</v>
      </c>
      <c r="D514" s="962"/>
      <c r="E514" s="53">
        <f t="shared" si="92"/>
        <v>0.04</v>
      </c>
      <c r="F514" s="962"/>
      <c r="G514" s="53">
        <f t="shared" si="93"/>
        <v>0</v>
      </c>
      <c r="H514" s="962"/>
      <c r="I514" s="53">
        <f t="shared" si="94"/>
        <v>0</v>
      </c>
      <c r="J514" s="962"/>
      <c r="K514" s="53">
        <f t="shared" si="95"/>
        <v>0.03</v>
      </c>
      <c r="L514" s="962"/>
      <c r="M514" s="53">
        <f t="shared" si="96"/>
        <v>0.03</v>
      </c>
      <c r="N514" s="962"/>
      <c r="O514" s="53">
        <f t="shared" si="97"/>
        <v>7.0000000000000007E-2</v>
      </c>
      <c r="P514" s="962"/>
      <c r="Q514" s="53">
        <f t="shared" si="98"/>
        <v>1</v>
      </c>
      <c r="R514" s="493">
        <f t="shared" si="99"/>
        <v>0</v>
      </c>
      <c r="S514" s="800">
        <f t="shared" si="100"/>
        <v>0</v>
      </c>
    </row>
    <row r="515" spans="1:19">
      <c r="A515" s="964"/>
      <c r="B515" s="137"/>
      <c r="C515" s="53">
        <f t="shared" si="91"/>
        <v>1</v>
      </c>
      <c r="D515" s="962"/>
      <c r="E515" s="53">
        <f t="shared" si="92"/>
        <v>0.04</v>
      </c>
      <c r="F515" s="962"/>
      <c r="G515" s="53">
        <f t="shared" si="93"/>
        <v>0</v>
      </c>
      <c r="H515" s="962"/>
      <c r="I515" s="53">
        <f t="shared" si="94"/>
        <v>0</v>
      </c>
      <c r="J515" s="962"/>
      <c r="K515" s="53">
        <f t="shared" si="95"/>
        <v>0.03</v>
      </c>
      <c r="L515" s="962"/>
      <c r="M515" s="53">
        <f t="shared" si="96"/>
        <v>0.03</v>
      </c>
      <c r="N515" s="962"/>
      <c r="O515" s="53">
        <f t="shared" si="97"/>
        <v>7.0000000000000007E-2</v>
      </c>
      <c r="P515" s="962"/>
      <c r="Q515" s="53">
        <f t="shared" si="98"/>
        <v>1</v>
      </c>
      <c r="R515" s="493">
        <f t="shared" si="99"/>
        <v>0</v>
      </c>
      <c r="S515" s="800">
        <f t="shared" si="100"/>
        <v>0</v>
      </c>
    </row>
    <row r="516" spans="1:19">
      <c r="A516" s="964"/>
      <c r="B516" s="137"/>
      <c r="C516" s="53">
        <f t="shared" si="91"/>
        <v>1</v>
      </c>
      <c r="D516" s="962"/>
      <c r="E516" s="53">
        <f t="shared" si="92"/>
        <v>0.04</v>
      </c>
      <c r="F516" s="962"/>
      <c r="G516" s="53">
        <f t="shared" si="93"/>
        <v>0</v>
      </c>
      <c r="H516" s="962"/>
      <c r="I516" s="53">
        <f t="shared" si="94"/>
        <v>0</v>
      </c>
      <c r="J516" s="962"/>
      <c r="K516" s="53">
        <f t="shared" si="95"/>
        <v>0.03</v>
      </c>
      <c r="L516" s="962"/>
      <c r="M516" s="53">
        <f t="shared" si="96"/>
        <v>0.03</v>
      </c>
      <c r="N516" s="962"/>
      <c r="O516" s="53">
        <f t="shared" si="97"/>
        <v>7.0000000000000007E-2</v>
      </c>
      <c r="P516" s="962"/>
      <c r="Q516" s="53">
        <f t="shared" si="98"/>
        <v>1</v>
      </c>
      <c r="R516" s="493">
        <f t="shared" si="99"/>
        <v>0</v>
      </c>
      <c r="S516" s="800">
        <f t="shared" si="100"/>
        <v>0</v>
      </c>
    </row>
    <row r="517" spans="1:19">
      <c r="A517" s="964"/>
      <c r="B517" s="137"/>
      <c r="C517" s="53">
        <f t="shared" si="91"/>
        <v>1</v>
      </c>
      <c r="D517" s="962"/>
      <c r="E517" s="53">
        <f t="shared" si="92"/>
        <v>0.04</v>
      </c>
      <c r="F517" s="962"/>
      <c r="G517" s="53">
        <f t="shared" si="93"/>
        <v>0</v>
      </c>
      <c r="H517" s="962"/>
      <c r="I517" s="53">
        <f t="shared" si="94"/>
        <v>0</v>
      </c>
      <c r="J517" s="962"/>
      <c r="K517" s="53">
        <f t="shared" si="95"/>
        <v>0.03</v>
      </c>
      <c r="L517" s="962"/>
      <c r="M517" s="53">
        <f t="shared" si="96"/>
        <v>0.03</v>
      </c>
      <c r="N517" s="962"/>
      <c r="O517" s="53">
        <f t="shared" si="97"/>
        <v>7.0000000000000007E-2</v>
      </c>
      <c r="P517" s="962"/>
      <c r="Q517" s="53">
        <f t="shared" si="98"/>
        <v>1</v>
      </c>
      <c r="R517" s="493">
        <f t="shared" si="99"/>
        <v>0</v>
      </c>
      <c r="S517" s="800">
        <f t="shared" si="100"/>
        <v>0</v>
      </c>
    </row>
    <row r="518" spans="1:19">
      <c r="A518" s="964"/>
      <c r="B518" s="137"/>
      <c r="C518" s="53">
        <f t="shared" si="91"/>
        <v>1</v>
      </c>
      <c r="D518" s="962"/>
      <c r="E518" s="53">
        <f t="shared" si="92"/>
        <v>0.04</v>
      </c>
      <c r="F518" s="962"/>
      <c r="G518" s="53">
        <f t="shared" si="93"/>
        <v>0</v>
      </c>
      <c r="H518" s="962"/>
      <c r="I518" s="53">
        <f t="shared" si="94"/>
        <v>0</v>
      </c>
      <c r="J518" s="962"/>
      <c r="K518" s="53">
        <f t="shared" si="95"/>
        <v>0.03</v>
      </c>
      <c r="L518" s="962"/>
      <c r="M518" s="53">
        <f t="shared" si="96"/>
        <v>0.03</v>
      </c>
      <c r="N518" s="962"/>
      <c r="O518" s="53">
        <f t="shared" si="97"/>
        <v>7.0000000000000007E-2</v>
      </c>
      <c r="P518" s="962"/>
      <c r="Q518" s="53">
        <f t="shared" si="98"/>
        <v>1</v>
      </c>
      <c r="R518" s="493">
        <f t="shared" si="99"/>
        <v>0</v>
      </c>
      <c r="S518" s="800">
        <f t="shared" si="100"/>
        <v>0</v>
      </c>
    </row>
    <row r="519" spans="1:19">
      <c r="A519" s="964"/>
      <c r="B519" s="137"/>
      <c r="C519" s="53">
        <f t="shared" si="91"/>
        <v>1</v>
      </c>
      <c r="D519" s="962"/>
      <c r="E519" s="53">
        <f t="shared" si="92"/>
        <v>0.04</v>
      </c>
      <c r="F519" s="962"/>
      <c r="G519" s="53">
        <f t="shared" si="93"/>
        <v>0</v>
      </c>
      <c r="H519" s="962"/>
      <c r="I519" s="53">
        <f t="shared" si="94"/>
        <v>0</v>
      </c>
      <c r="J519" s="962"/>
      <c r="K519" s="53">
        <f t="shared" si="95"/>
        <v>0.03</v>
      </c>
      <c r="L519" s="962"/>
      <c r="M519" s="53">
        <f t="shared" si="96"/>
        <v>0.03</v>
      </c>
      <c r="N519" s="962"/>
      <c r="O519" s="53">
        <f t="shared" si="97"/>
        <v>7.0000000000000007E-2</v>
      </c>
      <c r="P519" s="962"/>
      <c r="Q519" s="53">
        <f t="shared" si="98"/>
        <v>1</v>
      </c>
      <c r="R519" s="493">
        <f t="shared" si="99"/>
        <v>0</v>
      </c>
      <c r="S519" s="800">
        <f t="shared" si="100"/>
        <v>0</v>
      </c>
    </row>
    <row r="520" spans="1:19">
      <c r="A520" s="964"/>
      <c r="B520" s="137"/>
      <c r="C520" s="53">
        <f t="shared" si="91"/>
        <v>1</v>
      </c>
      <c r="D520" s="962"/>
      <c r="E520" s="53">
        <f t="shared" si="92"/>
        <v>0.04</v>
      </c>
      <c r="F520" s="962"/>
      <c r="G520" s="53">
        <f t="shared" si="93"/>
        <v>0</v>
      </c>
      <c r="H520" s="962"/>
      <c r="I520" s="53">
        <f t="shared" si="94"/>
        <v>0</v>
      </c>
      <c r="J520" s="962"/>
      <c r="K520" s="53">
        <f t="shared" si="95"/>
        <v>0.03</v>
      </c>
      <c r="L520" s="962"/>
      <c r="M520" s="53">
        <f t="shared" si="96"/>
        <v>0.03</v>
      </c>
      <c r="N520" s="962"/>
      <c r="O520" s="53">
        <f t="shared" si="97"/>
        <v>7.0000000000000007E-2</v>
      </c>
      <c r="P520" s="962"/>
      <c r="Q520" s="53">
        <f t="shared" si="98"/>
        <v>1</v>
      </c>
      <c r="R520" s="493">
        <f t="shared" si="99"/>
        <v>0</v>
      </c>
      <c r="S520" s="800">
        <f t="shared" si="100"/>
        <v>0</v>
      </c>
    </row>
    <row r="521" spans="1:19">
      <c r="A521" s="964"/>
      <c r="B521" s="137"/>
      <c r="C521" s="53">
        <f t="shared" si="91"/>
        <v>1</v>
      </c>
      <c r="D521" s="962"/>
      <c r="E521" s="53">
        <f t="shared" si="92"/>
        <v>0.04</v>
      </c>
      <c r="F521" s="962"/>
      <c r="G521" s="53">
        <f t="shared" si="93"/>
        <v>0</v>
      </c>
      <c r="H521" s="962"/>
      <c r="I521" s="53">
        <f t="shared" si="94"/>
        <v>0</v>
      </c>
      <c r="J521" s="962"/>
      <c r="K521" s="53">
        <f t="shared" si="95"/>
        <v>0.03</v>
      </c>
      <c r="L521" s="962"/>
      <c r="M521" s="53">
        <f t="shared" si="96"/>
        <v>0.03</v>
      </c>
      <c r="N521" s="962"/>
      <c r="O521" s="53">
        <f t="shared" si="97"/>
        <v>7.0000000000000007E-2</v>
      </c>
      <c r="P521" s="962"/>
      <c r="Q521" s="53">
        <f t="shared" si="98"/>
        <v>1</v>
      </c>
      <c r="R521" s="493">
        <f t="shared" si="99"/>
        <v>0</v>
      </c>
      <c r="S521" s="800">
        <f t="shared" si="100"/>
        <v>0</v>
      </c>
    </row>
    <row r="522" spans="1:19">
      <c r="A522" s="964"/>
      <c r="B522" s="137"/>
      <c r="C522" s="53">
        <f t="shared" si="91"/>
        <v>1</v>
      </c>
      <c r="D522" s="962"/>
      <c r="E522" s="53">
        <f t="shared" si="92"/>
        <v>0.04</v>
      </c>
      <c r="F522" s="962"/>
      <c r="G522" s="53">
        <f t="shared" si="93"/>
        <v>0</v>
      </c>
      <c r="H522" s="962"/>
      <c r="I522" s="53">
        <f t="shared" si="94"/>
        <v>0</v>
      </c>
      <c r="J522" s="962"/>
      <c r="K522" s="53">
        <f t="shared" si="95"/>
        <v>0.03</v>
      </c>
      <c r="L522" s="962"/>
      <c r="M522" s="53">
        <f t="shared" si="96"/>
        <v>0.03</v>
      </c>
      <c r="N522" s="962"/>
      <c r="O522" s="53">
        <f t="shared" si="97"/>
        <v>7.0000000000000007E-2</v>
      </c>
      <c r="P522" s="962"/>
      <c r="Q522" s="53">
        <f t="shared" si="98"/>
        <v>1</v>
      </c>
      <c r="R522" s="493">
        <f t="shared" si="99"/>
        <v>0</v>
      </c>
      <c r="S522" s="800">
        <f t="shared" si="100"/>
        <v>0</v>
      </c>
    </row>
    <row r="523" spans="1:19">
      <c r="A523" s="964"/>
      <c r="B523" s="137"/>
      <c r="C523" s="53">
        <f t="shared" si="91"/>
        <v>1</v>
      </c>
      <c r="D523" s="962"/>
      <c r="E523" s="53">
        <f t="shared" si="92"/>
        <v>0.04</v>
      </c>
      <c r="F523" s="962"/>
      <c r="G523" s="53">
        <f t="shared" si="93"/>
        <v>0</v>
      </c>
      <c r="H523" s="962"/>
      <c r="I523" s="53">
        <f t="shared" si="94"/>
        <v>0</v>
      </c>
      <c r="J523" s="962"/>
      <c r="K523" s="53">
        <f t="shared" si="95"/>
        <v>0.03</v>
      </c>
      <c r="L523" s="962"/>
      <c r="M523" s="53">
        <f t="shared" si="96"/>
        <v>0.03</v>
      </c>
      <c r="N523" s="962"/>
      <c r="O523" s="53">
        <f t="shared" si="97"/>
        <v>7.0000000000000007E-2</v>
      </c>
      <c r="P523" s="962"/>
      <c r="Q523" s="53">
        <f t="shared" si="98"/>
        <v>1</v>
      </c>
      <c r="R523" s="493">
        <f t="shared" si="99"/>
        <v>0</v>
      </c>
      <c r="S523" s="800">
        <f t="shared" si="100"/>
        <v>0</v>
      </c>
    </row>
    <row r="524" spans="1:19">
      <c r="A524" s="964"/>
      <c r="B524" s="137"/>
      <c r="C524" s="53">
        <f t="shared" si="91"/>
        <v>1</v>
      </c>
      <c r="D524" s="962"/>
      <c r="E524" s="53">
        <f t="shared" si="92"/>
        <v>0.04</v>
      </c>
      <c r="F524" s="962"/>
      <c r="G524" s="53">
        <f t="shared" si="93"/>
        <v>0</v>
      </c>
      <c r="H524" s="962"/>
      <c r="I524" s="53">
        <f t="shared" si="94"/>
        <v>0</v>
      </c>
      <c r="J524" s="962"/>
      <c r="K524" s="53">
        <f t="shared" si="95"/>
        <v>0.03</v>
      </c>
      <c r="L524" s="962"/>
      <c r="M524" s="53">
        <f t="shared" si="96"/>
        <v>0.03</v>
      </c>
      <c r="N524" s="962"/>
      <c r="O524" s="53">
        <f t="shared" si="97"/>
        <v>7.0000000000000007E-2</v>
      </c>
      <c r="P524" s="962"/>
      <c r="Q524" s="53">
        <f t="shared" si="98"/>
        <v>1</v>
      </c>
      <c r="R524" s="493">
        <f t="shared" si="99"/>
        <v>0</v>
      </c>
      <c r="S524" s="800">
        <f t="shared" si="100"/>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2794</v>
      </c>
      <c r="C1" s="3026">
        <f>项目基本情况!D3</f>
        <v>43031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2825</v>
      </c>
      <c r="C2" s="3027">
        <f>'数据-取费表'!B22</f>
        <v>2.5</v>
      </c>
      <c r="D2" s="3022" t="s">
        <v>2795</v>
      </c>
      <c r="E2" s="3025">
        <f ca="1">INDIRECT("I"&amp;$I$1)/100</f>
        <v>4.7500000000000001E-2</v>
      </c>
      <c r="G2" s="2962"/>
      <c r="H2" s="2962"/>
      <c r="I2" s="2962" t="s">
        <v>2796</v>
      </c>
      <c r="K2" s="2962"/>
      <c r="L2" s="2962"/>
      <c r="M2" s="2962"/>
      <c r="N2" s="2962" t="s">
        <v>2797</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2827</v>
      </c>
      <c r="C3" s="3024">
        <f>'数据-取费表'!B19</f>
        <v>0</v>
      </c>
      <c r="D3" s="3022" t="s">
        <v>2795</v>
      </c>
      <c r="E3" s="3025">
        <f ca="1">INDIRECT("J"&amp;$J$1)/100</f>
        <v>0</v>
      </c>
      <c r="G3" s="2964" t="s">
        <v>2798</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2826</v>
      </c>
      <c r="C4" s="3025">
        <f ca="1">N4/100</f>
        <v>1.4999999999999999E-2</v>
      </c>
      <c r="G4" s="2970" t="s">
        <v>2799</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2800</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2801</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2802</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2803</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2804</v>
      </c>
      <c r="C10" s="2989"/>
      <c r="D10" s="2989"/>
      <c r="E10" s="2989"/>
      <c r="F10" s="2989"/>
      <c r="G10" s="2989"/>
      <c r="H10" s="2989"/>
      <c r="I10" s="2963"/>
      <c r="J10" s="2963"/>
      <c r="K10" s="2989"/>
      <c r="L10" s="2990" t="s">
        <v>2805</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2806</v>
      </c>
      <c r="C11" s="2994" t="s">
        <v>2807</v>
      </c>
      <c r="D11" s="2995" t="s">
        <v>2808</v>
      </c>
      <c r="E11" s="2996"/>
      <c r="F11" s="2995" t="s">
        <v>2809</v>
      </c>
      <c r="G11" s="2997"/>
      <c r="H11" s="2996"/>
      <c r="I11" s="2995" t="s">
        <v>2810</v>
      </c>
      <c r="J11" s="2996"/>
      <c r="K11" s="2992"/>
      <c r="L11" s="2993" t="s">
        <v>2806</v>
      </c>
      <c r="M11" s="2994" t="s">
        <v>2807</v>
      </c>
      <c r="N11" s="2993" t="s">
        <v>2811</v>
      </c>
      <c r="O11" s="2995" t="s">
        <v>2812</v>
      </c>
      <c r="P11" s="2997"/>
      <c r="Q11" s="2997"/>
      <c r="R11" s="2997"/>
      <c r="S11" s="2997"/>
      <c r="T11" s="2996"/>
      <c r="U11" s="2995" t="s">
        <v>2813</v>
      </c>
      <c r="V11" s="2997"/>
      <c r="W11" s="2996"/>
      <c r="X11" s="2993" t="s">
        <v>2814</v>
      </c>
      <c r="Y11" s="2993" t="s">
        <v>2815</v>
      </c>
      <c r="Z11" s="2993" t="s">
        <v>2816</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2817</v>
      </c>
      <c r="E12" s="3002" t="s">
        <v>2818</v>
      </c>
      <c r="F12" s="3002" t="s">
        <v>2819</v>
      </c>
      <c r="G12" s="3002" t="s">
        <v>2820</v>
      </c>
      <c r="H12" s="3002" t="s">
        <v>2802</v>
      </c>
      <c r="I12" s="3003" t="s">
        <v>2821</v>
      </c>
      <c r="J12" s="3003" t="s">
        <v>2821</v>
      </c>
      <c r="K12" s="2999"/>
      <c r="L12" s="3000"/>
      <c r="M12" s="3001"/>
      <c r="N12" s="3000"/>
      <c r="O12" s="3003" t="s">
        <v>2822</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2823</v>
      </c>
      <c r="C13" s="3007">
        <v>42301</v>
      </c>
      <c r="D13" s="3008">
        <v>4.3499999999999996</v>
      </c>
      <c r="E13" s="3008">
        <v>4.3499999999999996</v>
      </c>
      <c r="F13" s="3008">
        <v>4.75</v>
      </c>
      <c r="G13" s="3008">
        <v>4.75</v>
      </c>
      <c r="H13" s="3008">
        <v>4.9000000000000004</v>
      </c>
      <c r="I13" s="3008">
        <v>2.75</v>
      </c>
      <c r="J13" s="3008">
        <v>3.25</v>
      </c>
      <c r="K13" s="3005"/>
      <c r="L13" s="3006" t="s">
        <v>2823</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2824</v>
      </c>
      <c r="Y42" s="3012" t="s">
        <v>2824</v>
      </c>
      <c r="Z42" s="3012" t="s">
        <v>2824</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2824</v>
      </c>
      <c r="Y43" s="3012" t="s">
        <v>2824</v>
      </c>
      <c r="Z43" s="3012" t="s">
        <v>2824</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2824</v>
      </c>
      <c r="Y44" s="3012" t="s">
        <v>2824</v>
      </c>
      <c r="Z44" s="3012" t="s">
        <v>2824</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2824</v>
      </c>
      <c r="Y45" s="3012" t="s">
        <v>2824</v>
      </c>
      <c r="Z45" s="3012" t="s">
        <v>2824</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2824</v>
      </c>
      <c r="Y46" s="3012" t="s">
        <v>2824</v>
      </c>
      <c r="Z46" s="3012" t="s">
        <v>2824</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2824</v>
      </c>
      <c r="Y47" s="3012" t="s">
        <v>2824</v>
      </c>
      <c r="Z47" s="3012" t="s">
        <v>2824</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2824</v>
      </c>
      <c r="Y48" s="3012" t="s">
        <v>2824</v>
      </c>
      <c r="Z48" s="3012" t="s">
        <v>2824</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2824</v>
      </c>
      <c r="Y49" s="3012" t="s">
        <v>2824</v>
      </c>
      <c r="Z49" s="3012" t="s">
        <v>2824</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2824</v>
      </c>
      <c r="Y50" s="3012" t="s">
        <v>2824</v>
      </c>
      <c r="Z50" s="3012" t="s">
        <v>2824</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2824</v>
      </c>
      <c r="V51" s="3012" t="s">
        <v>2824</v>
      </c>
      <c r="W51" s="3012" t="s">
        <v>2824</v>
      </c>
      <c r="X51" s="3012" t="s">
        <v>2824</v>
      </c>
      <c r="Y51" s="3012" t="s">
        <v>2824</v>
      </c>
      <c r="Z51" s="3012" t="s">
        <v>2824</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2824</v>
      </c>
      <c r="J55" s="3012" t="s">
        <v>2824</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8" sqref="F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3178</v>
      </c>
      <c r="D1" s="3150" t="s">
        <v>953</v>
      </c>
      <c r="E1" s="2408" t="s">
        <v>2376</v>
      </c>
      <c r="F1" s="2409" t="e">
        <f ca="1">J53</f>
        <v>#N/A</v>
      </c>
      <c r="G1" s="775" t="e">
        <f>MATCH(C1,'数据-取费表'!A6:A16,0)+5</f>
        <v>#N/A</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630</v>
      </c>
      <c r="B2" s="776" t="e">
        <f ca="1">C40+J29+L46</f>
        <v>#N/A</v>
      </c>
      <c r="C2" s="2056"/>
      <c r="D2" s="2054"/>
      <c r="E2" s="2055"/>
      <c r="F2" s="2055"/>
      <c r="G2" s="1589"/>
      <c r="H2" s="2056"/>
      <c r="I2" s="2056"/>
      <c r="J2" s="2056"/>
      <c r="K2" s="2057"/>
      <c r="L2" s="2056"/>
      <c r="M2" s="2056"/>
    </row>
    <row r="3" spans="1:33" ht="18" customHeight="1" thickBot="1">
      <c r="A3" s="834" t="s">
        <v>520</v>
      </c>
      <c r="B3" s="835">
        <f ca="1">IF(ISERROR(B2*10000/F43),0,ROUND(B2*10000/F43,0))</f>
        <v>0</v>
      </c>
      <c r="C3" s="2056"/>
      <c r="D3" s="2054"/>
      <c r="E3" s="2055"/>
      <c r="F3" s="2055"/>
      <c r="G3" s="1589"/>
      <c r="H3" s="777" t="s">
        <v>696</v>
      </c>
      <c r="I3" s="1362"/>
      <c r="J3" s="1362"/>
      <c r="K3" s="1590"/>
      <c r="L3" s="1362"/>
      <c r="M3" s="1362"/>
    </row>
    <row r="4" spans="1:33" ht="18" customHeight="1">
      <c r="A4" s="778" t="s">
        <v>699</v>
      </c>
      <c r="B4" s="779" t="s">
        <v>700</v>
      </c>
      <c r="C4" s="779" t="s">
        <v>633</v>
      </c>
      <c r="D4" s="779" t="s">
        <v>634</v>
      </c>
      <c r="E4" s="780" t="s">
        <v>1733</v>
      </c>
      <c r="F4" s="781"/>
      <c r="G4" s="1591"/>
      <c r="H4" s="778" t="s">
        <v>699</v>
      </c>
      <c r="I4" s="779" t="s">
        <v>700</v>
      </c>
      <c r="J4" s="779" t="s">
        <v>633</v>
      </c>
      <c r="K4" s="779" t="s">
        <v>1737</v>
      </c>
      <c r="L4" s="780" t="s">
        <v>1733</v>
      </c>
      <c r="M4" s="781"/>
    </row>
    <row r="5" spans="1:33" ht="18" customHeight="1">
      <c r="A5" s="782">
        <v>1</v>
      </c>
      <c r="B5" s="783" t="s">
        <v>2461</v>
      </c>
      <c r="C5" s="55" t="e">
        <f ca="1">C6+C10+C12</f>
        <v>#N/A</v>
      </c>
      <c r="D5" s="2517" t="s">
        <v>2464</v>
      </c>
      <c r="E5" s="2511"/>
      <c r="F5" s="2512"/>
      <c r="G5" s="1591"/>
      <c r="H5" s="782">
        <v>1</v>
      </c>
      <c r="I5" s="783" t="s">
        <v>2461</v>
      </c>
      <c r="J5" s="55" t="e">
        <f ca="1">J6+J10+J12</f>
        <v>#N/A</v>
      </c>
      <c r="K5" s="2517" t="s">
        <v>2464</v>
      </c>
      <c r="L5" s="2511"/>
      <c r="M5" s="2512"/>
    </row>
    <row r="6" spans="1:33" ht="18" customHeight="1">
      <c r="A6" s="1830" t="s">
        <v>1826</v>
      </c>
      <c r="B6" s="3494" t="s">
        <v>2466</v>
      </c>
      <c r="C6" s="784" t="e">
        <f ca="1">ROUND(F6*F8*F7*(1-F9)/10000,0)</f>
        <v>#N/A</v>
      </c>
      <c r="D6" s="2518" t="s">
        <v>2465</v>
      </c>
      <c r="E6" s="785" t="s">
        <v>638</v>
      </c>
      <c r="F6" s="786" t="e">
        <f ca="1">INDIRECT("'数据-取费表'!u"&amp;$G$1)</f>
        <v>#N/A</v>
      </c>
      <c r="G6" s="1591"/>
      <c r="H6" s="2525" t="s">
        <v>1826</v>
      </c>
      <c r="I6" s="3494" t="s">
        <v>2466</v>
      </c>
      <c r="J6" s="784" t="e">
        <f ca="1">ROUND(M6*M8*M7*(1-M9)/10000,0)</f>
        <v>#N/A</v>
      </c>
      <c r="K6" s="344" t="s">
        <v>1739</v>
      </c>
      <c r="L6" s="785" t="s">
        <v>638</v>
      </c>
      <c r="M6" s="786" t="e">
        <f ca="1">INDIRECT("'数据-取费表'!z"&amp;$G$1)</f>
        <v>#N/A</v>
      </c>
    </row>
    <row r="7" spans="1:33" ht="18" customHeight="1">
      <c r="A7" s="2521"/>
      <c r="B7" s="3495"/>
      <c r="C7" s="789"/>
      <c r="D7" s="790"/>
      <c r="E7" s="785" t="s">
        <v>639</v>
      </c>
      <c r="F7" s="786" t="e">
        <f ca="1">IF(INDIRECT("'数据-取费表'!ah"&amp;$G$1)="",INDIRECT("'数据-取费表'!k"&amp;$G$1),INDIRECT("'数据-取费表'!ah"&amp;$G$1))</f>
        <v>#N/A</v>
      </c>
      <c r="G7" s="1591"/>
      <c r="H7" s="2510"/>
      <c r="I7" s="3495"/>
      <c r="J7" s="789"/>
      <c r="K7" s="790"/>
      <c r="L7" s="785" t="s">
        <v>639</v>
      </c>
      <c r="M7" s="786" t="e">
        <f ca="1">F7</f>
        <v>#N/A</v>
      </c>
    </row>
    <row r="8" spans="1:33" ht="18" customHeight="1">
      <c r="A8" s="2514"/>
      <c r="B8" s="3496"/>
      <c r="C8" s="789"/>
      <c r="D8" s="790"/>
      <c r="E8" s="785" t="s">
        <v>1742</v>
      </c>
      <c r="F8" s="786" t="e">
        <f ca="1">INDIRECT("'数据-取费表'!ai"&amp;$G$1)</f>
        <v>#N/A</v>
      </c>
      <c r="G8" s="1591"/>
      <c r="H8" s="2510"/>
      <c r="I8" s="3496"/>
      <c r="J8" s="789"/>
      <c r="K8" s="790"/>
      <c r="L8" s="785" t="s">
        <v>1742</v>
      </c>
      <c r="M8" s="786" t="e">
        <f ca="1">INDIRECT("'数据-取费表'!ai"&amp;$G$1)</f>
        <v>#N/A</v>
      </c>
    </row>
    <row r="9" spans="1:33" ht="18" customHeight="1">
      <c r="A9" s="787"/>
      <c r="B9" s="3497"/>
      <c r="C9" s="789"/>
      <c r="D9" s="790"/>
      <c r="E9" s="785" t="s">
        <v>1743</v>
      </c>
      <c r="F9" s="795" t="e">
        <f ca="1">INDIRECT("'数据-取费表'!w"&amp;$G$1)</f>
        <v>#N/A</v>
      </c>
      <c r="G9" s="1591"/>
      <c r="H9" s="2526"/>
      <c r="I9" s="3496"/>
      <c r="J9" s="789"/>
      <c r="K9" s="790"/>
      <c r="L9" s="796" t="s">
        <v>1743</v>
      </c>
      <c r="M9" s="797" t="e">
        <f ca="1">INDIRECT("'数据-取费表'!ab"&amp;$G$1)</f>
        <v>#N/A</v>
      </c>
    </row>
    <row r="10" spans="1:33" ht="18" customHeight="1">
      <c r="A10" s="1830" t="s">
        <v>1827</v>
      </c>
      <c r="B10" s="2515" t="s">
        <v>2462</v>
      </c>
      <c r="C10" s="800" t="e">
        <f ca="1">ROUND(IF(F10="押一",F6*F8*F7/12*F11,IF(F10="押二",F6*F8*F7/12*2*F11,IF(F10="押三",F6*F8*F7/12*3*F11,C11*F11)))/10000,0)</f>
        <v>#N/A</v>
      </c>
      <c r="D10" s="2522" t="s">
        <v>2469</v>
      </c>
      <c r="E10" s="2519" t="s">
        <v>2467</v>
      </c>
      <c r="F10" s="2642" t="s">
        <v>2988</v>
      </c>
      <c r="G10" s="1591"/>
      <c r="H10" s="2582" t="s">
        <v>1827</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2459</v>
      </c>
      <c r="F11" s="797">
        <f ca="1">'数据-取费表'!B39</f>
        <v>1.4999999999999999E-2</v>
      </c>
      <c r="G11" s="1591"/>
      <c r="H11" s="2583"/>
      <c r="I11" s="2516" t="s">
        <v>2577</v>
      </c>
      <c r="J11" s="2520"/>
      <c r="K11" s="2584"/>
      <c r="L11" s="2519" t="s">
        <v>2459</v>
      </c>
      <c r="M11" s="2513">
        <f ca="1">'数据-取费表'!B39</f>
        <v>1.4999999999999999E-2</v>
      </c>
    </row>
    <row r="12" spans="1:33" ht="18" customHeight="1" thickBot="1">
      <c r="A12" s="2558" t="s">
        <v>2471</v>
      </c>
      <c r="B12" s="2559" t="s">
        <v>2463</v>
      </c>
      <c r="C12" s="2560"/>
      <c r="D12" s="2561"/>
      <c r="E12" s="2562"/>
      <c r="F12" s="2563"/>
      <c r="G12" s="1591"/>
      <c r="H12" s="2572" t="s">
        <v>2471</v>
      </c>
      <c r="I12" s="2585" t="s">
        <v>2463</v>
      </c>
      <c r="J12" s="2586"/>
      <c r="K12" s="2561"/>
      <c r="L12" s="2562"/>
      <c r="M12" s="2575"/>
    </row>
    <row r="13" spans="1:33" ht="18" customHeight="1" thickTop="1">
      <c r="A13" s="1829">
        <v>2</v>
      </c>
      <c r="B13" s="1827" t="s">
        <v>1744</v>
      </c>
      <c r="C13" s="793" t="e">
        <f ca="1">ROUND(C29*F13,0)</f>
        <v>#N/A</v>
      </c>
      <c r="D13" s="1834" t="s">
        <v>2298</v>
      </c>
      <c r="E13" s="1834" t="s">
        <v>1746</v>
      </c>
      <c r="F13" s="2557" t="e">
        <f ca="1">INDIRECT("'数据-取费表'!y"&amp;$G$1)</f>
        <v>#N/A</v>
      </c>
      <c r="G13" s="1591"/>
      <c r="H13" s="1829">
        <v>2</v>
      </c>
      <c r="I13" s="1827" t="s">
        <v>1744</v>
      </c>
      <c r="J13" s="1819" t="e">
        <f ca="1">ROUND(J14*J15,0)</f>
        <v>#N/A</v>
      </c>
      <c r="K13" s="1821" t="s">
        <v>1745</v>
      </c>
      <c r="L13" s="2573"/>
      <c r="M13" s="2574"/>
    </row>
    <row r="14" spans="1:33" ht="18" customHeight="1">
      <c r="A14" s="1647" t="s">
        <v>1833</v>
      </c>
      <c r="B14" s="785" t="s">
        <v>646</v>
      </c>
      <c r="C14" s="805" t="e">
        <f ca="1">INDIRECT("'数据-取费表'!m"&amp;$G$1)+INDIRECT("'数据-取费表'!t"&amp;$G$1)</f>
        <v>#N/A</v>
      </c>
      <c r="D14" s="3191" t="s">
        <v>647</v>
      </c>
      <c r="E14" s="3192"/>
      <c r="F14" s="806"/>
      <c r="G14" s="1591"/>
      <c r="H14" s="1648" t="s">
        <v>1826</v>
      </c>
      <c r="I14" s="2230" t="s">
        <v>2831</v>
      </c>
      <c r="J14" s="53" t="e">
        <f ca="1">C29</f>
        <v>#N/A</v>
      </c>
      <c r="K14" s="26"/>
      <c r="L14" s="802"/>
      <c r="M14" s="803"/>
    </row>
    <row r="15" spans="1:33" s="2063" customFormat="1" ht="18" customHeight="1" thickBot="1">
      <c r="A15" s="1647" t="s">
        <v>1834</v>
      </c>
      <c r="B15" s="785" t="s">
        <v>648</v>
      </c>
      <c r="C15" s="53" t="e">
        <f ca="1">ROUND(C14*F15,0)</f>
        <v>#N/A</v>
      </c>
      <c r="D15" s="807" t="s">
        <v>1748</v>
      </c>
      <c r="E15" s="807" t="s">
        <v>650</v>
      </c>
      <c r="F15" s="808">
        <f>'数据-取费表'!B33</f>
        <v>0.05</v>
      </c>
      <c r="G15" s="1592"/>
      <c r="H15" s="2572" t="s">
        <v>1891</v>
      </c>
      <c r="I15" s="2567" t="s">
        <v>1746</v>
      </c>
      <c r="J15" s="2576" t="e">
        <f ca="1">INDIRECT("'数据-取费表'!ad"&amp;$G$1)</f>
        <v>#N/A</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5" t="s">
        <v>651</v>
      </c>
      <c r="C16" s="53" t="e">
        <f ca="1">ROUND(INDIRECT("'数据-取费表'!m"&amp;$G$1)*F16,0)</f>
        <v>#N/A</v>
      </c>
      <c r="D16" s="785" t="s">
        <v>1748</v>
      </c>
      <c r="E16" s="785" t="s">
        <v>650</v>
      </c>
      <c r="F16" s="810" t="e">
        <f ca="1">IF(INDIRECT("'数据-取费表'!c"&amp;$G$1)="住宅",'数据-取费表'!B34,0)</f>
        <v>#N/A</v>
      </c>
      <c r="G16" s="1591"/>
      <c r="H16" s="1829" t="s">
        <v>1750</v>
      </c>
      <c r="I16" s="1827" t="s">
        <v>1751</v>
      </c>
      <c r="J16" s="793" t="e">
        <f ca="1">ROUND(J17+J22+J23+J24,0)</f>
        <v>#N/A</v>
      </c>
      <c r="K16" s="1821" t="s">
        <v>653</v>
      </c>
      <c r="L16" s="3193"/>
      <c r="M16" s="2512"/>
    </row>
    <row r="17" spans="1:33" s="2063" customFormat="1" ht="18" customHeight="1">
      <c r="A17" s="1647" t="s">
        <v>1889</v>
      </c>
      <c r="B17" s="785" t="s">
        <v>654</v>
      </c>
      <c r="C17" s="53" t="e">
        <f ca="1">ROUND(F17*(F43+INDIRECT("'数据-取费表'!S"&amp;$G$1))/10000,0)</f>
        <v>#N/A</v>
      </c>
      <c r="D17" s="785" t="s">
        <v>1753</v>
      </c>
      <c r="E17" s="785" t="s">
        <v>656</v>
      </c>
      <c r="F17" s="56">
        <f>'数据-取费表'!B35</f>
        <v>150</v>
      </c>
      <c r="G17" s="1592"/>
      <c r="H17" s="1648" t="s">
        <v>1826</v>
      </c>
      <c r="I17" s="785" t="s">
        <v>657</v>
      </c>
      <c r="J17" s="53" t="e">
        <f ca="1">ROUND(IF(项目基本情况!B11="自然人",J5*M17,J18+J19+J20),0)</f>
        <v>#N/A</v>
      </c>
      <c r="K17" s="3191" t="s">
        <v>658</v>
      </c>
      <c r="L17" s="3190"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t="e">
        <f ca="1">ROUND(C14*F18,0)</f>
        <v>#N/A</v>
      </c>
      <c r="D18" s="785" t="s">
        <v>1748</v>
      </c>
      <c r="E18" s="785" t="s">
        <v>650</v>
      </c>
      <c r="F18" s="810">
        <f>'数据-取费表'!B36</f>
        <v>1.4999999999999999E-2</v>
      </c>
      <c r="G18" s="1592"/>
      <c r="H18" s="1647" t="s">
        <v>1833</v>
      </c>
      <c r="I18" s="785" t="s">
        <v>1757</v>
      </c>
      <c r="J18" s="53" t="e">
        <f ca="1">ROUND(J5*M18/1.05,1)</f>
        <v>#N/A</v>
      </c>
      <c r="K18" s="3190" t="s">
        <v>662</v>
      </c>
      <c r="L18" s="785" t="s">
        <v>650</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5" t="s">
        <v>663</v>
      </c>
      <c r="C19" s="53" t="e">
        <f ca="1">SUM(C14:C18)</f>
        <v>#N/A</v>
      </c>
      <c r="D19" s="261" t="s">
        <v>664</v>
      </c>
      <c r="E19" s="3195"/>
      <c r="F19" s="56"/>
      <c r="G19" s="1591"/>
      <c r="H19" s="1647"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8" t="s">
        <v>1891</v>
      </c>
      <c r="B20" s="785" t="s">
        <v>667</v>
      </c>
      <c r="C20" s="53" t="e">
        <f ca="1">ROUND(C19*F20,0)</f>
        <v>#N/A</v>
      </c>
      <c r="D20" s="813" t="s">
        <v>1761</v>
      </c>
      <c r="E20" s="785" t="s">
        <v>650</v>
      </c>
      <c r="F20" s="810">
        <f>'数据-取费表'!B37</f>
        <v>0.02</v>
      </c>
      <c r="G20" s="1592"/>
      <c r="H20" s="1650" t="s">
        <v>1835</v>
      </c>
      <c r="I20" s="344" t="s">
        <v>669</v>
      </c>
      <c r="J20" s="54" t="e">
        <f ca="1">ROUND(M20*M21/10000,0)</f>
        <v>#N/A</v>
      </c>
      <c r="K20" s="815" t="s">
        <v>1763</v>
      </c>
      <c r="L20" s="785" t="s">
        <v>671</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672</v>
      </c>
      <c r="C21" s="53" t="s">
        <v>1766</v>
      </c>
      <c r="D21" s="813" t="s">
        <v>2299</v>
      </c>
      <c r="E21" s="785" t="s">
        <v>1767</v>
      </c>
      <c r="F21" s="810">
        <f>'数据-取费表'!B38</f>
        <v>0.02</v>
      </c>
      <c r="G21" s="1592"/>
      <c r="H21" s="2527"/>
      <c r="I21" s="794"/>
      <c r="J21" s="69"/>
      <c r="K21" s="817"/>
      <c r="L21" s="785" t="s">
        <v>675</v>
      </c>
      <c r="M21" s="786" t="e">
        <f ca="1">INDIRECT("'数据-取费表'!r"&amp;$G$1)</f>
        <v>#N/A</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3195"/>
      <c r="F22" s="56"/>
      <c r="G22" s="1591"/>
      <c r="H22" s="1648" t="s">
        <v>1891</v>
      </c>
      <c r="I22" s="785" t="s">
        <v>677</v>
      </c>
      <c r="J22" s="53" t="e">
        <f ca="1">ROUND(J14*M22,0)</f>
        <v>#N/A</v>
      </c>
      <c r="K22" s="3190" t="s">
        <v>1771</v>
      </c>
      <c r="L22" s="785" t="s">
        <v>650</v>
      </c>
      <c r="M22" s="818" t="e">
        <f ca="1">INDIRECT("'数据-取费表'!Ak"&amp;$G$1)</f>
        <v>#N/A</v>
      </c>
    </row>
    <row r="23" spans="1:33" s="2063" customFormat="1" ht="18" customHeight="1">
      <c r="A23" s="1647" t="s">
        <v>1833</v>
      </c>
      <c r="B23" s="785" t="s">
        <v>2439</v>
      </c>
      <c r="C23" s="53" t="e">
        <f ca="1">ROUND(IF('数据-取费表'!B22&lt;=1,(C19+C20)*F24*F23/2,(C19+C20)*(POWER((1+F24),F23/2)-1)),0)</f>
        <v>#N/A</v>
      </c>
      <c r="D23" s="2592" t="str">
        <f>IF(F23&lt;=1,"(建造成本+管理费用)×利率×(建设周期÷2)","(建造成本+管理费用)×((1+利率)^(建设周期÷2)-1)")</f>
        <v>(建造成本+管理费用)×((1+利率)^(建设周期÷2)-1)</v>
      </c>
      <c r="E23" s="785" t="s">
        <v>679</v>
      </c>
      <c r="F23" s="641">
        <f>'数据-取费表'!B20</f>
        <v>2.5</v>
      </c>
      <c r="G23" s="1592"/>
      <c r="H23" s="1648" t="s">
        <v>1892</v>
      </c>
      <c r="I23" s="785" t="s">
        <v>680</v>
      </c>
      <c r="J23" s="53" t="e">
        <f ca="1">ROUND(J13*M23,0)</f>
        <v>#N/A</v>
      </c>
      <c r="K23" s="3190" t="s">
        <v>681</v>
      </c>
      <c r="L23" s="785" t="s">
        <v>650</v>
      </c>
      <c r="M23" s="819" t="e">
        <f ca="1">INDIRECT("'数据-取费表'!Al"&amp;$G$1)</f>
        <v>#N/A</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682</v>
      </c>
      <c r="C24" s="53">
        <f ca="1">ROUND(IF('数据-取费表'!B22&lt;=1,F21*F24*F23/2,F21*(POWER((1+F24),F23/2)-1)),4)</f>
        <v>1.1999999999999999E-3</v>
      </c>
      <c r="D24" s="2592" t="str">
        <f>IF(F23&lt;=1,"销售费用×利率×(建设周期÷2)","销售费用×((1+利率)^(建设周期÷2)-1)")</f>
        <v>销售费用×((1+利率)^(建设周期÷2)-1)</v>
      </c>
      <c r="E24" s="785" t="s">
        <v>683</v>
      </c>
      <c r="F24" s="820">
        <f ca="1">'数据-取费表'!B40</f>
        <v>4.7500000000000001E-2</v>
      </c>
      <c r="G24" s="1592"/>
      <c r="H24" s="2572" t="s">
        <v>1893</v>
      </c>
      <c r="I24" s="2567" t="s">
        <v>667</v>
      </c>
      <c r="J24" s="2565" t="e">
        <f ca="1">ROUND(J5*M24,0)</f>
        <v>#N/A</v>
      </c>
      <c r="K24" s="2566" t="s">
        <v>1776</v>
      </c>
      <c r="L24" s="2567" t="s">
        <v>650</v>
      </c>
      <c r="M24" s="2563" t="e">
        <f ca="1">INDIRECT("'数据-取费表'!Am"&amp;$G$1)</f>
        <v>#N/A</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686</v>
      </c>
      <c r="E25" s="3195"/>
      <c r="F25" s="56"/>
      <c r="G25" s="1591"/>
      <c r="H25" s="1829" t="s">
        <v>1778</v>
      </c>
      <c r="I25" s="3032" t="s">
        <v>2828</v>
      </c>
      <c r="J25" s="793" t="e">
        <f ca="1">J5-J16</f>
        <v>#N/A</v>
      </c>
      <c r="K25" s="2569" t="s">
        <v>701</v>
      </c>
      <c r="L25" s="2570"/>
      <c r="M25" s="2571"/>
    </row>
    <row r="26" spans="1:33" ht="18" customHeight="1">
      <c r="A26" s="1647" t="s">
        <v>1833</v>
      </c>
      <c r="B26" s="785" t="s">
        <v>2440</v>
      </c>
      <c r="C26" s="53" t="e">
        <f ca="1">ROUND((C19+C20)*F26,0)</f>
        <v>#N/A</v>
      </c>
      <c r="D26" s="813" t="s">
        <v>702</v>
      </c>
      <c r="E26" s="796" t="s">
        <v>1781</v>
      </c>
      <c r="F26" s="795" t="e">
        <f ca="1">INDIRECT("'数据-取费表'!q"&amp;$G$1)</f>
        <v>#N/A</v>
      </c>
      <c r="G26" s="1591"/>
      <c r="H26" s="2523" t="s">
        <v>1782</v>
      </c>
      <c r="I26" s="2231" t="s">
        <v>2833</v>
      </c>
      <c r="J26" s="784" t="e">
        <f ca="1">IF(J5&lt;&gt;0,ROUND(J25*(1-((1+M28)/(1+M26))^M27)/(M26-M28),0),0)</f>
        <v>#N/A</v>
      </c>
      <c r="K26" s="815" t="s">
        <v>1783</v>
      </c>
      <c r="L26" s="785" t="s">
        <v>2421</v>
      </c>
      <c r="M26" s="795" t="e">
        <f ca="1">INDIRECT("'数据-取费表'!I"&amp;$G$1)</f>
        <v>#N/A</v>
      </c>
    </row>
    <row r="27" spans="1:33" ht="18" customHeight="1">
      <c r="A27" s="1647" t="s">
        <v>1834</v>
      </c>
      <c r="B27" s="785" t="s">
        <v>687</v>
      </c>
      <c r="C27" s="53" t="e">
        <f ca="1">ROUND(F21*F26,4)</f>
        <v>#N/A</v>
      </c>
      <c r="D27" s="813" t="s">
        <v>707</v>
      </c>
      <c r="E27" s="807"/>
      <c r="F27" s="808"/>
      <c r="G27" s="1591"/>
      <c r="H27" s="2524"/>
      <c r="I27" s="788"/>
      <c r="J27" s="789"/>
      <c r="K27" s="822" t="s">
        <v>708</v>
      </c>
      <c r="L27" s="785" t="s">
        <v>1786</v>
      </c>
      <c r="M27" s="823" t="e">
        <f ca="1">INDIRECT("'数据-取费表'!ag"&amp;$G$1)</f>
        <v>#N/A</v>
      </c>
    </row>
    <row r="28" spans="1:33" s="2063" customFormat="1" ht="18" customHeight="1">
      <c r="A28" s="1649" t="s">
        <v>1843</v>
      </c>
      <c r="B28" s="785" t="s">
        <v>688</v>
      </c>
      <c r="C28" s="53">
        <f>ROUND(F28/(1+'数据-取费表'!C42),4)</f>
        <v>5.33E-2</v>
      </c>
      <c r="D28" s="813" t="s">
        <v>2300</v>
      </c>
      <c r="E28" s="785" t="s">
        <v>650</v>
      </c>
      <c r="F28" s="810">
        <f>'数据-取费表'!B41</f>
        <v>5.6000000000000001E-2</v>
      </c>
      <c r="G28" s="1592"/>
      <c r="H28" s="1829"/>
      <c r="I28" s="792"/>
      <c r="J28" s="793"/>
      <c r="K28" s="817"/>
      <c r="L28" s="785" t="s">
        <v>711</v>
      </c>
      <c r="M28" s="795" t="e">
        <f ca="1">INDIRECT("'数据-取费表'!aa"&amp;$G$1)</f>
        <v>#N/A</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t="e">
        <f ca="1">ROUND((C19+C20+C23+C26)/(1-F21-C24-C27-C28),0)</f>
        <v>#N/A</v>
      </c>
      <c r="D29" s="2566"/>
      <c r="E29" s="2567"/>
      <c r="F29" s="2568"/>
      <c r="G29" s="1592"/>
      <c r="H29" s="824" t="s">
        <v>1789</v>
      </c>
      <c r="I29" s="825" t="s">
        <v>1790</v>
      </c>
      <c r="J29" s="826" t="e">
        <f ca="1">ROUND(J26/(1+F40)^F41,0)</f>
        <v>#N/A</v>
      </c>
      <c r="K29" s="827" t="s">
        <v>689</v>
      </c>
      <c r="L29" s="828"/>
      <c r="M29" s="829" t="e">
        <f ca="1">INDIRECT("'数据-取费表'!k"&amp;$G$1)</f>
        <v>#N/A</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1750</v>
      </c>
      <c r="B30" s="1827" t="s">
        <v>1751</v>
      </c>
      <c r="C30" s="793" t="e">
        <f ca="1">ROUND(C31+C36+C37+C38,0)</f>
        <v>#N/A</v>
      </c>
      <c r="D30" s="1821" t="s">
        <v>653</v>
      </c>
      <c r="E30" s="3193"/>
      <c r="F30" s="2512"/>
      <c r="G30" s="2061"/>
      <c r="H30" s="2064"/>
      <c r="I30" s="2065"/>
      <c r="J30" s="2066"/>
      <c r="K30" s="2067"/>
      <c r="L30" s="2068"/>
      <c r="M30" s="2069"/>
    </row>
    <row r="31" spans="1:33" ht="18" customHeight="1">
      <c r="A31" s="1648" t="s">
        <v>1826</v>
      </c>
      <c r="B31" s="785" t="s">
        <v>657</v>
      </c>
      <c r="C31" s="53" t="e">
        <f ca="1">ROUND(IF(项目基本情况!B11="自然人",C5*F31,C32+C33+C34),1)</f>
        <v>#N/A</v>
      </c>
      <c r="D31" s="3191" t="s">
        <v>658</v>
      </c>
      <c r="E31" s="3190"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1757</v>
      </c>
      <c r="C32" s="53" t="e">
        <f ca="1">ROUND(C5*F32/1.05,1)</f>
        <v>#N/A</v>
      </c>
      <c r="D32" s="3190" t="s">
        <v>662</v>
      </c>
      <c r="E32" s="785" t="s">
        <v>650</v>
      </c>
      <c r="F32" s="810">
        <f>'数据-取费表'!B41</f>
        <v>5.6000000000000001E-2</v>
      </c>
      <c r="G32" s="2061"/>
      <c r="H32" s="2070"/>
      <c r="I32" s="2071"/>
      <c r="J32" s="2072"/>
      <c r="K32" s="2073"/>
      <c r="L32" s="2074"/>
      <c r="M32" s="2075"/>
    </row>
    <row r="33" spans="1:18" ht="18" customHeight="1">
      <c r="A33" s="1647"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0" t="s">
        <v>1835</v>
      </c>
      <c r="B34" s="344" t="s">
        <v>669</v>
      </c>
      <c r="C34" s="54" t="e">
        <f ca="1">ROUND(F34*F35/10000,1)</f>
        <v>#N/A</v>
      </c>
      <c r="D34" s="815" t="s">
        <v>1763</v>
      </c>
      <c r="E34" s="785" t="s">
        <v>671</v>
      </c>
      <c r="F34" s="641">
        <f>'数据-取费表'!B52</f>
        <v>5</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8" t="s">
        <v>1891</v>
      </c>
      <c r="B36" s="785" t="s">
        <v>677</v>
      </c>
      <c r="C36" s="53" t="e">
        <f ca="1">ROUND(C29*F36,1)</f>
        <v>#N/A</v>
      </c>
      <c r="D36" s="3190" t="s">
        <v>1805</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8" t="s">
        <v>1892</v>
      </c>
      <c r="B37" s="785" t="s">
        <v>680</v>
      </c>
      <c r="C37" s="53" t="e">
        <f ca="1">ROUND(C13*F37,1)</f>
        <v>#N/A</v>
      </c>
      <c r="D37" s="3190" t="s">
        <v>681</v>
      </c>
      <c r="E37" s="785" t="s">
        <v>650</v>
      </c>
      <c r="F37" s="819" t="e">
        <f ca="1">INDIRECT("'数据-取费表'!Al"&amp;$G$1)</f>
        <v>#N/A</v>
      </c>
      <c r="G37" s="2061"/>
      <c r="H37" s="2076"/>
      <c r="I37" s="842" t="s">
        <v>1818</v>
      </c>
      <c r="J37" s="843"/>
      <c r="K37" s="2081"/>
      <c r="L37" s="2076"/>
      <c r="M37" s="2076"/>
    </row>
    <row r="38" spans="1:18" ht="18" customHeight="1" thickBot="1">
      <c r="A38" s="2572" t="s">
        <v>1893</v>
      </c>
      <c r="B38" s="2567" t="s">
        <v>667</v>
      </c>
      <c r="C38" s="2565" t="e">
        <f ca="1">ROUND(C5*F38,1)</f>
        <v>#N/A</v>
      </c>
      <c r="D38" s="2566" t="s">
        <v>1776</v>
      </c>
      <c r="E38" s="2567" t="s">
        <v>650</v>
      </c>
      <c r="F38" s="2563" t="e">
        <f ca="1">INDIRECT("'数据-取费表'!Am"&amp;$G$1)</f>
        <v>#N/A</v>
      </c>
      <c r="G38" s="2061"/>
      <c r="H38" s="2076"/>
      <c r="I38" s="844" t="s">
        <v>1819</v>
      </c>
      <c r="J38" s="845"/>
      <c r="K38" s="2082"/>
      <c r="L38" s="2076"/>
      <c r="M38" s="2076"/>
    </row>
    <row r="39" spans="1:18" ht="24.6" customHeight="1" thickTop="1">
      <c r="A39" s="1829" t="s">
        <v>1778</v>
      </c>
      <c r="B39" s="3032" t="s">
        <v>2828</v>
      </c>
      <c r="C39" s="793" t="e">
        <f ca="1">C5-C30</f>
        <v>#N/A</v>
      </c>
      <c r="D39" s="2569" t="s">
        <v>701</v>
      </c>
      <c r="E39" s="2570"/>
      <c r="F39" s="2571"/>
      <c r="G39" s="2061"/>
      <c r="H39" s="2076"/>
      <c r="I39" s="838" t="s">
        <v>1820</v>
      </c>
      <c r="J39" s="846" t="e">
        <f ca="1">ROUND(J35/C39,3)</f>
        <v>#N/A</v>
      </c>
      <c r="K39" s="2082"/>
      <c r="L39" s="2076"/>
      <c r="M39" s="2076"/>
    </row>
    <row r="40" spans="1:18" ht="18" customHeight="1">
      <c r="A40" s="782" t="s">
        <v>1782</v>
      </c>
      <c r="B40" s="2231" t="s">
        <v>2302</v>
      </c>
      <c r="C40" s="784" t="e">
        <f ca="1">ROUND(C39*(1-((1+F42)/(1+F40))^F41)/(F40-F42),0)</f>
        <v>#N/A</v>
      </c>
      <c r="D40" s="815" t="s">
        <v>1783</v>
      </c>
      <c r="E40" s="785" t="s">
        <v>2421</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1786</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t="e">
        <f ca="1">C67-C40</f>
        <v>#N/A</v>
      </c>
      <c r="D46" s="2084"/>
      <c r="E46" s="2084"/>
      <c r="F46" s="2084"/>
      <c r="I46" s="2375" t="s">
        <v>2344</v>
      </c>
      <c r="J46" s="2376"/>
      <c r="K46" s="2377"/>
      <c r="L46" s="2378" t="e">
        <f ca="1">IF(M47="住宅",0,IF(L48&gt;J51,L60,J60))</f>
        <v>#N/A</v>
      </c>
      <c r="O46" s="2415" t="s">
        <v>2412</v>
      </c>
      <c r="P46" s="1591"/>
      <c r="Q46" s="1603"/>
      <c r="R46" s="1591"/>
    </row>
    <row r="47" spans="1:18" s="2058" customFormat="1" ht="18" customHeight="1" thickBot="1">
      <c r="A47" s="2369">
        <v>1</v>
      </c>
      <c r="B47" s="2370" t="s">
        <v>636</v>
      </c>
      <c r="C47" s="2595" t="e">
        <f ca="1">C48+C52+C54</f>
        <v>#N/A</v>
      </c>
      <c r="D47" s="2084"/>
      <c r="E47" s="2084"/>
      <c r="F47" s="2084"/>
      <c r="I47" s="2379" t="s">
        <v>2345</v>
      </c>
      <c r="J47" s="2384" t="s">
        <v>2989</v>
      </c>
      <c r="K47" s="2385" t="s">
        <v>2351</v>
      </c>
      <c r="L47" s="2386" t="e">
        <f ca="1">INDIRECT("'数据-取费表'!d"&amp;$G$1)</f>
        <v>#N/A</v>
      </c>
      <c r="M47" s="1603" t="str">
        <f>IF(ISNUMBER(FIND("住宅",C1)),"住宅","非住宅")</f>
        <v>非住宅</v>
      </c>
      <c r="O47" s="2416" t="s">
        <v>2377</v>
      </c>
      <c r="P47" s="2417" t="s">
        <v>2378</v>
      </c>
      <c r="Q47" s="2418" t="s">
        <v>2379</v>
      </c>
      <c r="R47" s="2417" t="s">
        <v>2380</v>
      </c>
    </row>
    <row r="48" spans="1:18" s="2058" customFormat="1" ht="18" customHeight="1" thickBot="1">
      <c r="A48" s="2664" t="s">
        <v>1872</v>
      </c>
      <c r="B48" s="2665" t="s">
        <v>2542</v>
      </c>
      <c r="C48" s="2371" t="e">
        <f ca="1">ROUND(F48*F50*F49*(1-F51)/10000,0)</f>
        <v>#N/A</v>
      </c>
      <c r="D48" s="2372" t="s">
        <v>637</v>
      </c>
      <c r="E48" s="2373" t="s">
        <v>2297</v>
      </c>
      <c r="F48" s="2374"/>
      <c r="G48" s="2089"/>
      <c r="I48" s="2380" t="s">
        <v>2346</v>
      </c>
      <c r="J48" s="2387" t="s">
        <v>2352</v>
      </c>
      <c r="K48" s="2388" t="s">
        <v>2353</v>
      </c>
      <c r="L48" s="2389" t="e">
        <f ca="1">INDIRECT("'数据-取费表'!f"&amp;$G$1)</f>
        <v>#N/A</v>
      </c>
      <c r="O48" s="2419" t="s">
        <v>2381</v>
      </c>
      <c r="P48" s="2420" t="s">
        <v>2407</v>
      </c>
      <c r="Q48" s="2421" t="e">
        <f ca="1">C40+J29</f>
        <v>#N/A</v>
      </c>
      <c r="R48" s="2420" t="s">
        <v>2382</v>
      </c>
    </row>
    <row r="49" spans="1:18" s="2058" customFormat="1" ht="18" customHeight="1" thickBot="1">
      <c r="A49" s="787"/>
      <c r="B49" s="788"/>
      <c r="C49" s="789"/>
      <c r="D49" s="790"/>
      <c r="E49" s="785" t="s">
        <v>639</v>
      </c>
      <c r="F49" s="786" t="e">
        <f ca="1">F7</f>
        <v>#N/A</v>
      </c>
      <c r="G49" s="2089"/>
      <c r="H49" s="2092"/>
      <c r="I49" s="2380" t="s">
        <v>2347</v>
      </c>
      <c r="J49" s="2390">
        <v>2019</v>
      </c>
      <c r="K49" s="2391" t="s">
        <v>2354</v>
      </c>
      <c r="L49" s="2392"/>
      <c r="O49" s="2419" t="s">
        <v>2383</v>
      </c>
      <c r="P49" s="2420" t="s">
        <v>2408</v>
      </c>
      <c r="Q49" s="2421" t="e">
        <f ca="1">J60</f>
        <v>#N/A</v>
      </c>
      <c r="R49" s="2420" t="s">
        <v>2384</v>
      </c>
    </row>
    <row r="50" spans="1:18" s="2058" customFormat="1" ht="18" customHeight="1" thickBot="1">
      <c r="A50" s="787"/>
      <c r="B50" s="788"/>
      <c r="C50" s="789"/>
      <c r="D50" s="790"/>
      <c r="E50" s="785" t="s">
        <v>1742</v>
      </c>
      <c r="F50" s="786" t="e">
        <f ca="1">F8</f>
        <v>#N/A</v>
      </c>
      <c r="G50" s="2094"/>
      <c r="H50" s="2092"/>
      <c r="I50" s="2380" t="s">
        <v>2348</v>
      </c>
      <c r="J50" s="2393">
        <f>SUMPRODUCT((I63:I65=J47)*(J62:L62=J48)*(J63:L65))</f>
        <v>60</v>
      </c>
      <c r="K50" s="2391" t="s">
        <v>2355</v>
      </c>
      <c r="L50" s="2392"/>
      <c r="O50" s="2422" t="s">
        <v>2385</v>
      </c>
      <c r="P50" s="2420" t="s">
        <v>2409</v>
      </c>
      <c r="Q50" s="2421" t="e">
        <f ca="1">C29</f>
        <v>#N/A</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t="e">
        <f ca="1">ROUND(-PV(INDIRECT("'数据-取费表'!h"&amp;$G$1),L48,(C39-C13*J36),0),0)</f>
        <v>#N/A</v>
      </c>
      <c r="O51" s="2422" t="s">
        <v>2386</v>
      </c>
      <c r="P51" s="2420" t="s">
        <v>2387</v>
      </c>
      <c r="Q51" s="2423" t="e">
        <f ca="1">J58</f>
        <v>#N/A</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t="e">
        <f ca="1">IF(M47="住宅",J51,IF(D1="——",MIN(J51,L48),IF(D1="土地（套用方法）",MIN(J51,L48-'数据-取费表'!B20))))</f>
        <v>#N/A</v>
      </c>
      <c r="K53" s="3514" t="s">
        <v>2958</v>
      </c>
      <c r="L53" s="3515"/>
      <c r="O53" s="2422" t="s">
        <v>2390</v>
      </c>
      <c r="P53" s="2420" t="s">
        <v>2391</v>
      </c>
      <c r="Q53" s="2421" t="e">
        <f ca="1">J53</f>
        <v>#N/A</v>
      </c>
      <c r="R53" s="2420" t="s">
        <v>2392</v>
      </c>
    </row>
    <row r="54" spans="1:18" s="2058" customFormat="1" ht="18" customHeight="1" thickBot="1">
      <c r="A54" s="2558" t="s">
        <v>2471</v>
      </c>
      <c r="B54" s="2559" t="s">
        <v>2463</v>
      </c>
      <c r="C54" s="2560"/>
      <c r="D54" s="2522"/>
      <c r="E54" s="2519"/>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19" t="s">
        <v>2393</v>
      </c>
      <c r="P54" s="2420" t="s">
        <v>2410</v>
      </c>
      <c r="Q54" s="2421" t="e">
        <f ca="1">Q48+Q49</f>
        <v>#N/A</v>
      </c>
      <c r="R54" s="2424" t="s">
        <v>2394</v>
      </c>
    </row>
    <row r="55" spans="1:18" s="2058" customFormat="1" ht="18" customHeight="1" thickTop="1" thickBot="1">
      <c r="A55" s="798">
        <v>2</v>
      </c>
      <c r="B55" s="799" t="s">
        <v>645</v>
      </c>
      <c r="C55" s="800" t="e">
        <f ca="1">C13</f>
        <v>#N/A</v>
      </c>
      <c r="D55" s="796"/>
      <c r="E55" s="796"/>
      <c r="F55" s="801"/>
      <c r="I55" s="3121" t="s">
        <v>2357</v>
      </c>
      <c r="J55" s="3120" t="e">
        <f ca="1">ROUND(IF(J47="钢混",J57/J50,1-(1-2%)*(J50-J57)/J50),3)</f>
        <v>#N/A</v>
      </c>
      <c r="K55" s="2398" t="s">
        <v>2358</v>
      </c>
      <c r="L55" s="2399"/>
      <c r="O55" s="2425" t="s">
        <v>2413</v>
      </c>
      <c r="P55" s="1591"/>
      <c r="Q55" s="1603"/>
      <c r="R55" s="1591"/>
    </row>
    <row r="56" spans="1:18" s="2058" customFormat="1" ht="42.75" customHeight="1" thickBot="1">
      <c r="A56" s="1649"/>
      <c r="B56" s="2230" t="s">
        <v>2301</v>
      </c>
      <c r="C56" s="53" t="e">
        <f ca="1">C29</f>
        <v>#N/A</v>
      </c>
      <c r="D56" s="3190"/>
      <c r="E56" s="785"/>
      <c r="F56" s="810"/>
      <c r="I56" s="2400" t="s">
        <v>2359</v>
      </c>
      <c r="J56" s="3144" t="s">
        <v>1680</v>
      </c>
      <c r="K56" s="2380" t="s">
        <v>2364</v>
      </c>
      <c r="L56" s="2389" t="e">
        <f ca="1">IF(L48&lt;J51,"——",L48-J51)</f>
        <v>#N/A</v>
      </c>
      <c r="O56" s="2416" t="s">
        <v>2377</v>
      </c>
      <c r="P56" s="2417" t="s">
        <v>2378</v>
      </c>
      <c r="Q56" s="2418" t="s">
        <v>2379</v>
      </c>
      <c r="R56" s="2417" t="s">
        <v>2380</v>
      </c>
    </row>
    <row r="57" spans="1:18" s="2058" customFormat="1" ht="28.5" customHeight="1" thickBot="1">
      <c r="A57" s="798" t="s">
        <v>1750</v>
      </c>
      <c r="B57" s="799" t="s">
        <v>652</v>
      </c>
      <c r="C57" s="800" t="e">
        <f ca="1">ROUND(C58+C63+C64+C65,0)</f>
        <v>#N/A</v>
      </c>
      <c r="D57" s="26" t="s">
        <v>653</v>
      </c>
      <c r="E57" s="3195"/>
      <c r="F57" s="56"/>
      <c r="I57" s="2401" t="s">
        <v>2360</v>
      </c>
      <c r="J57" s="2403" t="e">
        <f ca="1">IF(OR(M47="住宅",J51&lt;L48,J56="是"),"——",J51-L48)</f>
        <v>#N/A</v>
      </c>
      <c r="K57" s="2380" t="s">
        <v>2365</v>
      </c>
      <c r="L57" s="2389" t="e">
        <f ca="1">IF(L48&lt;J51,"——",IF(L55="比较法",L49,IF(L55="基准地价",L50,L51)))</f>
        <v>#N/A</v>
      </c>
      <c r="O57" s="2419" t="s">
        <v>2381</v>
      </c>
      <c r="P57" s="2420" t="s">
        <v>2407</v>
      </c>
      <c r="Q57" s="2421" t="e">
        <f ca="1">C40+J29</f>
        <v>#N/A</v>
      </c>
      <c r="R57" s="2420" t="s">
        <v>2382</v>
      </c>
    </row>
    <row r="58" spans="1:18" s="2058" customFormat="1" ht="28.5" customHeight="1" thickBot="1">
      <c r="A58" s="1648" t="s">
        <v>1826</v>
      </c>
      <c r="B58" s="785" t="s">
        <v>657</v>
      </c>
      <c r="C58" s="53" t="e">
        <f ca="1">ROUND(IF(项目基本情况!B11="自然人",C47*F58,C59+C60+C61),1)</f>
        <v>#N/A</v>
      </c>
      <c r="D58" s="3191" t="s">
        <v>658</v>
      </c>
      <c r="E58" s="3190" t="s">
        <v>691</v>
      </c>
      <c r="F58" s="811" t="str">
        <f ca="1">IF(项目基本情况!B11="企业","",IF(INDIRECT("'数据-取费表'!c"&amp;$G$1)="住宅",5%,IF(F48*F49*F50/12/(1+'数据-取费表'!C42)&gt;20000,12%,7%)))</f>
        <v/>
      </c>
      <c r="I58" s="2401" t="s">
        <v>2361</v>
      </c>
      <c r="J58" s="3122" t="e">
        <f ca="1">IF(J55&lt;0.4,0.4,J55)</f>
        <v>#N/A</v>
      </c>
      <c r="K58" s="2380" t="s">
        <v>2366</v>
      </c>
      <c r="L58" s="2389" t="e">
        <f ca="1">ROUND(POWER(1+L52,L47-L48)*(POWER(1+L52,L48)-1)/(POWER(1+L52,L47)-1),4)</f>
        <v>#N/A</v>
      </c>
      <c r="O58" s="2419" t="s">
        <v>2383</v>
      </c>
      <c r="P58" s="2420" t="s">
        <v>2414</v>
      </c>
      <c r="Q58" s="2421" t="e">
        <f ca="1">L60</f>
        <v>#N/A</v>
      </c>
      <c r="R58" s="2424" t="s">
        <v>2416</v>
      </c>
    </row>
    <row r="59" spans="1:18" s="2058" customFormat="1" ht="28.5" customHeight="1" thickBot="1">
      <c r="A59" s="1647" t="s">
        <v>1833</v>
      </c>
      <c r="B59" s="785" t="s">
        <v>661</v>
      </c>
      <c r="C59" s="53" t="e">
        <f ca="1">ROUND(C47*F59/1.05,1)</f>
        <v>#N/A</v>
      </c>
      <c r="D59" s="3190" t="s">
        <v>662</v>
      </c>
      <c r="E59" s="785" t="s">
        <v>650</v>
      </c>
      <c r="F59" s="810">
        <f t="shared" ref="F59:F65" si="0">F32</f>
        <v>5.6000000000000001E-2</v>
      </c>
      <c r="I59" s="2401" t="s">
        <v>2362</v>
      </c>
      <c r="J59" s="2403" t="e">
        <f ca="1">IF(OR(M47="住宅",J51&lt;L48,J56="是"),"——",ROUND(C29*J58,0))</f>
        <v>#N/A</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#N/A</v>
      </c>
      <c r="O59" s="2422" t="s">
        <v>2385</v>
      </c>
      <c r="P59" s="2420" t="s">
        <v>2415</v>
      </c>
      <c r="Q59" s="2421">
        <f>IF(L55="比较法",L49,IF(L55="基准地价",L50,0))</f>
        <v>0</v>
      </c>
      <c r="R59" s="2420" t="s">
        <v>2382</v>
      </c>
    </row>
    <row r="60" spans="1:18" s="2058" customFormat="1" ht="18" customHeight="1" thickBot="1">
      <c r="A60" s="1647" t="s">
        <v>1834</v>
      </c>
      <c r="B60" s="785" t="s">
        <v>665</v>
      </c>
      <c r="C60" s="53" t="e">
        <f ca="1">IF(D60="按租金收入计税",ROUND(C47*F60,1),IF(D60="按房产原值计税",ROUND(C56*F60*0.7,1),INDIRECT("'数据-取费表'!Aj"&amp;$G$1)))</f>
        <v>#N/A</v>
      </c>
      <c r="D60" s="3190" t="str">
        <f>D33</f>
        <v>按房产原值计税</v>
      </c>
      <c r="E60" s="785" t="s">
        <v>650</v>
      </c>
      <c r="F60" s="810">
        <f t="shared" si="0"/>
        <v>1.2E-2</v>
      </c>
      <c r="I60" s="2402" t="s">
        <v>2363</v>
      </c>
      <c r="J60" s="2404" t="e">
        <f ca="1">IF(OR(M47="住宅",J51&lt;L48,J56="是"),"0",ROUND(J59/(1+J52)^J53,0))</f>
        <v>#N/A</v>
      </c>
      <c r="K60" s="2405" t="s">
        <v>2368</v>
      </c>
      <c r="L60" s="2404" t="e">
        <f ca="1">IF(OR(M47="住宅",L48&lt;J51),0,ROUND(L57*(L58/L59-1),0))</f>
        <v>#N/A</v>
      </c>
      <c r="O60" s="2422" t="s">
        <v>2386</v>
      </c>
      <c r="P60" s="2420" t="s">
        <v>2395</v>
      </c>
      <c r="Q60" s="2423">
        <f>L52</f>
        <v>0</v>
      </c>
      <c r="R60" s="2424"/>
    </row>
    <row r="61" spans="1:18" s="2058" customFormat="1" ht="18" customHeight="1" thickBot="1">
      <c r="A61" s="1650" t="s">
        <v>1835</v>
      </c>
      <c r="B61" s="344" t="s">
        <v>669</v>
      </c>
      <c r="C61" s="54" t="e">
        <f ca="1">ROUND(F61*F62/10000,1)</f>
        <v>#N/A</v>
      </c>
      <c r="D61" s="815" t="s">
        <v>670</v>
      </c>
      <c r="E61" s="785" t="s">
        <v>671</v>
      </c>
      <c r="F61" s="641">
        <f t="shared" si="0"/>
        <v>5</v>
      </c>
      <c r="K61" s="2085"/>
      <c r="O61" s="2422" t="s">
        <v>2388</v>
      </c>
      <c r="P61" s="2420" t="s">
        <v>2396</v>
      </c>
      <c r="Q61" s="2421" t="e">
        <f ca="1">L58</f>
        <v>#N/A</v>
      </c>
      <c r="R61" s="2424" t="s">
        <v>2397</v>
      </c>
    </row>
    <row r="62" spans="1:18" s="2058" customFormat="1" ht="15.75" thickBot="1">
      <c r="A62" s="816"/>
      <c r="B62" s="794"/>
      <c r="C62" s="69"/>
      <c r="D62" s="817"/>
      <c r="E62" s="785" t="s">
        <v>675</v>
      </c>
      <c r="F62" s="786" t="e">
        <f t="shared" ca="1" si="0"/>
        <v>#N/A</v>
      </c>
      <c r="I62" s="2406" t="s">
        <v>2369</v>
      </c>
      <c r="J62" s="2407" t="s">
        <v>2370</v>
      </c>
      <c r="K62" s="2407" t="s">
        <v>2371</v>
      </c>
      <c r="L62" s="2407" t="s">
        <v>2352</v>
      </c>
      <c r="M62" s="3123" t="s">
        <v>2933</v>
      </c>
      <c r="O62" s="2422" t="s">
        <v>2390</v>
      </c>
      <c r="P62" s="2420" t="str">
        <f>K59</f>
        <v>建筑物剩余耐用年限下的土地年期修正系数Kn</v>
      </c>
      <c r="Q62" s="2421" t="e">
        <f ca="1">L59</f>
        <v>#N/A</v>
      </c>
      <c r="R62" s="2424" t="s">
        <v>2399</v>
      </c>
    </row>
    <row r="63" spans="1:18" s="2058" customFormat="1" ht="15.75" thickBot="1">
      <c r="A63" s="1648" t="s">
        <v>1891</v>
      </c>
      <c r="B63" s="785" t="s">
        <v>677</v>
      </c>
      <c r="C63" s="53" t="e">
        <f ca="1">ROUND(C56*F63,1)</f>
        <v>#N/A</v>
      </c>
      <c r="D63" s="3190" t="s">
        <v>1805</v>
      </c>
      <c r="E63" s="785" t="s">
        <v>650</v>
      </c>
      <c r="F63" s="818" t="e">
        <f t="shared" ca="1" si="0"/>
        <v>#N/A</v>
      </c>
      <c r="I63" s="2406" t="s">
        <v>2372</v>
      </c>
      <c r="J63" s="2407">
        <v>70</v>
      </c>
      <c r="K63" s="2407">
        <v>50</v>
      </c>
      <c r="L63" s="2407">
        <v>80</v>
      </c>
      <c r="M63" s="3124">
        <v>0.02</v>
      </c>
      <c r="O63" s="2419" t="s">
        <v>2393</v>
      </c>
      <c r="P63" s="2420" t="s">
        <v>2410</v>
      </c>
      <c r="Q63" s="2421" t="e">
        <f ca="1">Q57+Q58</f>
        <v>#N/A</v>
      </c>
      <c r="R63" s="2424" t="s">
        <v>2394</v>
      </c>
    </row>
    <row r="64" spans="1:18" s="2058" customFormat="1" ht="16.5" thickBot="1">
      <c r="A64" s="1648" t="s">
        <v>1892</v>
      </c>
      <c r="B64" s="785" t="s">
        <v>680</v>
      </c>
      <c r="C64" s="53" t="e">
        <f ca="1">ROUND(C55*F64,1)</f>
        <v>#N/A</v>
      </c>
      <c r="D64" s="3190" t="s">
        <v>681</v>
      </c>
      <c r="E64" s="785" t="s">
        <v>650</v>
      </c>
      <c r="F64" s="819" t="e">
        <f t="shared" ca="1" si="0"/>
        <v>#N/A</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t="e">
        <f ca="1">ROUND(C47*F65,1)</f>
        <v>#N/A</v>
      </c>
      <c r="D65" s="3190" t="s">
        <v>684</v>
      </c>
      <c r="E65" s="785" t="s">
        <v>650</v>
      </c>
      <c r="F65" s="795" t="e">
        <f t="shared" ca="1" si="0"/>
        <v>#N/A</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t="e">
        <f ca="1">C47-C57</f>
        <v>#N/A</v>
      </c>
      <c r="D66" s="3191" t="s">
        <v>701</v>
      </c>
      <c r="E66" s="3194"/>
      <c r="F66" s="821"/>
      <c r="K66" s="2085"/>
      <c r="O66" s="2419" t="s">
        <v>2381</v>
      </c>
      <c r="P66" s="2420" t="s">
        <v>2407</v>
      </c>
      <c r="Q66" s="2421" t="e">
        <f ca="1">C40+J29</f>
        <v>#N/A</v>
      </c>
      <c r="R66" s="2420" t="s">
        <v>2382</v>
      </c>
    </row>
    <row r="67" spans="1:18" s="2058" customFormat="1" ht="20.25" thickBot="1">
      <c r="A67" s="782" t="s">
        <v>1782</v>
      </c>
      <c r="B67" s="2231" t="s">
        <v>2302</v>
      </c>
      <c r="C67" s="784" t="e">
        <f ca="1">ROUND(C66*(1-((1+F69)/(1+F67))^F68)/(F67-F69),0)</f>
        <v>#N/A</v>
      </c>
      <c r="D67" s="815" t="s">
        <v>705</v>
      </c>
      <c r="E67" s="785" t="s">
        <v>706</v>
      </c>
      <c r="F67" s="795" t="e">
        <f ca="1">F40</f>
        <v>#N/A</v>
      </c>
      <c r="K67" s="2085"/>
      <c r="O67" s="2419" t="s">
        <v>2383</v>
      </c>
      <c r="P67" s="2420" t="s">
        <v>2414</v>
      </c>
      <c r="Q67" s="2421" t="e">
        <f ca="1">L60</f>
        <v>#N/A</v>
      </c>
      <c r="R67" s="2424" t="s">
        <v>2416</v>
      </c>
    </row>
    <row r="68" spans="1:18" ht="21.75" thickBot="1">
      <c r="A68" s="787"/>
      <c r="B68" s="788"/>
      <c r="C68" s="789"/>
      <c r="D68" s="822" t="s">
        <v>1810</v>
      </c>
      <c r="E68" s="785" t="s">
        <v>1786</v>
      </c>
      <c r="F68" s="823" t="e">
        <f ca="1">F41</f>
        <v>#N/A</v>
      </c>
      <c r="O68" s="2422" t="s">
        <v>2385</v>
      </c>
      <c r="P68" s="2420" t="s">
        <v>2415</v>
      </c>
      <c r="Q68" s="2426" t="e">
        <f ca="1">L51</f>
        <v>#N/A</v>
      </c>
      <c r="R68" s="2427" t="s">
        <v>2418</v>
      </c>
    </row>
    <row r="69" spans="1:18" ht="20.25" thickBot="1">
      <c r="A69" s="791"/>
      <c r="B69" s="792"/>
      <c r="C69" s="793"/>
      <c r="D69" s="817"/>
      <c r="E69" s="785" t="s">
        <v>711</v>
      </c>
      <c r="F69" s="2368"/>
      <c r="O69" s="2422" t="s">
        <v>2386</v>
      </c>
      <c r="P69" s="2428" t="s">
        <v>2400</v>
      </c>
      <c r="Q69" s="2421" t="e">
        <f ca="1">ROUND(Q70-Q71*Q72,0)</f>
        <v>#N/A</v>
      </c>
      <c r="R69" s="2424"/>
    </row>
    <row r="70" spans="1:18" ht="15.75" thickBot="1">
      <c r="A70" s="824" t="s">
        <v>1789</v>
      </c>
      <c r="B70" s="825" t="s">
        <v>1812</v>
      </c>
      <c r="C70" s="826" t="e">
        <f ca="1">ROUND(C67*10000/F70,0)</f>
        <v>#N/A</v>
      </c>
      <c r="D70" s="827" t="s">
        <v>1813</v>
      </c>
      <c r="E70" s="828" t="s">
        <v>1814</v>
      </c>
      <c r="F70" s="829" t="e">
        <f ca="1">F43</f>
        <v>#N/A</v>
      </c>
      <c r="O70" s="2422" t="s">
        <v>2401</v>
      </c>
      <c r="P70" s="2428" t="s">
        <v>2402</v>
      </c>
      <c r="Q70" s="2421" t="e">
        <f ca="1">C39</f>
        <v>#N/A</v>
      </c>
      <c r="R70" s="2420" t="s">
        <v>2382</v>
      </c>
    </row>
    <row r="71" spans="1:18" ht="15.75" thickBot="1">
      <c r="O71" s="2422" t="s">
        <v>2403</v>
      </c>
      <c r="P71" s="2428" t="s">
        <v>2404</v>
      </c>
      <c r="Q71" s="2421" t="e">
        <f ca="1">C13</f>
        <v>#N/A</v>
      </c>
      <c r="R71" s="2420" t="s">
        <v>2382</v>
      </c>
    </row>
    <row r="72" spans="1:18" ht="15.75" thickBot="1">
      <c r="O72" s="2422" t="s">
        <v>2405</v>
      </c>
      <c r="P72" s="2428" t="s">
        <v>2406</v>
      </c>
      <c r="Q72" s="2423" t="e">
        <f ca="1">J36</f>
        <v>#N/A</v>
      </c>
      <c r="R72" s="2424"/>
    </row>
    <row r="73" spans="1:18" ht="15.75" thickBot="1">
      <c r="O73" s="2422" t="s">
        <v>2388</v>
      </c>
      <c r="P73" s="2420" t="s">
        <v>2395</v>
      </c>
      <c r="Q73" s="2423">
        <f>L52</f>
        <v>0</v>
      </c>
      <c r="R73" s="2424"/>
    </row>
    <row r="74" spans="1:18" ht="20.25" thickBot="1">
      <c r="O74" s="2422" t="s">
        <v>2390</v>
      </c>
      <c r="P74" s="2420" t="s">
        <v>2396</v>
      </c>
      <c r="Q74" s="2421" t="e">
        <f ca="1">L58</f>
        <v>#N/A</v>
      </c>
      <c r="R74" s="2424" t="s">
        <v>2397</v>
      </c>
    </row>
    <row r="75" spans="1:18" ht="15.75" thickBot="1">
      <c r="O75" s="2422" t="s">
        <v>2419</v>
      </c>
      <c r="P75" s="2420" t="str">
        <f>K59</f>
        <v>建筑物剩余耐用年限下的土地年期修正系数Kn</v>
      </c>
      <c r="Q75" s="2421" t="e">
        <f ca="1">L59</f>
        <v>#N/A</v>
      </c>
      <c r="R75" s="2424" t="s">
        <v>2399</v>
      </c>
    </row>
    <row r="76" spans="1:18" ht="15.75" thickBot="1">
      <c r="O76" s="2419" t="s">
        <v>2393</v>
      </c>
      <c r="P76" s="2420" t="s">
        <v>2410</v>
      </c>
      <c r="Q76" s="2421" t="e">
        <f ca="1">Q66+Q67</f>
        <v>#N/A</v>
      </c>
      <c r="R76" s="2424"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2:M219"/>
  <sheetViews>
    <sheetView topLeftCell="A216" workbookViewId="0">
      <selection activeCell="N250" sqref="N250"/>
    </sheetView>
  </sheetViews>
  <sheetFormatPr defaultRowHeight="13.5"/>
  <sheetData>
    <row r="2" spans="12:12">
      <c r="L2" s="3169" t="s">
        <v>3059</v>
      </c>
    </row>
    <row r="219" spans="13:13">
      <c r="M219" s="3169" t="s">
        <v>3060</v>
      </c>
    </row>
  </sheetData>
  <phoneticPr fontId="234" type="noConversion"/>
  <hyperlinks>
    <hyperlink ref="L2" r:id="rId1"/>
    <hyperlink ref="M219" r:id="rId2"/>
  </hyperlinks>
  <pageMargins left="0.7" right="0.7" top="0.75" bottom="0.75" header="0.3" footer="0.3"/>
  <pageSetup paperSize="9" scale="49" fitToHeight="0"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1"/>
  <sheetViews>
    <sheetView workbookViewId="0">
      <selection activeCell="M34" sqref="M34"/>
    </sheetView>
  </sheetViews>
  <sheetFormatPr defaultRowHeight="13.5"/>
  <sheetData>
    <row r="31" spans="3:3">
      <c r="C31" s="3196" t="s">
        <v>3264</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2039</v>
      </c>
      <c r="B1" s="3248"/>
      <c r="C1" s="3248"/>
      <c r="D1" s="3248"/>
      <c r="E1" s="3248"/>
      <c r="F1" s="3248"/>
      <c r="G1" s="3248"/>
      <c r="H1" s="3248"/>
      <c r="I1" s="3248"/>
      <c r="J1" s="3248"/>
      <c r="K1" s="3248"/>
      <c r="L1" s="3248"/>
      <c r="M1" s="3248"/>
      <c r="N1" s="3248"/>
      <c r="O1" s="3248"/>
      <c r="P1" s="3248"/>
      <c r="Q1" s="3248"/>
      <c r="R1" s="3248"/>
    </row>
    <row r="2" spans="1:18">
      <c r="A2" s="1807" t="s">
        <v>2041</v>
      </c>
      <c r="B2" s="1807"/>
      <c r="C2" s="1807"/>
      <c r="D2" s="1807"/>
      <c r="E2" s="1807"/>
      <c r="F2" s="1807"/>
      <c r="G2" s="1807"/>
      <c r="H2" s="1807"/>
      <c r="I2" s="1808"/>
      <c r="J2" s="1808"/>
      <c r="K2" s="1809" t="str">
        <f>"估价期日："&amp;TEXT(项目基本情况!D3,"yyyy年m月d日;;")</f>
        <v>估价期日：2017年10月23日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9" t="s">
        <v>2030</v>
      </c>
      <c r="B3" s="3249" t="s">
        <v>2737</v>
      </c>
      <c r="C3" s="3250" t="s">
        <v>2031</v>
      </c>
      <c r="D3" s="3249" t="s">
        <v>2741</v>
      </c>
      <c r="E3" s="3252" t="s">
        <v>2032</v>
      </c>
      <c r="F3" s="3252"/>
      <c r="G3" s="3252"/>
      <c r="H3" s="3252" t="s">
        <v>2033</v>
      </c>
      <c r="I3" s="3252"/>
      <c r="J3" s="3252"/>
      <c r="K3" s="3250" t="s">
        <v>2034</v>
      </c>
      <c r="L3" s="3250" t="s">
        <v>2035</v>
      </c>
      <c r="M3" s="3249" t="s">
        <v>2738</v>
      </c>
      <c r="N3" s="3251" t="str">
        <f>"（分摊）"&amp;项目基本情况!B16&amp;"国有建设用地使用权面积/㎡"</f>
        <v>（分摊）出让国有建设用地使用权面积/㎡</v>
      </c>
      <c r="O3" s="3249" t="s">
        <v>2064</v>
      </c>
      <c r="P3" s="3250" t="s">
        <v>2044</v>
      </c>
      <c r="Q3" s="3250" t="s">
        <v>2065</v>
      </c>
      <c r="R3" s="3250" t="s">
        <v>2036</v>
      </c>
    </row>
    <row r="4" spans="1:18" ht="36.75" customHeight="1">
      <c r="A4" s="3249"/>
      <c r="B4" s="3249"/>
      <c r="C4" s="3250"/>
      <c r="D4" s="3249"/>
      <c r="E4" s="2671" t="s">
        <v>2043</v>
      </c>
      <c r="F4" s="2671" t="s">
        <v>2750</v>
      </c>
      <c r="G4" s="2671" t="s">
        <v>2037</v>
      </c>
      <c r="H4" s="2671" t="s">
        <v>2038</v>
      </c>
      <c r="I4" s="2671" t="s">
        <v>2751</v>
      </c>
      <c r="J4" s="2671" t="s">
        <v>2037</v>
      </c>
      <c r="K4" s="3250"/>
      <c r="L4" s="3250"/>
      <c r="M4" s="3249"/>
      <c r="N4" s="3251"/>
      <c r="O4" s="3249"/>
      <c r="P4" s="3250"/>
      <c r="Q4" s="3250"/>
      <c r="R4" s="3250"/>
    </row>
    <row r="5" spans="1:18" ht="135" customHeight="1">
      <c r="A5" s="1943" t="s">
        <v>2661</v>
      </c>
      <c r="B5" s="2890" t="s">
        <v>2659</v>
      </c>
      <c r="C5" s="2670">
        <v>22</v>
      </c>
      <c r="D5" s="2669" t="s">
        <v>2660</v>
      </c>
      <c r="E5" s="1810" t="str">
        <f>项目基本情况!B12</f>
        <v>城镇住宅用地</v>
      </c>
      <c r="F5" s="2669">
        <v>258</v>
      </c>
      <c r="G5" s="1810" t="str">
        <f>项目基本情况!B13</f>
        <v>住宅</v>
      </c>
      <c r="H5" s="2669">
        <v>1.5</v>
      </c>
      <c r="I5" s="2669">
        <v>1.5</v>
      </c>
      <c r="J5" s="2669">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住宅70年、商业40年</v>
      </c>
      <c r="N5" s="1810">
        <f>项目基本情况!C22</f>
        <v>158684</v>
      </c>
      <c r="O5" s="1810">
        <f>项目基本情况!C21</f>
        <v>457656.17999999993</v>
      </c>
      <c r="P5" s="1810">
        <f ca="1">结果表!E42</f>
        <v>3649</v>
      </c>
      <c r="Q5" s="1810">
        <f ca="1">结果表!D42</f>
        <v>1265</v>
      </c>
      <c r="R5" s="1811">
        <f ca="1">结果表!C42</f>
        <v>57911</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812" t="str">
        <f>结果表!O39</f>
        <v>——</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812">
        <f ca="1">结果表!O40</f>
        <v>57911</v>
      </c>
    </row>
    <row r="8" spans="1:18">
      <c r="A8" s="3253">
        <f>IF(项目基本情况!B9="市场价格","——",项目基本情况!E9)</f>
        <v>0</v>
      </c>
      <c r="B8" s="3254"/>
      <c r="C8" s="3254"/>
      <c r="D8" s="3254"/>
      <c r="E8" s="3254"/>
      <c r="F8" s="3254"/>
      <c r="G8" s="3254"/>
      <c r="H8" s="3254"/>
      <c r="I8" s="3254"/>
      <c r="J8" s="3254"/>
      <c r="K8" s="3254"/>
      <c r="L8" s="3254"/>
      <c r="M8" s="3254"/>
      <c r="N8" s="3254"/>
      <c r="O8" s="3254"/>
      <c r="P8" s="3254"/>
      <c r="Q8" s="325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6" t="s">
        <v>2066</v>
      </c>
      <c r="B1" s="3256"/>
      <c r="C1" s="3256"/>
      <c r="D1" s="3256"/>
    </row>
    <row r="2" spans="1:4" ht="47.25" customHeight="1">
      <c r="A2" s="3260" t="str">
        <f>"1.权利限制："&amp;项目基本情况!L24&amp;"未设定租赁等其他他项权利。"</f>
        <v>1.权利限制：根据估价对象《不动产权证书》复印件、，截至估价期日，估价对象已设定抵押。未设定租赁等其他他项权利。</v>
      </c>
      <c r="B2" s="3260"/>
      <c r="C2" s="3260"/>
      <c r="D2" s="3260"/>
    </row>
    <row r="3" spans="1:4" ht="48" customHeight="1">
      <c r="A3" s="325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6"/>
      <c r="C3" s="3256"/>
      <c r="D3" s="3256"/>
    </row>
    <row r="4" spans="1:4" ht="36.75" customHeight="1">
      <c r="A4" s="3256" t="str">
        <f>"3.估价规划限制条件：详见"&amp;项目基本情况!E21&amp;"。"</f>
        <v>3.估价规划限制条件：详见《总平面规划方案》。</v>
      </c>
      <c r="B4" s="3256"/>
      <c r="C4" s="3256"/>
      <c r="D4" s="3256"/>
    </row>
    <row r="5" spans="1:4">
      <c r="A5" s="3259" t="s">
        <v>2067</v>
      </c>
      <c r="B5" s="3259"/>
      <c r="C5" s="3259"/>
      <c r="D5" s="3259"/>
    </row>
    <row r="6" spans="1:4">
      <c r="A6" s="3256" t="s">
        <v>2045</v>
      </c>
      <c r="B6" s="3256"/>
      <c r="C6" s="3256"/>
      <c r="D6" s="3256"/>
    </row>
    <row r="7" spans="1:4" ht="33" customHeight="1">
      <c r="A7" s="3256" t="s">
        <v>2579</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58"/>
      <c r="C11" s="3258"/>
      <c r="D11" s="3258"/>
    </row>
    <row r="12" spans="1:4" ht="168" customHeight="1">
      <c r="A12" s="3259" t="s">
        <v>2069</v>
      </c>
      <c r="B12" s="3259"/>
      <c r="C12" s="3259"/>
      <c r="D12" s="3259"/>
    </row>
    <row r="13" spans="1:4">
      <c r="A13" s="3257" t="s">
        <v>2752</v>
      </c>
      <c r="B13" s="3257"/>
      <c r="C13" s="3257"/>
      <c r="D13" s="3257"/>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2708</v>
      </c>
      <c r="B17" s="3256"/>
      <c r="C17" s="3256"/>
      <c r="D17" s="3256"/>
    </row>
    <row r="18" spans="1:4">
      <c r="A18" s="3256" t="s">
        <v>2700</v>
      </c>
      <c r="B18" s="3256"/>
      <c r="C18" s="3256"/>
      <c r="D18" s="3256"/>
    </row>
    <row r="19" spans="1:4">
      <c r="A19" s="2891" t="s">
        <v>2701</v>
      </c>
      <c r="B19" s="2891" t="s">
        <v>2702</v>
      </c>
      <c r="C19" s="2891" t="s">
        <v>2703</v>
      </c>
      <c r="D19" s="2891" t="s">
        <v>2704</v>
      </c>
    </row>
    <row r="20" spans="1:4">
      <c r="A20" s="2891" t="str">
        <f>项目基本情况!B4</f>
        <v>欧红伟</v>
      </c>
      <c r="B20" s="2891">
        <f ca="1">项目基本情况!C4</f>
        <v>2000110082</v>
      </c>
      <c r="C20" s="2893"/>
      <c r="D20" s="1800" t="s">
        <v>2709</v>
      </c>
    </row>
    <row r="21" spans="1:4">
      <c r="A21" s="2891" t="str">
        <f>项目基本情况!D4</f>
        <v>梁津</v>
      </c>
      <c r="B21" s="2891">
        <f ca="1">项目基本情况!E4</f>
        <v>96010014</v>
      </c>
      <c r="C21" s="2893"/>
      <c r="D21" s="1800" t="s">
        <v>2710</v>
      </c>
    </row>
    <row r="23" spans="1:4">
      <c r="A23" s="3256" t="s">
        <v>2705</v>
      </c>
      <c r="B23" s="3256"/>
      <c r="C23" s="3256"/>
      <c r="D23" s="3256"/>
    </row>
    <row r="24" spans="1:4">
      <c r="A24" s="2891" t="s">
        <v>2701</v>
      </c>
      <c r="B24" s="2891" t="s">
        <v>2706</v>
      </c>
      <c r="C24" s="2891" t="s">
        <v>2703</v>
      </c>
      <c r="D24" s="2891" t="s">
        <v>2704</v>
      </c>
    </row>
    <row r="25" spans="1:4">
      <c r="A25" s="2894" t="s">
        <v>2707</v>
      </c>
      <c r="B25" s="2891" t="s">
        <v>953</v>
      </c>
      <c r="C25" s="2893"/>
      <c r="D25" s="1800" t="s">
        <v>2710</v>
      </c>
    </row>
    <row r="29" spans="1:4">
      <c r="D29" s="2892" t="s">
        <v>2040</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68" t="s">
        <v>53</v>
      </c>
      <c r="B15" s="3269" t="s">
        <v>847</v>
      </c>
      <c r="C15" s="3265"/>
    </row>
    <row r="16" spans="1:7" ht="14.25">
      <c r="A16" s="3268"/>
      <c r="B16" s="3266" t="s">
        <v>54</v>
      </c>
      <c r="C16" s="1171" t="s">
        <v>53</v>
      </c>
    </row>
    <row r="17" spans="1:3" ht="14.25">
      <c r="A17" s="3268"/>
      <c r="B17" s="3266"/>
      <c r="C17" s="1171" t="s">
        <v>55</v>
      </c>
    </row>
    <row r="18" spans="1:3" ht="14.25">
      <c r="A18" s="3268"/>
      <c r="B18" s="3266"/>
      <c r="C18" s="1171" t="s">
        <v>56</v>
      </c>
    </row>
    <row r="19" spans="1:3" ht="14.25">
      <c r="A19" s="3268"/>
      <c r="B19" s="3264" t="s">
        <v>57</v>
      </c>
      <c r="C19" s="3265"/>
    </row>
    <row r="20" spans="1:3" ht="14.25">
      <c r="A20" s="1172" t="s">
        <v>58</v>
      </c>
      <c r="B20" s="1173"/>
      <c r="C20" s="1174"/>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5" t="s">
        <v>838</v>
      </c>
    </row>
    <row r="25" spans="1:3" ht="14.25">
      <c r="A25" s="3267"/>
      <c r="B25" s="3271"/>
      <c r="C25" s="1175" t="s">
        <v>839</v>
      </c>
    </row>
    <row r="26" spans="1:3" ht="14.25">
      <c r="A26" s="3267"/>
      <c r="B26" s="3271"/>
      <c r="C26" s="1175" t="s">
        <v>840</v>
      </c>
    </row>
    <row r="27" spans="1:3" ht="14.25">
      <c r="A27" s="3267"/>
      <c r="B27" s="3271"/>
      <c r="C27" s="1175" t="s">
        <v>841</v>
      </c>
    </row>
    <row r="28" spans="1:3" ht="14.25">
      <c r="A28" s="3267"/>
      <c r="B28" s="3271"/>
      <c r="C28" s="1175" t="s">
        <v>842</v>
      </c>
    </row>
    <row r="29" spans="1:3" ht="14.25">
      <c r="A29" s="3267"/>
      <c r="B29" s="3271"/>
      <c r="C29" s="1175" t="s">
        <v>843</v>
      </c>
    </row>
    <row r="30" spans="1:3" ht="14.25">
      <c r="A30" s="3267"/>
      <c r="B30" s="3271"/>
      <c r="C30" s="1175" t="s">
        <v>844</v>
      </c>
    </row>
    <row r="31" spans="1:3" ht="14.25">
      <c r="A31" s="3267"/>
      <c r="B31" s="3271"/>
      <c r="C31" s="1175" t="s">
        <v>845</v>
      </c>
    </row>
    <row r="32" spans="1:3" ht="14.25">
      <c r="A32" s="3267"/>
      <c r="B32" s="3271"/>
      <c r="C32" s="1175" t="s">
        <v>1648</v>
      </c>
    </row>
    <row r="33" spans="1:3" ht="14.25">
      <c r="A33" s="3267"/>
      <c r="B33" s="3261" t="s">
        <v>1654</v>
      </c>
      <c r="C33" s="1175" t="s">
        <v>1649</v>
      </c>
    </row>
    <row r="34" spans="1:3" ht="14.25">
      <c r="A34" s="3267"/>
      <c r="B34" s="3262"/>
      <c r="C34" s="1180" t="s">
        <v>1650</v>
      </c>
    </row>
    <row r="35" spans="1:3" ht="14.25">
      <c r="A35" s="3267"/>
      <c r="B35" s="3262"/>
      <c r="C35" s="1181" t="s">
        <v>1651</v>
      </c>
    </row>
    <row r="36" spans="1:3" ht="14.25">
      <c r="A36" s="3267"/>
      <c r="B36" s="3262"/>
      <c r="C36" s="1181" t="s">
        <v>1652</v>
      </c>
    </row>
    <row r="37" spans="1:3" ht="14.25">
      <c r="A37" s="3267"/>
      <c r="B37" s="3263"/>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6">
        <f ca="1">TODAY()</f>
        <v>43039</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8">
        <v>43849</v>
      </c>
      <c r="D4" s="2340" t="s">
        <v>1916</v>
      </c>
      <c r="E4" s="2340">
        <f ca="1">IF(F4&lt;B2,"已过期",96010014)</f>
        <v>96010014</v>
      </c>
      <c r="F4" s="3029">
        <v>47118</v>
      </c>
    </row>
    <row r="5" spans="1:6" ht="20.25" customHeight="1">
      <c r="A5" s="2340" t="s">
        <v>1917</v>
      </c>
      <c r="B5" s="2340">
        <f ca="1">IF(C5&lt;B2,"已过期",1119970074)</f>
        <v>1119970074</v>
      </c>
      <c r="C5" s="3028">
        <v>43849</v>
      </c>
      <c r="D5" s="2340" t="s">
        <v>1917</v>
      </c>
      <c r="E5" s="2340">
        <f ca="1">IF(F5&lt;B2,"已过期",2002110027)</f>
        <v>2002110027</v>
      </c>
      <c r="F5" s="3029">
        <v>46752</v>
      </c>
    </row>
    <row r="6" spans="1:6" ht="20.25" customHeight="1">
      <c r="A6" s="2340" t="s">
        <v>1918</v>
      </c>
      <c r="B6" s="2340">
        <f ca="1">IF(C6&lt;B2,"已过期",1119970111)</f>
        <v>1119970111</v>
      </c>
      <c r="C6" s="3028">
        <v>43849</v>
      </c>
      <c r="D6" s="2340" t="s">
        <v>1918</v>
      </c>
      <c r="E6" s="2340">
        <f ca="1">IF(F6&lt;B2,"已过期",94010078)</f>
        <v>94010078</v>
      </c>
      <c r="F6" s="3029">
        <v>46387</v>
      </c>
    </row>
    <row r="7" spans="1:6" ht="20.25" customHeight="1">
      <c r="A7" s="2340" t="s">
        <v>1919</v>
      </c>
      <c r="B7" s="2340">
        <f ca="1">IF(C7&lt;B2,"已过期",1120050019)</f>
        <v>1120050019</v>
      </c>
      <c r="C7" s="3028">
        <v>43359</v>
      </c>
      <c r="D7" s="2340" t="s">
        <v>1919</v>
      </c>
      <c r="E7" s="2340">
        <f ca="1">IF(F7&lt;B2,"已过期",2002110030)</f>
        <v>2002110030</v>
      </c>
      <c r="F7" s="3029">
        <v>46387</v>
      </c>
    </row>
    <row r="8" spans="1:6" ht="20.25" customHeight="1">
      <c r="A8" s="2340" t="s">
        <v>1920</v>
      </c>
      <c r="B8" s="2340">
        <f ca="1">IF(C8&lt;B2,"已过期",1120000080)</f>
        <v>1120000080</v>
      </c>
      <c r="C8" s="3028">
        <v>43849</v>
      </c>
      <c r="D8" s="2340" t="s">
        <v>1920</v>
      </c>
      <c r="E8" s="2340">
        <f ca="1">IF(F8&lt;B2,"已过期",2000110082)</f>
        <v>2000110082</v>
      </c>
      <c r="F8" s="3029">
        <v>46387</v>
      </c>
    </row>
    <row r="9" spans="1:6" ht="20.25" customHeight="1">
      <c r="A9" s="2340" t="s">
        <v>1921</v>
      </c>
      <c r="B9" s="2340">
        <f ca="1">IF(C9&lt;B2,"已过期",1419970001)</f>
        <v>1419970001</v>
      </c>
      <c r="C9" s="3028">
        <v>43867</v>
      </c>
      <c r="D9" s="2340" t="s">
        <v>1921</v>
      </c>
      <c r="E9" s="2340">
        <f ca="1">IF(F9&lt;B2,"已过期",2002110125)</f>
        <v>2002110125</v>
      </c>
      <c r="F9" s="3029">
        <v>47118</v>
      </c>
    </row>
    <row r="10" spans="1:6" ht="20.25" customHeight="1">
      <c r="A10" s="2340" t="s">
        <v>1922</v>
      </c>
      <c r="B10" s="2340">
        <f ca="1">IF(C10&lt;B2,"已过期",1120060040)</f>
        <v>1120060040</v>
      </c>
      <c r="C10" s="3028">
        <v>43483</v>
      </c>
      <c r="D10" s="2340" t="s">
        <v>1922</v>
      </c>
      <c r="E10" s="2340">
        <f ca="1">IF(F10&lt;B2,"已过期",2004110096)</f>
        <v>2004110096</v>
      </c>
      <c r="F10" s="3029">
        <v>47118</v>
      </c>
    </row>
    <row r="11" spans="1:6" ht="20.25" customHeight="1">
      <c r="A11" s="2340" t="s">
        <v>1923</v>
      </c>
      <c r="B11" s="2340">
        <f ca="1">IF(C11&lt;B2,"已过期",1120100036)</f>
        <v>1120100036</v>
      </c>
      <c r="C11" s="3028">
        <v>43622</v>
      </c>
      <c r="D11" s="2340" t="s">
        <v>1923</v>
      </c>
      <c r="E11" s="2340">
        <f ca="1">IF(F11&lt;B2,"已过期",2010110070)</f>
        <v>2010110070</v>
      </c>
      <c r="F11" s="3029">
        <v>47907</v>
      </c>
    </row>
    <row r="12" spans="1:6" ht="20.25" customHeight="1">
      <c r="A12" s="2340"/>
      <c r="B12" s="2340"/>
      <c r="C12" s="3028"/>
      <c r="D12" s="2340"/>
      <c r="E12" s="2340"/>
      <c r="F12" s="2340"/>
    </row>
    <row r="13" spans="1:6" ht="20.25" customHeight="1">
      <c r="A13" s="2340" t="s">
        <v>1924</v>
      </c>
      <c r="B13" s="2340">
        <f ca="1">IF(C13&lt;B2,"已过期",1120070131)</f>
        <v>1120070131</v>
      </c>
      <c r="C13" s="3028">
        <v>43814</v>
      </c>
      <c r="D13" s="2340" t="s">
        <v>1924</v>
      </c>
      <c r="E13" s="2340">
        <v>2014110011</v>
      </c>
      <c r="F13" s="3029">
        <v>49302</v>
      </c>
    </row>
    <row r="14" spans="1:6" ht="20.25" customHeight="1">
      <c r="A14" s="2340" t="s">
        <v>1925</v>
      </c>
      <c r="B14" s="2340">
        <f ca="1">IF(C14&lt;B2,"已过期",1120130020)</f>
        <v>1120130020</v>
      </c>
      <c r="C14" s="3028">
        <v>43622</v>
      </c>
      <c r="D14" s="2340"/>
      <c r="E14" s="2340"/>
      <c r="F14" s="2340"/>
    </row>
    <row r="15" spans="1:6" ht="20.25" customHeight="1">
      <c r="A15" s="2340" t="s">
        <v>2578</v>
      </c>
      <c r="B15" s="2340">
        <v>1120070085</v>
      </c>
      <c r="C15" s="3028">
        <v>43814</v>
      </c>
      <c r="D15" s="2340" t="s">
        <v>2578</v>
      </c>
      <c r="E15" s="2340">
        <v>2004110128</v>
      </c>
      <c r="F15" s="3029">
        <v>47118</v>
      </c>
    </row>
    <row r="16" spans="1:6" ht="20.25" customHeight="1">
      <c r="A16" s="2340" t="s">
        <v>1926</v>
      </c>
      <c r="B16" s="2340">
        <f ca="1">IF(C16&lt;B2,"已过期",1120140022)</f>
        <v>1120140022</v>
      </c>
      <c r="C16" s="3028">
        <v>44029</v>
      </c>
      <c r="D16" s="2340" t="s">
        <v>1926</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1927</v>
      </c>
      <c r="E21" s="2340">
        <f ca="1">IF(F21&lt;B2,"已过期",2011110090)</f>
        <v>2011110090</v>
      </c>
      <c r="F21" s="3029">
        <v>48302</v>
      </c>
    </row>
    <row r="22" spans="1:7" ht="20.25" customHeight="1">
      <c r="A22" s="2340" t="s">
        <v>1928</v>
      </c>
      <c r="B22" s="2340">
        <f ca="1">IF(C22&lt;B2,"已过期",1120020033)</f>
        <v>1120020033</v>
      </c>
      <c r="C22" s="3028">
        <v>43304</v>
      </c>
      <c r="D22" s="2340" t="s">
        <v>1928</v>
      </c>
      <c r="E22" s="2340">
        <f ca="1">IF(F22&lt;B2,"已过期",2000110137)</f>
        <v>2000110137</v>
      </c>
      <c r="F22" s="3029">
        <v>46387</v>
      </c>
    </row>
    <row r="23" spans="1:7" ht="20.25" customHeight="1">
      <c r="A23" s="2340" t="s">
        <v>1929</v>
      </c>
      <c r="B23" s="2340">
        <f ca="1">IF(C23&lt;B2,"已过期",1120130048)</f>
        <v>1120130048</v>
      </c>
      <c r="C23" s="3028">
        <v>43686</v>
      </c>
      <c r="D23" s="2340"/>
      <c r="E23" s="2340"/>
      <c r="F23" s="2340"/>
    </row>
    <row r="24" spans="1:7" s="2344" customFormat="1" ht="20.25" customHeight="1">
      <c r="A24" s="2342" t="s">
        <v>2054</v>
      </c>
      <c r="B24" s="2342" t="s">
        <v>2054</v>
      </c>
      <c r="C24" s="3028"/>
      <c r="D24" s="3030" t="s">
        <v>2054</v>
      </c>
      <c r="E24" s="2342" t="s">
        <v>2054</v>
      </c>
      <c r="F24" s="2343"/>
    </row>
    <row r="25" spans="1:7" ht="20.25" customHeight="1">
      <c r="A25" s="3272" t="s">
        <v>1930</v>
      </c>
      <c r="B25" s="3272"/>
      <c r="C25" s="3272"/>
      <c r="D25" s="3272"/>
      <c r="E25" s="3272"/>
      <c r="F25" s="3272"/>
      <c r="G25" s="3272"/>
    </row>
    <row r="26" spans="1:7" ht="20.25" customHeight="1">
      <c r="A26" s="3273" t="s">
        <v>1931</v>
      </c>
      <c r="B26" s="3273"/>
      <c r="C26" s="3273"/>
      <c r="D26" s="3273" t="s">
        <v>1932</v>
      </c>
      <c r="E26" s="3273"/>
      <c r="F26" s="3273"/>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2934</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195" priority="71">
      <formula>AND($C24-TODAY()&lt;30,TODAY()&lt;$C24)</formula>
    </cfRule>
  </conditionalFormatting>
  <conditionalFormatting sqref="C28">
    <cfRule type="expression" dxfId="194" priority="70">
      <formula>AND($C28-TODAY()&lt;30,TODAY()&lt;$C28)</formula>
    </cfRule>
  </conditionalFormatting>
  <conditionalFormatting sqref="C28 F4">
    <cfRule type="cellIs" dxfId="193" priority="72" stopIfTrue="1" operator="lessThan">
      <formula>$B$2</formula>
    </cfRule>
  </conditionalFormatting>
  <conditionalFormatting sqref="F5">
    <cfRule type="cellIs" dxfId="192" priority="68" stopIfTrue="1" operator="lessThan">
      <formula>$B$2</formula>
    </cfRule>
  </conditionalFormatting>
  <conditionalFormatting sqref="F6 F8 F10">
    <cfRule type="cellIs" dxfId="191" priority="66" stopIfTrue="1" operator="lessThan">
      <formula>$B$2</formula>
    </cfRule>
  </conditionalFormatting>
  <conditionalFormatting sqref="C24:D24">
    <cfRule type="expression" dxfId="190" priority="64">
      <formula>AND($C24-TODAY()&lt;30,TODAY()&lt;$C24)</formula>
    </cfRule>
  </conditionalFormatting>
  <conditionalFormatting sqref="F7 F9 F11 C24:D24">
    <cfRule type="cellIs" dxfId="189" priority="65" stopIfTrue="1" operator="lessThan">
      <formula>$B$2</formula>
    </cfRule>
  </conditionalFormatting>
  <conditionalFormatting sqref="F16">
    <cfRule type="cellIs" dxfId="188" priority="38" stopIfTrue="1" operator="lessThan">
      <formula>$B$2</formula>
    </cfRule>
  </conditionalFormatting>
  <conditionalFormatting sqref="F18">
    <cfRule type="cellIs" dxfId="187" priority="37" stopIfTrue="1" operator="lessThan">
      <formula>$B$2</formula>
    </cfRule>
  </conditionalFormatting>
  <conditionalFormatting sqref="F22">
    <cfRule type="cellIs" dxfId="186" priority="36" stopIfTrue="1" operator="lessThan">
      <formula>$B$2</formula>
    </cfRule>
  </conditionalFormatting>
  <conditionalFormatting sqref="F21">
    <cfRule type="cellIs" dxfId="185" priority="35" stopIfTrue="1" operator="lessThan">
      <formula>$B$2</formula>
    </cfRule>
  </conditionalFormatting>
  <conditionalFormatting sqref="F17">
    <cfRule type="cellIs" dxfId="184" priority="34" stopIfTrue="1" operator="lessThan">
      <formula>$B$2</formula>
    </cfRule>
  </conditionalFormatting>
  <conditionalFormatting sqref="B4:B14 E4:E14 E16:E23 B16:B23">
    <cfRule type="cellIs" dxfId="183" priority="33" stopIfTrue="1" operator="equal">
      <formula>"已过期"</formula>
    </cfRule>
  </conditionalFormatting>
  <conditionalFormatting sqref="F28">
    <cfRule type="cellIs" dxfId="182" priority="30" stopIfTrue="1" operator="lessThan">
      <formula>$B$2</formula>
    </cfRule>
  </conditionalFormatting>
  <conditionalFormatting sqref="F29">
    <cfRule type="cellIs" dxfId="181" priority="28" stopIfTrue="1" operator="lessThan">
      <formula>$B$2</formula>
    </cfRule>
  </conditionalFormatting>
  <conditionalFormatting sqref="F28">
    <cfRule type="expression" dxfId="180" priority="74">
      <formula>AND($E28-TODAY()&lt;30,TODAY()&lt;$E28)</formula>
    </cfRule>
  </conditionalFormatting>
  <conditionalFormatting sqref="F29">
    <cfRule type="expression" dxfId="179" priority="75" stopIfTrue="1">
      <formula>AND($E29-TODAY()&lt;30,TODAY()&lt;$E29)</formula>
    </cfRule>
  </conditionalFormatting>
  <conditionalFormatting sqref="C5">
    <cfRule type="expression" dxfId="178" priority="25">
      <formula>AND($C5-TODAY()&lt;30,TODAY()&lt;$C5)</formula>
    </cfRule>
  </conditionalFormatting>
  <conditionalFormatting sqref="C5">
    <cfRule type="cellIs" dxfId="177" priority="26" stopIfTrue="1" operator="lessThan">
      <formula>$B$2</formula>
    </cfRule>
  </conditionalFormatting>
  <conditionalFormatting sqref="C4:C6">
    <cfRule type="expression" dxfId="176" priority="23">
      <formula>AND($C4-TODAY()&lt;30,TODAY()&lt;$C4)</formula>
    </cfRule>
  </conditionalFormatting>
  <conditionalFormatting sqref="C4:C6">
    <cfRule type="cellIs" dxfId="175" priority="24" stopIfTrue="1" operator="lessThan">
      <formula>$B$2</formula>
    </cfRule>
  </conditionalFormatting>
  <conditionalFormatting sqref="C8:C9">
    <cfRule type="expression" dxfId="174" priority="21">
      <formula>AND($C8-TODAY()&lt;30,TODAY()&lt;$C8)</formula>
    </cfRule>
  </conditionalFormatting>
  <conditionalFormatting sqref="C8:C9">
    <cfRule type="cellIs" dxfId="173" priority="22" stopIfTrue="1" operator="lessThan">
      <formula>$B$2</formula>
    </cfRule>
  </conditionalFormatting>
  <conditionalFormatting sqref="B15 E15">
    <cfRule type="cellIs" dxfId="172" priority="9" stopIfTrue="1" operator="equal">
      <formula>"已过期"</formula>
    </cfRule>
  </conditionalFormatting>
  <conditionalFormatting sqref="F15">
    <cfRule type="cellIs" dxfId="171" priority="6" stopIfTrue="1" operator="lessThan">
      <formula>$B$2</formula>
    </cfRule>
  </conditionalFormatting>
  <conditionalFormatting sqref="C7">
    <cfRule type="expression" dxfId="170" priority="4">
      <formula>AND($C7-TODAY()&lt;30,TODAY()&lt;$C7)</formula>
    </cfRule>
  </conditionalFormatting>
  <conditionalFormatting sqref="C7">
    <cfRule type="cellIs" dxfId="169" priority="5" stopIfTrue="1" operator="lessThan">
      <formula>$B$2</formula>
    </cfRule>
  </conditionalFormatting>
  <conditionalFormatting sqref="C10:C23">
    <cfRule type="expression" dxfId="168" priority="2">
      <formula>AND($C10-TODAY()&lt;30,TODAY()&lt;$C10)</formula>
    </cfRule>
  </conditionalFormatting>
  <conditionalFormatting sqref="C10:C23">
    <cfRule type="cellIs" dxfId="167" priority="3" stopIfTrue="1" operator="lessThan">
      <formula>$B$2</formula>
    </cfRule>
  </conditionalFormatting>
  <conditionalFormatting sqref="F13">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9" workbookViewId="0">
      <selection activeCell="H31" sqref="H31:H32"/>
    </sheetView>
  </sheetViews>
  <sheetFormatPr defaultRowHeight="13.5"/>
  <cols>
    <col min="1" max="1" width="9" style="3196"/>
    <col min="2" max="2" width="16.125" style="3196" customWidth="1"/>
    <col min="3" max="3" width="16.125" style="3232" customWidth="1"/>
    <col min="4" max="4" width="9" style="3196"/>
    <col min="5" max="5" width="12.75" style="3233" bestFit="1" customWidth="1"/>
    <col min="6" max="16384" width="9" style="3196"/>
  </cols>
  <sheetData>
    <row r="1" spans="1:16">
      <c r="A1" s="3223" t="s">
        <v>3277</v>
      </c>
      <c r="B1" s="3224" t="s">
        <v>3278</v>
      </c>
      <c r="C1" s="3225" t="s">
        <v>3279</v>
      </c>
      <c r="D1" s="3224" t="s">
        <v>3280</v>
      </c>
      <c r="E1" s="3226" t="s">
        <v>3281</v>
      </c>
      <c r="F1" s="3227" t="s">
        <v>3282</v>
      </c>
    </row>
    <row r="2" spans="1:16">
      <c r="A2" s="3223">
        <v>1</v>
      </c>
      <c r="B2" s="3275" t="s">
        <v>3283</v>
      </c>
      <c r="C2" s="3228" t="s">
        <v>3284</v>
      </c>
      <c r="D2" s="3276">
        <f ca="1">结果表!C34</f>
        <v>3649</v>
      </c>
      <c r="E2" s="3226">
        <v>117826</v>
      </c>
      <c r="F2" s="3227">
        <f ca="1">ROUND(E2*$D$2/10000,0)</f>
        <v>42995</v>
      </c>
    </row>
    <row r="3" spans="1:16">
      <c r="A3" s="3223">
        <v>2</v>
      </c>
      <c r="B3" s="3275"/>
      <c r="C3" s="3228" t="s">
        <v>3285</v>
      </c>
      <c r="D3" s="3276"/>
      <c r="E3" s="3226">
        <v>40858</v>
      </c>
      <c r="F3" s="3227">
        <f t="shared" ref="F3:F39" ca="1" si="0">ROUND(E3*$D$2/10000,0)</f>
        <v>14909</v>
      </c>
      <c r="H3" s="3229"/>
      <c r="I3" s="3229"/>
      <c r="J3" s="3229"/>
      <c r="K3" s="3229"/>
      <c r="L3" s="3229"/>
      <c r="M3" s="3229"/>
      <c r="N3" s="3229"/>
      <c r="O3" s="3229"/>
      <c r="P3" s="3229"/>
    </row>
    <row r="4" spans="1:16">
      <c r="A4" s="3223">
        <v>3</v>
      </c>
      <c r="B4" s="3275" t="s">
        <v>3286</v>
      </c>
      <c r="C4" s="3228" t="s">
        <v>3287</v>
      </c>
      <c r="D4" s="3276"/>
      <c r="E4" s="3226">
        <v>21294</v>
      </c>
      <c r="F4" s="3227">
        <f t="shared" ca="1" si="0"/>
        <v>7770</v>
      </c>
      <c r="H4" s="3229"/>
      <c r="I4" s="3230"/>
      <c r="J4" s="3230"/>
      <c r="K4" s="3229"/>
      <c r="L4" s="3229"/>
      <c r="M4" s="3229"/>
      <c r="N4" s="3229"/>
      <c r="O4" s="3229"/>
      <c r="P4" s="3229"/>
    </row>
    <row r="5" spans="1:16">
      <c r="A5" s="3223">
        <v>4</v>
      </c>
      <c r="B5" s="3275"/>
      <c r="C5" s="3228" t="s">
        <v>3288</v>
      </c>
      <c r="D5" s="3276"/>
      <c r="E5" s="3226">
        <v>56700</v>
      </c>
      <c r="F5" s="3227">
        <f t="shared" ca="1" si="0"/>
        <v>20690</v>
      </c>
      <c r="H5" s="3229"/>
      <c r="I5" s="3229"/>
      <c r="J5" s="3229"/>
      <c r="K5" s="3229"/>
      <c r="L5" s="3229"/>
      <c r="M5" s="3229"/>
      <c r="N5" s="3229"/>
      <c r="O5" s="3229"/>
      <c r="P5" s="3229"/>
    </row>
    <row r="6" spans="1:16">
      <c r="A6" s="3223">
        <v>5</v>
      </c>
      <c r="B6" s="3275"/>
      <c r="C6" s="3228" t="s">
        <v>3289</v>
      </c>
      <c r="D6" s="3276"/>
      <c r="E6" s="3226">
        <v>39507</v>
      </c>
      <c r="F6" s="3227">
        <f t="shared" ca="1" si="0"/>
        <v>14416</v>
      </c>
      <c r="H6" s="3229"/>
      <c r="I6" s="3229"/>
      <c r="J6" s="3229"/>
      <c r="K6" s="3229"/>
      <c r="L6" s="3229"/>
      <c r="M6" s="3229"/>
      <c r="N6" s="3229"/>
      <c r="O6" s="3229"/>
      <c r="P6" s="3229"/>
    </row>
    <row r="7" spans="1:16">
      <c r="A7" s="3223">
        <v>6</v>
      </c>
      <c r="B7" s="3275" t="s">
        <v>3290</v>
      </c>
      <c r="C7" s="3228" t="s">
        <v>3291</v>
      </c>
      <c r="D7" s="3276"/>
      <c r="E7" s="3226">
        <v>84029</v>
      </c>
      <c r="F7" s="3227">
        <f t="shared" ca="1" si="0"/>
        <v>30662</v>
      </c>
      <c r="H7" s="3229"/>
      <c r="I7" s="3229"/>
      <c r="J7" s="3229"/>
      <c r="K7" s="3229"/>
      <c r="L7" s="3229"/>
      <c r="M7" s="3229"/>
      <c r="N7" s="3229"/>
      <c r="O7" s="3229"/>
      <c r="P7" s="3229"/>
    </row>
    <row r="8" spans="1:16">
      <c r="A8" s="3223">
        <v>7</v>
      </c>
      <c r="B8" s="3275"/>
      <c r="C8" s="3228" t="s">
        <v>3292</v>
      </c>
      <c r="D8" s="3276"/>
      <c r="E8" s="3226">
        <v>54253.1</v>
      </c>
      <c r="F8" s="3227">
        <f t="shared" ca="1" si="0"/>
        <v>19797</v>
      </c>
      <c r="H8" s="3229"/>
      <c r="I8" s="3229"/>
      <c r="J8" s="3229"/>
      <c r="K8" s="3229"/>
      <c r="L8" s="3229"/>
      <c r="M8" s="3229"/>
      <c r="N8" s="3229"/>
      <c r="O8" s="3229"/>
      <c r="P8" s="3229"/>
    </row>
    <row r="9" spans="1:16">
      <c r="A9" s="3223">
        <v>8</v>
      </c>
      <c r="B9" s="3275"/>
      <c r="C9" s="3228" t="s">
        <v>3293</v>
      </c>
      <c r="D9" s="3276"/>
      <c r="E9" s="3226">
        <v>39095.9</v>
      </c>
      <c r="F9" s="3227">
        <f t="shared" ca="1" si="0"/>
        <v>14266</v>
      </c>
      <c r="H9" s="3229"/>
      <c r="I9" s="3230"/>
      <c r="J9" s="3230"/>
      <c r="K9" s="3230"/>
      <c r="L9" s="3230"/>
      <c r="M9" s="3230"/>
      <c r="N9" s="3230"/>
      <c r="O9" s="3229"/>
      <c r="P9" s="3229"/>
    </row>
    <row r="10" spans="1:16">
      <c r="A10" s="3223">
        <v>9</v>
      </c>
      <c r="B10" s="3275" t="s">
        <v>3294</v>
      </c>
      <c r="C10" s="3228" t="s">
        <v>3295</v>
      </c>
      <c r="D10" s="3276"/>
      <c r="E10" s="3226">
        <v>85895.5</v>
      </c>
      <c r="F10" s="3227">
        <f t="shared" ca="1" si="0"/>
        <v>31343</v>
      </c>
      <c r="H10" s="3229"/>
      <c r="I10" s="3229"/>
      <c r="J10" s="3229"/>
      <c r="K10" s="3229"/>
      <c r="L10" s="3229"/>
      <c r="M10" s="3229"/>
      <c r="N10" s="3229"/>
      <c r="O10" s="3229"/>
      <c r="P10" s="3229"/>
    </row>
    <row r="11" spans="1:16">
      <c r="A11" s="3223">
        <v>10</v>
      </c>
      <c r="B11" s="3275"/>
      <c r="C11" s="3228" t="s">
        <v>3296</v>
      </c>
      <c r="D11" s="3276"/>
      <c r="E11" s="3226">
        <v>844.5</v>
      </c>
      <c r="F11" s="3227">
        <f t="shared" ca="1" si="0"/>
        <v>308</v>
      </c>
      <c r="H11" s="3229"/>
      <c r="I11" s="3229"/>
      <c r="J11" s="3229"/>
      <c r="K11" s="3229"/>
      <c r="L11" s="3229"/>
      <c r="M11" s="3229"/>
      <c r="N11" s="3229"/>
      <c r="O11" s="3229"/>
      <c r="P11" s="3229"/>
    </row>
    <row r="12" spans="1:16">
      <c r="A12" s="3223">
        <v>11</v>
      </c>
      <c r="B12" s="1557" t="s">
        <v>3297</v>
      </c>
      <c r="C12" s="3228" t="s">
        <v>3298</v>
      </c>
      <c r="D12" s="3276"/>
      <c r="E12" s="3226">
        <v>76655</v>
      </c>
      <c r="F12" s="3227">
        <f t="shared" ca="1" si="0"/>
        <v>27971</v>
      </c>
      <c r="H12" s="3229"/>
      <c r="I12" s="3229"/>
      <c r="J12" s="3229"/>
      <c r="K12" s="3229"/>
      <c r="L12" s="3229"/>
      <c r="M12" s="3229"/>
      <c r="N12" s="3229"/>
      <c r="O12" s="3229"/>
      <c r="P12" s="3229"/>
    </row>
    <row r="13" spans="1:16">
      <c r="A13" s="3223">
        <v>12</v>
      </c>
      <c r="B13" s="1557" t="s">
        <v>3299</v>
      </c>
      <c r="C13" s="3228" t="s">
        <v>3300</v>
      </c>
      <c r="D13" s="3276"/>
      <c r="E13" s="3226">
        <v>163026</v>
      </c>
      <c r="F13" s="3227">
        <f t="shared" ca="1" si="0"/>
        <v>59488</v>
      </c>
      <c r="H13" s="3229"/>
      <c r="I13" s="3229"/>
      <c r="J13" s="3229"/>
      <c r="K13" s="3229"/>
      <c r="L13" s="3229"/>
      <c r="M13" s="3229"/>
      <c r="N13" s="3229"/>
      <c r="O13" s="3229"/>
      <c r="P13" s="3229"/>
    </row>
    <row r="14" spans="1:16">
      <c r="A14" s="3223">
        <v>13</v>
      </c>
      <c r="B14" s="1557" t="s">
        <v>3301</v>
      </c>
      <c r="C14" s="3228" t="s">
        <v>3302</v>
      </c>
      <c r="D14" s="3276"/>
      <c r="E14" s="3226">
        <v>102374</v>
      </c>
      <c r="F14" s="3227">
        <f t="shared" ca="1" si="0"/>
        <v>37356</v>
      </c>
      <c r="H14" s="3229"/>
      <c r="I14" s="3229"/>
      <c r="J14" s="3229"/>
      <c r="K14" s="3229"/>
      <c r="L14" s="3229"/>
      <c r="M14" s="3229"/>
      <c r="N14" s="3229"/>
      <c r="O14" s="3229"/>
      <c r="P14" s="3229"/>
    </row>
    <row r="15" spans="1:16" s="3231" customFormat="1">
      <c r="A15" s="3223">
        <v>14</v>
      </c>
      <c r="B15" s="1557" t="s">
        <v>3303</v>
      </c>
      <c r="C15" s="3228" t="s">
        <v>3304</v>
      </c>
      <c r="D15" s="3276"/>
      <c r="E15" s="3226">
        <v>46518.1</v>
      </c>
      <c r="F15" s="3224">
        <f t="shared" ca="1" si="0"/>
        <v>16974</v>
      </c>
      <c r="H15" s="3220"/>
      <c r="I15" s="3220"/>
      <c r="J15" s="3220"/>
      <c r="K15" s="3220"/>
      <c r="L15" s="3220"/>
      <c r="M15" s="3220"/>
      <c r="N15" s="3220"/>
      <c r="O15" s="3220"/>
      <c r="P15" s="3220"/>
    </row>
    <row r="16" spans="1:16" s="3231" customFormat="1">
      <c r="A16" s="3223">
        <v>15</v>
      </c>
      <c r="B16" s="1557" t="s">
        <v>3305</v>
      </c>
      <c r="C16" s="3228" t="s">
        <v>3304</v>
      </c>
      <c r="D16" s="3276"/>
      <c r="E16" s="3226">
        <v>87203.83</v>
      </c>
      <c r="F16" s="3224">
        <f t="shared" ca="1" si="0"/>
        <v>31821</v>
      </c>
      <c r="H16" s="3220"/>
      <c r="I16" s="3220"/>
      <c r="J16" s="3220"/>
      <c r="K16" s="3220"/>
      <c r="L16" s="3220"/>
      <c r="M16" s="3220"/>
      <c r="N16" s="3220"/>
      <c r="O16" s="3220"/>
      <c r="P16" s="3220"/>
    </row>
    <row r="17" spans="1:16" s="3231" customFormat="1">
      <c r="A17" s="3223">
        <v>16</v>
      </c>
      <c r="B17" s="1557" t="s">
        <v>3306</v>
      </c>
      <c r="C17" s="3228" t="s">
        <v>3304</v>
      </c>
      <c r="D17" s="3276"/>
      <c r="E17" s="3226">
        <v>149271.76</v>
      </c>
      <c r="F17" s="3224">
        <f t="shared" ca="1" si="0"/>
        <v>54469</v>
      </c>
      <c r="H17" s="3220"/>
      <c r="I17" s="3220"/>
      <c r="J17" s="3220"/>
      <c r="K17" s="3220"/>
      <c r="L17" s="3220"/>
      <c r="M17" s="3220"/>
      <c r="N17" s="3220"/>
      <c r="O17" s="3220"/>
      <c r="P17" s="3220"/>
    </row>
    <row r="18" spans="1:16" s="3231" customFormat="1">
      <c r="A18" s="3223">
        <v>17</v>
      </c>
      <c r="B18" s="1557" t="s">
        <v>3307</v>
      </c>
      <c r="C18" s="3228" t="s">
        <v>3304</v>
      </c>
      <c r="D18" s="3276"/>
      <c r="E18" s="3226">
        <v>166529.57999999999</v>
      </c>
      <c r="F18" s="3224">
        <f t="shared" ref="F18" ca="1" si="1">ROUND(E18*$D$2/10000,0)</f>
        <v>60767</v>
      </c>
      <c r="H18" s="3220"/>
      <c r="I18" s="3220"/>
      <c r="J18" s="3220"/>
      <c r="K18" s="3220"/>
      <c r="L18" s="3220"/>
      <c r="M18" s="3220"/>
      <c r="N18" s="3220"/>
      <c r="O18" s="3220"/>
      <c r="P18" s="3220"/>
    </row>
    <row r="19" spans="1:16" s="3231" customFormat="1">
      <c r="A19" s="3223">
        <v>18</v>
      </c>
      <c r="B19" s="1557" t="s">
        <v>3308</v>
      </c>
      <c r="C19" s="3228" t="s">
        <v>3304</v>
      </c>
      <c r="D19" s="3276"/>
      <c r="E19" s="3226">
        <v>117482.68</v>
      </c>
      <c r="F19" s="3224">
        <f t="shared" ca="1" si="0"/>
        <v>42869</v>
      </c>
      <c r="H19" s="3220"/>
      <c r="I19" s="3220"/>
      <c r="J19" s="3220"/>
      <c r="K19" s="3220"/>
      <c r="L19" s="3220"/>
      <c r="M19" s="3220"/>
      <c r="N19" s="3220"/>
      <c r="O19" s="3220"/>
      <c r="P19" s="3220"/>
    </row>
    <row r="20" spans="1:16">
      <c r="A20" s="3223">
        <v>19</v>
      </c>
      <c r="B20" s="3224" t="s">
        <v>3309</v>
      </c>
      <c r="C20" s="3228" t="s">
        <v>3304</v>
      </c>
      <c r="D20" s="3276"/>
      <c r="E20" s="3226">
        <v>130818.72</v>
      </c>
      <c r="F20" s="3227">
        <f t="shared" ca="1" si="0"/>
        <v>47736</v>
      </c>
      <c r="H20" s="3229"/>
      <c r="I20" s="3229"/>
      <c r="J20" s="3229"/>
      <c r="K20" s="3229"/>
      <c r="L20" s="3229"/>
      <c r="M20" s="3229"/>
      <c r="N20" s="3229"/>
      <c r="O20" s="3229"/>
      <c r="P20" s="3229"/>
    </row>
    <row r="21" spans="1:16">
      <c r="A21" s="3223">
        <v>20</v>
      </c>
      <c r="B21" s="1557" t="s">
        <v>3310</v>
      </c>
      <c r="C21" s="3228" t="s">
        <v>3304</v>
      </c>
      <c r="D21" s="3276"/>
      <c r="E21" s="3226">
        <v>24103.78</v>
      </c>
      <c r="F21" s="3227">
        <f t="shared" ca="1" si="0"/>
        <v>8795</v>
      </c>
      <c r="H21" s="3229"/>
      <c r="I21" s="3229"/>
      <c r="J21" s="3229"/>
      <c r="K21" s="3229"/>
      <c r="L21" s="3229"/>
      <c r="M21" s="3229"/>
      <c r="N21" s="3229"/>
      <c r="O21" s="3229"/>
      <c r="P21" s="3229"/>
    </row>
    <row r="22" spans="1:16">
      <c r="A22" s="3223">
        <v>21</v>
      </c>
      <c r="B22" s="3224" t="s">
        <v>3268</v>
      </c>
      <c r="C22" s="3228" t="s">
        <v>3304</v>
      </c>
      <c r="D22" s="3276"/>
      <c r="E22" s="3226">
        <v>56585.97</v>
      </c>
      <c r="F22" s="3227">
        <f t="shared" ca="1" si="0"/>
        <v>20648</v>
      </c>
    </row>
    <row r="23" spans="1:16" s="3242" customFormat="1">
      <c r="A23" s="3549">
        <v>22</v>
      </c>
      <c r="B23" s="3550" t="s">
        <v>3311</v>
      </c>
      <c r="C23" s="3551" t="s">
        <v>3304</v>
      </c>
      <c r="D23" s="3276"/>
      <c r="E23" s="3552">
        <f>结果表2!E23</f>
        <v>47887.929999999993</v>
      </c>
      <c r="F23" s="3548">
        <f t="shared" ca="1" si="0"/>
        <v>17474</v>
      </c>
    </row>
    <row r="24" spans="1:16">
      <c r="A24" s="3223">
        <v>23</v>
      </c>
      <c r="B24" s="3224" t="s">
        <v>3269</v>
      </c>
      <c r="C24" s="3228" t="s">
        <v>3304</v>
      </c>
      <c r="D24" s="3276"/>
      <c r="E24" s="3226">
        <v>35713.9</v>
      </c>
      <c r="F24" s="3227">
        <f t="shared" ca="1" si="0"/>
        <v>13032</v>
      </c>
    </row>
    <row r="25" spans="1:16" s="3242" customFormat="1">
      <c r="A25" s="3549">
        <v>24</v>
      </c>
      <c r="B25" s="3550" t="s">
        <v>3312</v>
      </c>
      <c r="C25" s="3551" t="s">
        <v>3304</v>
      </c>
      <c r="D25" s="3276"/>
      <c r="E25" s="3552">
        <f>结果表2!E25</f>
        <v>60536.165099999991</v>
      </c>
      <c r="F25" s="3548">
        <f t="shared" ca="1" si="0"/>
        <v>22090</v>
      </c>
    </row>
    <row r="26" spans="1:16">
      <c r="A26" s="3223">
        <v>25</v>
      </c>
      <c r="B26" s="3224" t="s">
        <v>3270</v>
      </c>
      <c r="C26" s="3228" t="s">
        <v>3304</v>
      </c>
      <c r="D26" s="3276"/>
      <c r="E26" s="3226">
        <v>18811.72</v>
      </c>
      <c r="F26" s="3227">
        <f t="shared" ca="1" si="0"/>
        <v>6864</v>
      </c>
    </row>
    <row r="27" spans="1:16">
      <c r="A27" s="3223">
        <v>26</v>
      </c>
      <c r="B27" s="1557" t="s">
        <v>3313</v>
      </c>
      <c r="C27" s="3228" t="s">
        <v>3304</v>
      </c>
      <c r="D27" s="3276"/>
      <c r="E27" s="3226">
        <v>60548.87</v>
      </c>
      <c r="F27" s="3227">
        <f t="shared" ca="1" si="0"/>
        <v>22094</v>
      </c>
    </row>
    <row r="28" spans="1:16">
      <c r="A28" s="3223">
        <v>27</v>
      </c>
      <c r="B28" s="3224" t="s">
        <v>3271</v>
      </c>
      <c r="C28" s="3228" t="s">
        <v>3304</v>
      </c>
      <c r="D28" s="3276"/>
      <c r="E28" s="3226">
        <v>142472.78</v>
      </c>
      <c r="F28" s="3227">
        <f t="shared" ca="1" si="0"/>
        <v>51988</v>
      </c>
    </row>
    <row r="29" spans="1:16">
      <c r="A29" s="3223">
        <v>28</v>
      </c>
      <c r="B29" s="1557" t="s">
        <v>3314</v>
      </c>
      <c r="C29" s="3228" t="s">
        <v>3304</v>
      </c>
      <c r="D29" s="3276"/>
      <c r="E29" s="3226">
        <v>149530.99</v>
      </c>
      <c r="F29" s="3227">
        <f t="shared" ca="1" si="0"/>
        <v>54564</v>
      </c>
    </row>
    <row r="30" spans="1:16">
      <c r="A30" s="3223">
        <v>29</v>
      </c>
      <c r="B30" s="3224" t="s">
        <v>3272</v>
      </c>
      <c r="C30" s="3228" t="s">
        <v>3304</v>
      </c>
      <c r="D30" s="3276"/>
      <c r="E30" s="3226">
        <v>91779.91</v>
      </c>
      <c r="F30" s="3227">
        <f t="shared" ca="1" si="0"/>
        <v>33490</v>
      </c>
    </row>
    <row r="31" spans="1:16">
      <c r="A31" s="3223">
        <v>30</v>
      </c>
      <c r="B31" s="1557" t="s">
        <v>3315</v>
      </c>
      <c r="C31" s="3228" t="s">
        <v>3304</v>
      </c>
      <c r="D31" s="3276"/>
      <c r="E31" s="3226">
        <v>66845.759999999995</v>
      </c>
      <c r="F31" s="3227">
        <f t="shared" ca="1" si="0"/>
        <v>24392</v>
      </c>
    </row>
    <row r="32" spans="1:16">
      <c r="A32" s="3223">
        <v>31</v>
      </c>
      <c r="B32" s="3224" t="s">
        <v>3273</v>
      </c>
      <c r="C32" s="3228" t="s">
        <v>3304</v>
      </c>
      <c r="D32" s="3276"/>
      <c r="E32" s="3226">
        <v>22225.41</v>
      </c>
      <c r="F32" s="3227">
        <f t="shared" ca="1" si="0"/>
        <v>8110</v>
      </c>
    </row>
    <row r="33" spans="1:6">
      <c r="A33" s="3223">
        <v>32</v>
      </c>
      <c r="B33" s="1557" t="s">
        <v>3316</v>
      </c>
      <c r="C33" s="3228" t="s">
        <v>3304</v>
      </c>
      <c r="D33" s="3276"/>
      <c r="E33" s="3226">
        <v>15178.47</v>
      </c>
      <c r="F33" s="3227">
        <f t="shared" ca="1" si="0"/>
        <v>5539</v>
      </c>
    </row>
    <row r="34" spans="1:6">
      <c r="A34" s="3223">
        <v>33</v>
      </c>
      <c r="B34" s="3224" t="s">
        <v>3274</v>
      </c>
      <c r="C34" s="3228" t="s">
        <v>3304</v>
      </c>
      <c r="D34" s="3276"/>
      <c r="E34" s="3226">
        <v>110691.74</v>
      </c>
      <c r="F34" s="3227">
        <f t="shared" ca="1" si="0"/>
        <v>40391</v>
      </c>
    </row>
    <row r="35" spans="1:6">
      <c r="A35" s="3223">
        <v>34</v>
      </c>
      <c r="B35" s="1557" t="s">
        <v>3317</v>
      </c>
      <c r="C35" s="3228" t="s">
        <v>3304</v>
      </c>
      <c r="D35" s="3276"/>
      <c r="E35" s="3226">
        <v>63908.59</v>
      </c>
      <c r="F35" s="3227">
        <f t="shared" ca="1" si="0"/>
        <v>23320</v>
      </c>
    </row>
    <row r="36" spans="1:6">
      <c r="A36" s="3223">
        <v>35</v>
      </c>
      <c r="B36" s="3224" t="s">
        <v>3275</v>
      </c>
      <c r="C36" s="3228" t="s">
        <v>3304</v>
      </c>
      <c r="D36" s="3276"/>
      <c r="E36" s="3226">
        <v>95290.4</v>
      </c>
      <c r="F36" s="3227">
        <f t="shared" ca="1" si="0"/>
        <v>34771</v>
      </c>
    </row>
    <row r="37" spans="1:6">
      <c r="A37" s="3223">
        <v>36</v>
      </c>
      <c r="B37" s="1557" t="s">
        <v>3318</v>
      </c>
      <c r="C37" s="3228" t="s">
        <v>3304</v>
      </c>
      <c r="D37" s="3276"/>
      <c r="E37" s="3226">
        <v>21230.46</v>
      </c>
      <c r="F37" s="3227">
        <f t="shared" ca="1" si="0"/>
        <v>7747</v>
      </c>
    </row>
    <row r="38" spans="1:6">
      <c r="A38" s="3223">
        <v>37</v>
      </c>
      <c r="B38" s="3224" t="s">
        <v>3276</v>
      </c>
      <c r="C38" s="3228" t="s">
        <v>3304</v>
      </c>
      <c r="D38" s="3276"/>
      <c r="E38" s="3226">
        <v>22416.85</v>
      </c>
      <c r="F38" s="3227">
        <f t="shared" ca="1" si="0"/>
        <v>8180</v>
      </c>
    </row>
    <row r="39" spans="1:6">
      <c r="A39" s="3223">
        <v>38</v>
      </c>
      <c r="B39" s="1557" t="s">
        <v>3319</v>
      </c>
      <c r="C39" s="3228" t="s">
        <v>3304</v>
      </c>
      <c r="D39" s="3276"/>
      <c r="E39" s="3226">
        <v>62545.01</v>
      </c>
      <c r="F39" s="3227">
        <f t="shared" ca="1" si="0"/>
        <v>22823</v>
      </c>
    </row>
    <row r="40" spans="1:6">
      <c r="A40" s="3274" t="s">
        <v>3320</v>
      </c>
      <c r="B40" s="3274"/>
      <c r="C40" s="3274"/>
      <c r="D40" s="3274"/>
      <c r="E40" s="3226">
        <f>SUM(E2:E39)</f>
        <v>2748487.3751000003</v>
      </c>
      <c r="F40" s="3224">
        <f ca="1">SUM(F2:F39)</f>
        <v>1002919</v>
      </c>
    </row>
    <row r="41" spans="1:6">
      <c r="F41" s="3234"/>
    </row>
    <row r="44" spans="1:6">
      <c r="D44" s="3220"/>
    </row>
    <row r="45" spans="1:6">
      <c r="D45" s="3220"/>
    </row>
  </sheetData>
  <mergeCells count="6">
    <mergeCell ref="A40:D40"/>
    <mergeCell ref="B2:B3"/>
    <mergeCell ref="B4:B6"/>
    <mergeCell ref="B7:B9"/>
    <mergeCell ref="B10:B11"/>
    <mergeCell ref="D2:D39"/>
  </mergeCells>
  <phoneticPr fontId="23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预评贴表结果</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2017-10-30T08:56:36Z</cp:lastPrinted>
  <dcterms:created xsi:type="dcterms:W3CDTF">2015-07-13T07:17:23Z</dcterms:created>
  <dcterms:modified xsi:type="dcterms:W3CDTF">2017-10-31T08:06:06Z</dcterms:modified>
</cp:coreProperties>
</file>