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state="hidden" r:id="rId20"/>
    <sheet name="成本法 (元)" sheetId="69" state="hidden" r:id="rId21"/>
    <sheet name="假设开发法" sheetId="12"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地下仓储" sheetId="15" state="hidden" r:id="rId44"/>
    <sheet name="土地案例" sheetId="77" r:id="rId45"/>
    <sheet name="车库案例" sheetId="78" r:id="rId46"/>
    <sheet name="住宅案例" sheetId="79" r:id="rId47"/>
    <sheet name="可售" sheetId="80"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43">'收益法-地下仓储'!$A$1:$AK$69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J181" i="80" l="1"/>
  <c r="C16" i="74" l="1"/>
  <c r="B16" i="74"/>
  <c r="D16" i="74" l="1"/>
  <c r="H16" i="74" s="1"/>
  <c r="BQ19" i="3" l="1"/>
  <c r="BM19" i="3"/>
  <c r="BN19" i="3"/>
  <c r="BO19" i="3"/>
  <c r="BP19" i="3"/>
  <c r="BR19" i="3"/>
  <c r="BS19" i="3"/>
  <c r="BT19" i="3"/>
  <c r="BL19" i="3"/>
  <c r="BB19" i="3"/>
  <c r="BC19" i="3"/>
  <c r="BD19" i="3"/>
  <c r="BE19" i="3"/>
  <c r="BF19" i="3"/>
  <c r="BG19" i="3"/>
  <c r="BH19" i="3"/>
  <c r="BI19" i="3"/>
  <c r="BJ19" i="3"/>
  <c r="BK19" i="3"/>
  <c r="C68" i="21"/>
  <c r="D68" i="21"/>
  <c r="F68" i="21"/>
  <c r="G68" i="21"/>
  <c r="H68" i="21"/>
  <c r="I68" i="21"/>
  <c r="D104" i="21"/>
  <c r="E104" i="21" s="1"/>
  <c r="F104" i="21" s="1"/>
  <c r="G104" i="21" s="1"/>
  <c r="BB20" i="3"/>
  <c r="BC20" i="3"/>
  <c r="BD20" i="3"/>
  <c r="BE20" i="3"/>
  <c r="BF20" i="3"/>
  <c r="BG20" i="3"/>
  <c r="BH20" i="3"/>
  <c r="BI20" i="3"/>
  <c r="BJ20" i="3"/>
  <c r="BK20" i="3"/>
  <c r="BA20" i="3"/>
  <c r="BM20" i="3"/>
  <c r="BN20" i="3"/>
  <c r="BO20" i="3"/>
  <c r="BP20" i="3"/>
  <c r="BQ20" i="3"/>
  <c r="BR20" i="3"/>
  <c r="BS20" i="3"/>
  <c r="BT20" i="3"/>
  <c r="BL20" i="3" s="1"/>
  <c r="AZ20" i="3" s="1"/>
  <c r="BB13" i="3"/>
  <c r="BC13" i="3"/>
  <c r="BD13" i="3"/>
  <c r="BB15" i="3"/>
  <c r="BC15" i="3"/>
  <c r="BD15" i="3"/>
  <c r="BB18" i="3"/>
  <c r="BC18" i="3"/>
  <c r="BD18" i="3"/>
  <c r="BE18" i="3"/>
  <c r="BB21" i="3"/>
  <c r="BC21" i="3"/>
  <c r="BD21" i="3"/>
  <c r="BE21" i="3"/>
  <c r="C15" i="74"/>
  <c r="B15" i="74"/>
  <c r="K175" i="80"/>
  <c r="F42" i="21"/>
  <c r="AA42" i="21" s="1"/>
  <c r="F39" i="21"/>
  <c r="AA39" i="21" s="1"/>
  <c r="F21" i="21"/>
  <c r="AA21" i="21" s="1"/>
  <c r="D85" i="21"/>
  <c r="D81" i="21"/>
  <c r="F19" i="21" s="1"/>
  <c r="AA19" i="21" s="1"/>
  <c r="D79" i="21"/>
  <c r="E79" i="21" s="1"/>
  <c r="H17" i="21" s="1"/>
  <c r="AB17" i="21" s="1"/>
  <c r="H42" i="21"/>
  <c r="AB42" i="21"/>
  <c r="H39" i="21"/>
  <c r="AB39" i="21"/>
  <c r="H21" i="21"/>
  <c r="AB21" i="21" s="1"/>
  <c r="H19" i="21"/>
  <c r="AB19" i="21" s="1"/>
  <c r="J42" i="21"/>
  <c r="AC42" i="21" s="1"/>
  <c r="J39" i="21"/>
  <c r="AC39" i="21" s="1"/>
  <c r="J21" i="21"/>
  <c r="AC21" i="21" s="1"/>
  <c r="E81" i="21"/>
  <c r="J19" i="21" s="1"/>
  <c r="AC19" i="21"/>
  <c r="J17" i="21"/>
  <c r="AC17" i="21" s="1"/>
  <c r="E179" i="80"/>
  <c r="E168" i="80"/>
  <c r="A15" i="3"/>
  <c r="C33" i="21" s="1"/>
  <c r="J33" i="21" s="1"/>
  <c r="AC33" i="21" s="1"/>
  <c r="AC19" i="3"/>
  <c r="G153" i="80"/>
  <c r="G152" i="80"/>
  <c r="G151" i="80"/>
  <c r="G150" i="80"/>
  <c r="AL14" i="3"/>
  <c r="C38" i="39"/>
  <c r="K30" i="35"/>
  <c r="K29" i="35"/>
  <c r="K28" i="35"/>
  <c r="K10" i="35"/>
  <c r="H49" i="35"/>
  <c r="I49" i="35"/>
  <c r="J49" i="35"/>
  <c r="D49" i="35"/>
  <c r="K20" i="35"/>
  <c r="K21" i="21"/>
  <c r="K18" i="35"/>
  <c r="K16" i="35"/>
  <c r="K14" i="35"/>
  <c r="K15" i="21"/>
  <c r="E68" i="21"/>
  <c r="C11" i="39"/>
  <c r="C11" i="21"/>
  <c r="G49" i="35"/>
  <c r="I46" i="39"/>
  <c r="G46" i="39"/>
  <c r="E46" i="39"/>
  <c r="I38" i="39"/>
  <c r="G38" i="39"/>
  <c r="E38" i="39"/>
  <c r="I11" i="39"/>
  <c r="G11" i="39"/>
  <c r="E11" i="39"/>
  <c r="D71" i="39"/>
  <c r="E71" i="39" s="1"/>
  <c r="F71" i="39" s="1"/>
  <c r="G71" i="39" s="1"/>
  <c r="H71" i="39" s="1"/>
  <c r="I71" i="39" s="1"/>
  <c r="J71" i="39" s="1"/>
  <c r="K71" i="39" s="1"/>
  <c r="L71" i="39" s="1"/>
  <c r="I7" i="39"/>
  <c r="G7" i="39"/>
  <c r="E7" i="39"/>
  <c r="I5" i="39"/>
  <c r="G5" i="39"/>
  <c r="E5" i="39"/>
  <c r="F49" i="35"/>
  <c r="E49" i="35"/>
  <c r="E9" i="6"/>
  <c r="G13" i="4"/>
  <c r="H13" i="4" s="1"/>
  <c r="B7" i="4"/>
  <c r="D3" i="4"/>
  <c r="L3" i="71"/>
  <c r="K3" i="71"/>
  <c r="I3" i="71"/>
  <c r="J3" i="71"/>
  <c r="AD5" i="71"/>
  <c r="AG5" i="71"/>
  <c r="AH5" i="71"/>
  <c r="AE5" i="71"/>
  <c r="AF5" i="71"/>
  <c r="N5" i="71"/>
  <c r="Q5" i="71"/>
  <c r="P5" i="71"/>
  <c r="O5" i="71"/>
  <c r="Q6" i="71"/>
  <c r="P6" i="71"/>
  <c r="O6" i="71"/>
  <c r="N6" i="71"/>
  <c r="A2" i="53"/>
  <c r="K59" i="67"/>
  <c r="K59" i="15"/>
  <c r="D116" i="39"/>
  <c r="E116" i="39"/>
  <c r="F116" i="39"/>
  <c r="G116" i="39"/>
  <c r="H116" i="39"/>
  <c r="I116" i="39"/>
  <c r="J116" i="39"/>
  <c r="K116" i="39"/>
  <c r="L116" i="39"/>
  <c r="M116" i="39"/>
  <c r="C116" i="39"/>
  <c r="A21" i="62"/>
  <c r="A20" i="62"/>
  <c r="B66" i="72" s="1"/>
  <c r="A22" i="51"/>
  <c r="A21" i="51"/>
  <c r="A20" i="51"/>
  <c r="A14" i="62"/>
  <c r="B60" i="72" s="1"/>
  <c r="A13" i="62"/>
  <c r="A19" i="62"/>
  <c r="B65" i="72" s="1"/>
  <c r="A12" i="62"/>
  <c r="A120" i="9"/>
  <c r="H2" i="52"/>
  <c r="A1" i="52"/>
  <c r="A3" i="53"/>
  <c r="Q7" i="71"/>
  <c r="P7" i="71"/>
  <c r="O7" i="71"/>
  <c r="N7" i="71"/>
  <c r="D5" i="43"/>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M19" i="43"/>
  <c r="O8" i="71"/>
  <c r="P8" i="71"/>
  <c r="AA7" i="71" s="1"/>
  <c r="Q8" i="71"/>
  <c r="N8" i="71"/>
  <c r="X8" i="71" s="1"/>
  <c r="AE3" i="71"/>
  <c r="AF3" i="71"/>
  <c r="AG3" i="71"/>
  <c r="AH3"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59" i="72"/>
  <c r="B58" i="72"/>
  <c r="B67" i="72"/>
  <c r="B12" i="72"/>
  <c r="B10" i="72"/>
  <c r="C53" i="10"/>
  <c r="B51" i="10"/>
  <c r="B19" i="72"/>
  <c r="A18" i="51"/>
  <c r="B13" i="72" s="1"/>
  <c r="B49" i="48"/>
  <c r="B5" i="72" s="1"/>
  <c r="I19" i="43"/>
  <c r="D70" i="71"/>
  <c r="F69" i="71"/>
  <c r="F68" i="71" s="1"/>
  <c r="F67" i="71" s="1"/>
  <c r="E69" i="71"/>
  <c r="E68" i="71"/>
  <c r="E67" i="71" s="1"/>
  <c r="C69" i="71"/>
  <c r="D69" i="71" s="1"/>
  <c r="B69" i="71"/>
  <c r="B68" i="71" s="1"/>
  <c r="B67" i="71"/>
  <c r="D66" i="71"/>
  <c r="F65" i="71"/>
  <c r="F64" i="71" s="1"/>
  <c r="F63" i="71" s="1"/>
  <c r="E65" i="71"/>
  <c r="E64" i="71"/>
  <c r="E63" i="71" s="1"/>
  <c r="C65" i="71"/>
  <c r="D65" i="71" s="1"/>
  <c r="B65" i="7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E49" i="71"/>
  <c r="P49" i="71" s="1"/>
  <c r="C49" i="71"/>
  <c r="B49" i="71"/>
  <c r="S49" i="71" s="1"/>
  <c r="B48" i="71"/>
  <c r="N48"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C40" i="71" s="1"/>
  <c r="C41" i="71" s="1"/>
  <c r="N38" i="71"/>
  <c r="B39" i="71" s="1"/>
  <c r="B40" i="7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C36" i="71" s="1"/>
  <c r="N34" i="71"/>
  <c r="B35" i="71" s="1"/>
  <c r="B36" i="71" s="1"/>
  <c r="B37" i="71" s="1"/>
  <c r="S37" i="71" s="1"/>
  <c r="D34" i="71"/>
  <c r="Q33" i="71"/>
  <c r="P33" i="71"/>
  <c r="O33" i="71"/>
  <c r="N33" i="71"/>
  <c r="Q32" i="71"/>
  <c r="P32" i="71"/>
  <c r="O32" i="71"/>
  <c r="N32" i="71"/>
  <c r="Q31" i="71"/>
  <c r="P31" i="71"/>
  <c r="O31" i="71"/>
  <c r="C32" i="71" s="1"/>
  <c r="C33" i="71" s="1"/>
  <c r="N31" i="71"/>
  <c r="Q30" i="71"/>
  <c r="F31" i="71" s="1"/>
  <c r="F32"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c r="N20" i="71"/>
  <c r="X20" i="71"/>
  <c r="Q19" i="71"/>
  <c r="AB19" i="71"/>
  <c r="P19" i="71"/>
  <c r="O19" i="71"/>
  <c r="Y19" i="71" s="1"/>
  <c r="Z19" i="71" s="1"/>
  <c r="N19" i="71"/>
  <c r="Q18" i="71"/>
  <c r="F19" i="71" s="1"/>
  <c r="F20" i="71" s="1"/>
  <c r="F21" i="71" s="1"/>
  <c r="V21" i="71" s="1"/>
  <c r="P18" i="71"/>
  <c r="O18" i="71"/>
  <c r="Y18" i="71" s="1"/>
  <c r="Z18" i="71" s="1"/>
  <c r="N18" i="71"/>
  <c r="D18" i="71"/>
  <c r="Q17" i="71"/>
  <c r="AB17" i="71"/>
  <c r="P17" i="71"/>
  <c r="O17" i="71"/>
  <c r="N17" i="71"/>
  <c r="Q16" i="71"/>
  <c r="AB16" i="71" s="1"/>
  <c r="P16" i="71"/>
  <c r="O16" i="71"/>
  <c r="N16" i="71"/>
  <c r="Q15" i="71"/>
  <c r="AB15" i="71" s="1"/>
  <c r="P15" i="71"/>
  <c r="O15" i="71"/>
  <c r="N15" i="71"/>
  <c r="X15" i="71" s="1"/>
  <c r="Q14" i="71"/>
  <c r="F15" i="71" s="1"/>
  <c r="P14" i="71"/>
  <c r="E15" i="71" s="1"/>
  <c r="E16" i="71" s="1"/>
  <c r="E17" i="71" s="1"/>
  <c r="U17" i="71" s="1"/>
  <c r="O14" i="71"/>
  <c r="N14" i="71"/>
  <c r="B15" i="71" s="1"/>
  <c r="B16" i="71" s="1"/>
  <c r="B17" i="71" s="1"/>
  <c r="S17" i="71" s="1"/>
  <c r="D14" i="71"/>
  <c r="Q13" i="71"/>
  <c r="P13" i="71"/>
  <c r="O13" i="71"/>
  <c r="N13" i="71"/>
  <c r="Q12" i="71"/>
  <c r="AB12" i="71" s="1"/>
  <c r="P12" i="71"/>
  <c r="O12" i="71"/>
  <c r="N12" i="71"/>
  <c r="Q11" i="71"/>
  <c r="AB11" i="71" s="1"/>
  <c r="P11" i="71"/>
  <c r="O11" i="71"/>
  <c r="N11" i="71"/>
  <c r="Q10" i="71"/>
  <c r="F11" i="71" s="1"/>
  <c r="P10" i="71"/>
  <c r="E11" i="71" s="1"/>
  <c r="E12" i="71" s="1"/>
  <c r="E13" i="71" s="1"/>
  <c r="U13" i="71" s="1"/>
  <c r="O10" i="71"/>
  <c r="N10" i="71"/>
  <c r="D10" i="71"/>
  <c r="O9" i="71"/>
  <c r="C9" i="71" s="1"/>
  <c r="C8" i="71" s="1"/>
  <c r="N9" i="71"/>
  <c r="B9" i="71" s="1"/>
  <c r="B11" i="71"/>
  <c r="B12" i="71" s="1"/>
  <c r="B13" i="71" s="1"/>
  <c r="S13" i="71" s="1"/>
  <c r="X10" i="71"/>
  <c r="X14" i="71"/>
  <c r="B19" i="71"/>
  <c r="B20" i="71"/>
  <c r="B21" i="71" s="1"/>
  <c r="S21" i="71" s="1"/>
  <c r="X18" i="71"/>
  <c r="E19" i="71"/>
  <c r="E20" i="71" s="1"/>
  <c r="E21" i="71" s="1"/>
  <c r="U21" i="71" s="1"/>
  <c r="N49" i="71"/>
  <c r="AA14" i="71"/>
  <c r="C11" i="71"/>
  <c r="Y10" i="71"/>
  <c r="Z10" i="71" s="1"/>
  <c r="AA11" i="71"/>
  <c r="AA13" i="71"/>
  <c r="C15" i="71"/>
  <c r="C16" i="71"/>
  <c r="X16" i="71"/>
  <c r="X17" i="71"/>
  <c r="C19" i="71"/>
  <c r="AB18" i="71"/>
  <c r="X19" i="71"/>
  <c r="AA19" i="71"/>
  <c r="F33" i="71"/>
  <c r="V33" i="71" s="1"/>
  <c r="X6" i="71"/>
  <c r="X9" i="71"/>
  <c r="D11" i="71"/>
  <c r="D15" i="71"/>
  <c r="C24" i="71"/>
  <c r="C25" i="71" s="1"/>
  <c r="T25" i="71" s="1"/>
  <c r="D23" i="71"/>
  <c r="C28" i="71"/>
  <c r="D28" i="71" s="1"/>
  <c r="D27" i="71"/>
  <c r="D31" i="71"/>
  <c r="P9" i="71"/>
  <c r="E36" i="71"/>
  <c r="E37" i="71" s="1"/>
  <c r="U37" i="71" s="1"/>
  <c r="E40" i="71"/>
  <c r="E41" i="71"/>
  <c r="U41" i="71" s="1"/>
  <c r="U49" i="71"/>
  <c r="Q9" i="71"/>
  <c r="D35" i="71"/>
  <c r="D39" i="71"/>
  <c r="D43" i="71"/>
  <c r="B47" i="71"/>
  <c r="N46" i="71" s="1"/>
  <c r="T49" i="71"/>
  <c r="O49" i="71"/>
  <c r="D49" i="71"/>
  <c r="C48" i="71"/>
  <c r="Q49" i="71"/>
  <c r="C52" i="71"/>
  <c r="C56" i="71"/>
  <c r="D56" i="71" s="1"/>
  <c r="D57" i="71"/>
  <c r="C60" i="71"/>
  <c r="D60" i="71" s="1"/>
  <c r="C64" i="71"/>
  <c r="C68" i="71"/>
  <c r="T9" i="71"/>
  <c r="AB7" i="71"/>
  <c r="AA3" i="71"/>
  <c r="AA9" i="71"/>
  <c r="C45" i="71"/>
  <c r="C55" i="71"/>
  <c r="D55" i="71" s="1"/>
  <c r="N47" i="71"/>
  <c r="D68" i="71"/>
  <c r="C67" i="71"/>
  <c r="D67" i="71" s="1"/>
  <c r="D40" i="71"/>
  <c r="D32" i="71"/>
  <c r="D24" i="71"/>
  <c r="D2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Q21" i="37"/>
  <c r="Z21" i="37" s="1"/>
  <c r="D77" i="37"/>
  <c r="E77" i="37" s="1"/>
  <c r="F77" i="37" s="1"/>
  <c r="G77" i="37" s="1"/>
  <c r="C21" i="37"/>
  <c r="Q21" i="34"/>
  <c r="Z21" i="34"/>
  <c r="D84" i="34"/>
  <c r="E84" i="34"/>
  <c r="F21" i="34"/>
  <c r="AA21" i="34"/>
  <c r="C21" i="34"/>
  <c r="Z21" i="33"/>
  <c r="Q21" i="33"/>
  <c r="D83" i="33"/>
  <c r="E83" i="33" s="1"/>
  <c r="F83" i="33" s="1"/>
  <c r="G83" i="33" s="1"/>
  <c r="C21" i="33"/>
  <c r="C21" i="21"/>
  <c r="Q21" i="21"/>
  <c r="Z21" i="21" s="1"/>
  <c r="D83" i="21"/>
  <c r="G20" i="20"/>
  <c r="B86" i="43"/>
  <c r="C22" i="20"/>
  <c r="B75" i="43"/>
  <c r="B55" i="43"/>
  <c r="B66" i="43"/>
  <c r="C25" i="40"/>
  <c r="C29" i="39"/>
  <c r="S25" i="40"/>
  <c r="S29" i="39"/>
  <c r="U18" i="36"/>
  <c r="S21" i="34"/>
  <c r="F94" i="40"/>
  <c r="H25" i="40"/>
  <c r="G94" i="40"/>
  <c r="J25" i="40"/>
  <c r="H29" i="39"/>
  <c r="J29" i="39"/>
  <c r="J18" i="36"/>
  <c r="AC18" i="36" s="1"/>
  <c r="F68" i="35"/>
  <c r="H18" i="35"/>
  <c r="AB18" i="35" s="1"/>
  <c r="S18" i="35"/>
  <c r="G68" i="35"/>
  <c r="J18" i="35"/>
  <c r="H21" i="37"/>
  <c r="F21" i="37"/>
  <c r="AA21" i="37" s="1"/>
  <c r="F84" i="34"/>
  <c r="H21" i="34"/>
  <c r="AB21" i="34" s="1"/>
  <c r="H21" i="33"/>
  <c r="U21" i="33" s="1"/>
  <c r="F21" i="33"/>
  <c r="S21" i="33" s="1"/>
  <c r="E83" i="21"/>
  <c r="F83" i="21" s="1"/>
  <c r="G83" i="21" s="1"/>
  <c r="S21" i="21"/>
  <c r="H1" i="69"/>
  <c r="AC25" i="40"/>
  <c r="W25" i="40"/>
  <c r="AB25" i="40"/>
  <c r="U25" i="40"/>
  <c r="AB29" i="39"/>
  <c r="U29" i="39"/>
  <c r="AC29" i="39"/>
  <c r="W29" i="39"/>
  <c r="W18" i="36"/>
  <c r="AB21" i="37"/>
  <c r="U21" i="37"/>
  <c r="S21" i="37"/>
  <c r="U21" i="34"/>
  <c r="AB21" i="33"/>
  <c r="AA21" i="33"/>
  <c r="U18" i="35"/>
  <c r="AC18" i="35"/>
  <c r="W18" i="35"/>
  <c r="J21" i="37"/>
  <c r="AC21" i="37" s="1"/>
  <c r="G84" i="34"/>
  <c r="J21" i="34"/>
  <c r="AC21" i="34" s="1"/>
  <c r="J21" i="33"/>
  <c r="AC21" i="33" s="1"/>
  <c r="F38" i="69"/>
  <c r="E37" i="69"/>
  <c r="F36" i="69"/>
  <c r="F35" i="69"/>
  <c r="F21" i="69"/>
  <c r="C21" i="69" s="1"/>
  <c r="F20" i="69"/>
  <c r="E10" i="69"/>
  <c r="E9" i="69"/>
  <c r="F7" i="69"/>
  <c r="C7" i="69" s="1"/>
  <c r="W21" i="37"/>
  <c r="W21" i="33"/>
  <c r="U21" i="21"/>
  <c r="F38" i="68"/>
  <c r="E37" i="68"/>
  <c r="F36" i="68"/>
  <c r="F35" i="68"/>
  <c r="F21" i="68"/>
  <c r="C21" i="68" s="1"/>
  <c r="F20" i="68"/>
  <c r="E10" i="68"/>
  <c r="E9" i="68"/>
  <c r="F7"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G13" i="1" s="1"/>
  <c r="D7" i="1"/>
  <c r="D8" i="1"/>
  <c r="A7" i="1"/>
  <c r="B7" i="1" s="1"/>
  <c r="E7" i="1"/>
  <c r="A8" i="1"/>
  <c r="B8" i="1"/>
  <c r="E8" i="1" s="1"/>
  <c r="A9" i="1"/>
  <c r="A10" i="1"/>
  <c r="A11" i="1"/>
  <c r="A12" i="1"/>
  <c r="A13" i="1"/>
  <c r="B13" i="1" s="1"/>
  <c r="E13" i="1" s="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A21" i="3" s="1"/>
  <c r="AX21" i="3"/>
  <c r="AW21" i="3"/>
  <c r="AV21" i="3"/>
  <c r="AC21" i="3"/>
  <c r="H21" i="3"/>
  <c r="AX20" i="3"/>
  <c r="AW20" i="3"/>
  <c r="AV20" i="3"/>
  <c r="AC20" i="3"/>
  <c r="H20" i="3"/>
  <c r="AX19" i="3"/>
  <c r="AW19" i="3"/>
  <c r="AV19" i="3"/>
  <c r="H19" i="3"/>
  <c r="G19" i="3" s="1"/>
  <c r="H153" i="80" s="1"/>
  <c r="BT18" i="3"/>
  <c r="BS18" i="3"/>
  <c r="BR18" i="3"/>
  <c r="BQ18" i="3"/>
  <c r="BP18" i="3"/>
  <c r="BO18" i="3"/>
  <c r="BN18" i="3"/>
  <c r="BM18" i="3"/>
  <c r="BK18" i="3"/>
  <c r="BJ18" i="3"/>
  <c r="BI18" i="3"/>
  <c r="BH18" i="3"/>
  <c r="BG18" i="3"/>
  <c r="BF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c r="B13" i="53"/>
  <c r="B29" i="72"/>
  <c r="R35" i="4"/>
  <c r="Q35" i="4"/>
  <c r="P35" i="4"/>
  <c r="O35" i="4"/>
  <c r="N35" i="4"/>
  <c r="M35" i="4"/>
  <c r="L35" i="4"/>
  <c r="K34" i="4"/>
  <c r="T34" i="4" s="1"/>
  <c r="G11" i="1"/>
  <c r="I15" i="4"/>
  <c r="H15" i="4"/>
  <c r="G15" i="4"/>
  <c r="F8" i="1"/>
  <c r="E15" i="4"/>
  <c r="D15" i="4"/>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2" i="6"/>
  <c r="E23" i="6"/>
  <c r="E24" i="6"/>
  <c r="E25" i="6"/>
  <c r="E26" i="6"/>
  <c r="BE13" i="3"/>
  <c r="BF13" i="3"/>
  <c r="BG13" i="3"/>
  <c r="BH13" i="3"/>
  <c r="BI13" i="3"/>
  <c r="BJ13" i="3"/>
  <c r="BK13" i="3"/>
  <c r="BB14" i="3"/>
  <c r="BC14" i="3"/>
  <c r="BD14" i="3"/>
  <c r="BE14" i="3"/>
  <c r="BF14" i="3"/>
  <c r="BG14" i="3"/>
  <c r="BH14" i="3"/>
  <c r="BI14" i="3"/>
  <c r="BJ14" i="3"/>
  <c r="BK14"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D87" i="35"/>
  <c r="E87" i="35" s="1"/>
  <c r="F87" i="35" s="1"/>
  <c r="G87" i="35" s="1"/>
  <c r="H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AA41" i="21" s="1"/>
  <c r="J41" i="21"/>
  <c r="AC41" i="21" s="1"/>
  <c r="H41" i="21"/>
  <c r="U41" i="21" s="1"/>
  <c r="D76" i="40"/>
  <c r="E76" i="40" s="1"/>
  <c r="F76" i="40" s="1"/>
  <c r="G76" i="40"/>
  <c r="H76" i="40" s="1"/>
  <c r="I76" i="40" s="1"/>
  <c r="J76" i="40" s="1"/>
  <c r="K76" i="40" s="1"/>
  <c r="L76" i="40" s="1"/>
  <c r="M76" i="40" s="1"/>
  <c r="B120" i="40"/>
  <c r="J40" i="40"/>
  <c r="B118" i="40"/>
  <c r="J39" i="40"/>
  <c r="B116" i="40"/>
  <c r="F38"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B114" i="39"/>
  <c r="J37" i="39" s="1"/>
  <c r="D109" i="39"/>
  <c r="E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D122" i="39"/>
  <c r="E122" i="39" s="1"/>
  <c r="F122" i="39" s="1"/>
  <c r="G122" i="39" s="1"/>
  <c r="H122" i="39" s="1"/>
  <c r="I122" i="39" s="1"/>
  <c r="J122" i="39" s="1"/>
  <c r="K122" i="39" s="1"/>
  <c r="L122" i="39" s="1"/>
  <c r="M122" i="39" s="1"/>
  <c r="B104" i="39"/>
  <c r="D97" i="39"/>
  <c r="J23" i="39" s="1"/>
  <c r="AC23" i="39" s="1"/>
  <c r="D95" i="39"/>
  <c r="E95" i="39" s="1"/>
  <c r="F95" i="39" s="1"/>
  <c r="D93" i="39"/>
  <c r="E93" i="39"/>
  <c r="F93" i="39" s="1"/>
  <c r="G93" i="39" s="1"/>
  <c r="D91" i="39"/>
  <c r="E91" i="39" s="1"/>
  <c r="F91" i="39" s="1"/>
  <c r="G91" i="39" s="1"/>
  <c r="D89" i="39"/>
  <c r="E89" i="39" s="1"/>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B71" i="36"/>
  <c r="D70" i="36"/>
  <c r="H22" i="36"/>
  <c r="AB22" i="36"/>
  <c r="D68" i="36"/>
  <c r="E68" i="36"/>
  <c r="F68" i="36" s="1"/>
  <c r="G68" i="36" s="1"/>
  <c r="D64" i="36"/>
  <c r="E64" i="36" s="1"/>
  <c r="F64" i="36" s="1"/>
  <c r="G64" i="36" s="1"/>
  <c r="J16" i="36"/>
  <c r="W16" i="36" s="1"/>
  <c r="D62" i="36"/>
  <c r="E62" i="36" s="1"/>
  <c r="F62" i="36" s="1"/>
  <c r="G62" i="36"/>
  <c r="B59" i="36"/>
  <c r="B57" i="36"/>
  <c r="J12" i="36" s="1"/>
  <c r="B55" i="36"/>
  <c r="F54" i="36"/>
  <c r="G54" i="36" s="1"/>
  <c r="H54" i="36" s="1"/>
  <c r="I54" i="36" s="1"/>
  <c r="C51" i="36"/>
  <c r="H9"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J12"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6" i="21"/>
  <c r="E66" i="21" s="1"/>
  <c r="F66" i="21" s="1"/>
  <c r="G66" i="21" s="1"/>
  <c r="H66" i="21" s="1"/>
  <c r="I66" i="21" s="1"/>
  <c r="D111" i="21"/>
  <c r="E111" i="21"/>
  <c r="F111" i="21"/>
  <c r="C111" i="21"/>
  <c r="F79" i="21"/>
  <c r="G79" i="21" s="1"/>
  <c r="F81" i="21"/>
  <c r="G81" i="21" s="1"/>
  <c r="D77" i="21"/>
  <c r="E77" i="21" s="1"/>
  <c r="J15" i="21" s="1"/>
  <c r="AC15" i="21" s="1"/>
  <c r="B130" i="21"/>
  <c r="B128" i="21"/>
  <c r="J45" i="2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F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U39" i="21"/>
  <c r="J34" i="21"/>
  <c r="W34" i="21" s="1"/>
  <c r="H36" i="21"/>
  <c r="U36" i="21" s="1"/>
  <c r="F35" i="21"/>
  <c r="AA35" i="21" s="1"/>
  <c r="J10" i="21"/>
  <c r="AC10" i="21" s="1"/>
  <c r="H26" i="21"/>
  <c r="AB26" i="21" s="1"/>
  <c r="W19" i="21"/>
  <c r="J26" i="21"/>
  <c r="W26" i="21" s="1"/>
  <c r="F26" i="21"/>
  <c r="S26" i="21" s="1"/>
  <c r="F45" i="39"/>
  <c r="S45" i="39"/>
  <c r="U30" i="37"/>
  <c r="E103" i="37"/>
  <c r="F103" i="37"/>
  <c r="G103" i="37" s="1"/>
  <c r="H103" i="37" s="1"/>
  <c r="I103" i="37" s="1"/>
  <c r="J103" i="37" s="1"/>
  <c r="K103" i="37" s="1"/>
  <c r="L103" i="37" s="1"/>
  <c r="M103" i="37" s="1"/>
  <c r="F39" i="37"/>
  <c r="S39" i="37" s="1"/>
  <c r="U14" i="37"/>
  <c r="F29" i="36"/>
  <c r="AA29" i="36"/>
  <c r="W8" i="36"/>
  <c r="F16" i="36"/>
  <c r="AA16" i="36" s="1"/>
  <c r="W28" i="36"/>
  <c r="S30" i="36"/>
  <c r="AA31" i="36"/>
  <c r="J33" i="36"/>
  <c r="W33" i="36" s="1"/>
  <c r="H22" i="35"/>
  <c r="AB22" i="35" s="1"/>
  <c r="W22" i="35"/>
  <c r="F36" i="34"/>
  <c r="J35" i="34"/>
  <c r="S34" i="34"/>
  <c r="U34" i="34"/>
  <c r="H39" i="33"/>
  <c r="AB39" i="33"/>
  <c r="F26" i="33"/>
  <c r="AA26" i="33"/>
  <c r="S40" i="33"/>
  <c r="W33" i="33"/>
  <c r="H39" i="37"/>
  <c r="AB39" i="37" s="1"/>
  <c r="S27" i="35"/>
  <c r="F11" i="40"/>
  <c r="AA11" i="40" s="1"/>
  <c r="H11" i="40"/>
  <c r="AB11" i="40" s="1"/>
  <c r="W8" i="40"/>
  <c r="AA9" i="40"/>
  <c r="U9" i="40"/>
  <c r="U38" i="40"/>
  <c r="U34" i="40"/>
  <c r="U40" i="40"/>
  <c r="S34" i="39"/>
  <c r="H34" i="39"/>
  <c r="U34" i="39"/>
  <c r="F109" i="39"/>
  <c r="G109" i="39" s="1"/>
  <c r="H109" i="39" s="1"/>
  <c r="I109" i="39" s="1"/>
  <c r="J109" i="39" s="1"/>
  <c r="K109" i="39" s="1"/>
  <c r="L109" i="39" s="1"/>
  <c r="M109" i="39" s="1"/>
  <c r="H31" i="39"/>
  <c r="AB31" i="39" s="1"/>
  <c r="F31" i="39"/>
  <c r="AA31" i="39" s="1"/>
  <c r="E101" i="39"/>
  <c r="F101" i="39" s="1"/>
  <c r="H19" i="39"/>
  <c r="AB19" i="39" s="1"/>
  <c r="F19" i="39"/>
  <c r="AA19" i="39" s="1"/>
  <c r="H17" i="39"/>
  <c r="AB17" i="39" s="1"/>
  <c r="F17" i="39"/>
  <c r="AA17" i="39" s="1"/>
  <c r="J23" i="40"/>
  <c r="AC23" i="40" s="1"/>
  <c r="F21" i="40"/>
  <c r="AA21" i="40" s="1"/>
  <c r="J21" i="40"/>
  <c r="W21" i="40" s="1"/>
  <c r="J34" i="39"/>
  <c r="AC34" i="39" s="1"/>
  <c r="J31" i="39"/>
  <c r="H27" i="39"/>
  <c r="U27" i="39" s="1"/>
  <c r="J19" i="39"/>
  <c r="AC19" i="39" s="1"/>
  <c r="J17" i="39"/>
  <c r="F27" i="39"/>
  <c r="S40" i="21"/>
  <c r="C21" i="39"/>
  <c r="H32" i="33"/>
  <c r="AB32" i="33" s="1"/>
  <c r="H37" i="40"/>
  <c r="U37" i="40"/>
  <c r="H36" i="40"/>
  <c r="AB36" i="40"/>
  <c r="F35" i="40"/>
  <c r="AA35" i="40"/>
  <c r="H23" i="40"/>
  <c r="AB23" i="40"/>
  <c r="H17" i="40"/>
  <c r="U17" i="40"/>
  <c r="J15" i="40"/>
  <c r="W15" i="40"/>
  <c r="J11" i="40"/>
  <c r="W11" i="40"/>
  <c r="F37" i="39"/>
  <c r="AA37" i="39"/>
  <c r="J34" i="36"/>
  <c r="W34" i="36"/>
  <c r="U30" i="36"/>
  <c r="J30" i="35"/>
  <c r="W30" i="35" s="1"/>
  <c r="H30" i="35"/>
  <c r="AB30" i="35" s="1"/>
  <c r="F22" i="35"/>
  <c r="AA22" i="35" s="1"/>
  <c r="H10" i="35"/>
  <c r="U10" i="35" s="1"/>
  <c r="AC16" i="36"/>
  <c r="F33" i="36"/>
  <c r="AA33" i="36"/>
  <c r="W30" i="36"/>
  <c r="H16" i="36"/>
  <c r="AB16" i="36" s="1"/>
  <c r="J29" i="36"/>
  <c r="AC29" i="36"/>
  <c r="F24" i="36"/>
  <c r="AA24" i="36" s="1"/>
  <c r="F34" i="36"/>
  <c r="S34" i="36" s="1"/>
  <c r="S10" i="36"/>
  <c r="S8" i="36"/>
  <c r="F23" i="35"/>
  <c r="AA23" i="35"/>
  <c r="J32" i="35"/>
  <c r="AC32" i="35"/>
  <c r="J16" i="35"/>
  <c r="AC16" i="35"/>
  <c r="H16" i="35"/>
  <c r="U16" i="35"/>
  <c r="F16" i="35"/>
  <c r="S16" i="35"/>
  <c r="H33" i="35"/>
  <c r="AB33" i="35" s="1"/>
  <c r="AC8" i="35"/>
  <c r="F35" i="37"/>
  <c r="S35" i="37"/>
  <c r="E101" i="37"/>
  <c r="F101" i="37"/>
  <c r="G101" i="37" s="1"/>
  <c r="H101" i="37" s="1"/>
  <c r="I101" i="37" s="1"/>
  <c r="J101" i="37" s="1"/>
  <c r="K101" i="37" s="1"/>
  <c r="L101" i="37" s="1"/>
  <c r="M101" i="37" s="1"/>
  <c r="J34" i="37"/>
  <c r="W34" i="37" s="1"/>
  <c r="S10" i="37"/>
  <c r="AA39" i="37"/>
  <c r="AB34" i="37"/>
  <c r="J33" i="37"/>
  <c r="AC33" i="37" s="1"/>
  <c r="U42" i="34"/>
  <c r="H40" i="34"/>
  <c r="U40" i="34" s="1"/>
  <c r="E114" i="34"/>
  <c r="F114" i="34" s="1"/>
  <c r="H36" i="34"/>
  <c r="U36" i="34"/>
  <c r="F37" i="34"/>
  <c r="AA37" i="34"/>
  <c r="S35" i="34"/>
  <c r="F27" i="34"/>
  <c r="AA27" i="34" s="1"/>
  <c r="F25" i="34"/>
  <c r="S25" i="34" s="1"/>
  <c r="H23" i="34"/>
  <c r="U23" i="34" s="1"/>
  <c r="J23" i="34"/>
  <c r="F19" i="34"/>
  <c r="H17" i="34"/>
  <c r="F15" i="34"/>
  <c r="J15" i="34"/>
  <c r="H15" i="34"/>
  <c r="AB15"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W40" i="33"/>
  <c r="S8" i="33"/>
  <c r="F37" i="40"/>
  <c r="AA37" i="40" s="1"/>
  <c r="F36" i="40"/>
  <c r="AA36" i="40" s="1"/>
  <c r="H28" i="40"/>
  <c r="U28" i="40" s="1"/>
  <c r="F23" i="40"/>
  <c r="AA23" i="40" s="1"/>
  <c r="F17" i="40"/>
  <c r="AA17" i="40" s="1"/>
  <c r="J17" i="40"/>
  <c r="W17" i="40" s="1"/>
  <c r="F15" i="40"/>
  <c r="S15" i="40" s="1"/>
  <c r="H15" i="40"/>
  <c r="AB15" i="40" s="1"/>
  <c r="AC11" i="40"/>
  <c r="AB30" i="36"/>
  <c r="AC34" i="36"/>
  <c r="H33" i="37"/>
  <c r="AB33" i="37" s="1"/>
  <c r="F33" i="37"/>
  <c r="AA33" i="37" s="1"/>
  <c r="U34"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c r="J19" i="34"/>
  <c r="AC19" i="34"/>
  <c r="F17" i="34"/>
  <c r="AA17" i="34"/>
  <c r="J17" i="34"/>
  <c r="W17" i="34"/>
  <c r="H37" i="33"/>
  <c r="AB37" i="33" s="1"/>
  <c r="H15" i="33"/>
  <c r="AB15" i="33" s="1"/>
  <c r="H11" i="33"/>
  <c r="AB11" i="33" s="1"/>
  <c r="F28" i="40"/>
  <c r="AA28" i="40" s="1"/>
  <c r="AA42" i="34"/>
  <c r="S42" i="34"/>
  <c r="AC38" i="34"/>
  <c r="AA38" i="34"/>
  <c r="J37" i="34"/>
  <c r="AC37" i="34" s="1"/>
  <c r="J11" i="33"/>
  <c r="W11" i="33" s="1"/>
  <c r="U23" i="40"/>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U46" i="33"/>
  <c r="J36" i="37"/>
  <c r="AC36" i="37" s="1"/>
  <c r="AB11" i="36"/>
  <c r="J10" i="36"/>
  <c r="AC10" i="36" s="1"/>
  <c r="AB26" i="33"/>
  <c r="W13" i="36"/>
  <c r="W11" i="36"/>
  <c r="W11" i="35"/>
  <c r="AB46" i="34"/>
  <c r="AC30" i="34"/>
  <c r="AA14" i="34"/>
  <c r="S45" i="33"/>
  <c r="AB45" i="33"/>
  <c r="AB31" i="33"/>
  <c r="U31" i="33"/>
  <c r="W29" i="33"/>
  <c r="U13" i="33"/>
  <c r="AC28" i="21"/>
  <c r="BA586" i="3"/>
  <c r="BA585" i="3"/>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AZ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AZ574" i="3" s="1"/>
  <c r="BA572" i="3"/>
  <c r="BA570" i="3"/>
  <c r="AZ570" i="3" s="1"/>
  <c r="BA568" i="3"/>
  <c r="BA566" i="3"/>
  <c r="AZ566" i="3" s="1"/>
  <c r="BA564" i="3"/>
  <c r="AZ564" i="3" s="1"/>
  <c r="BA562" i="3"/>
  <c r="AZ562" i="3" s="1"/>
  <c r="BA560" i="3"/>
  <c r="BA558" i="3"/>
  <c r="BA556" i="3"/>
  <c r="AZ556" i="3" s="1"/>
  <c r="BA554" i="3"/>
  <c r="BA552" i="3"/>
  <c r="BA548" i="3"/>
  <c r="BA546" i="3"/>
  <c r="AZ546" i="3" s="1"/>
  <c r="BA544" i="3"/>
  <c r="BA542" i="3"/>
  <c r="BA540" i="3"/>
  <c r="AZ540" i="3" s="1"/>
  <c r="BA538" i="3"/>
  <c r="BA536" i="3"/>
  <c r="BA534" i="3"/>
  <c r="BA532" i="3"/>
  <c r="BA530" i="3"/>
  <c r="AZ530" i="3" s="1"/>
  <c r="BA528" i="3"/>
  <c r="AZ528" i="3" s="1"/>
  <c r="BA526" i="3"/>
  <c r="BA524" i="3"/>
  <c r="BA522" i="3"/>
  <c r="BA520" i="3"/>
  <c r="BA518" i="3"/>
  <c r="BA516" i="3"/>
  <c r="BA514" i="3"/>
  <c r="BA512" i="3"/>
  <c r="AZ512" i="3" s="1"/>
  <c r="BA510" i="3"/>
  <c r="BA508" i="3"/>
  <c r="AZ508" i="3" s="1"/>
  <c r="BA506" i="3"/>
  <c r="BA504" i="3"/>
  <c r="AZ504" i="3" s="1"/>
  <c r="BA502" i="3"/>
  <c r="BA500" i="3"/>
  <c r="AZ500" i="3"/>
  <c r="BA498" i="3"/>
  <c r="AZ498" i="3"/>
  <c r="BA496" i="3"/>
  <c r="AZ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AZ581" i="3" s="1"/>
  <c r="BQ579" i="3"/>
  <c r="BL579" i="3" s="1"/>
  <c r="BQ577" i="3"/>
  <c r="BL577" i="3" s="1"/>
  <c r="AZ577" i="3" s="1"/>
  <c r="BQ575" i="3"/>
  <c r="BL575" i="3" s="1"/>
  <c r="AZ575" i="3" s="1"/>
  <c r="BQ573" i="3"/>
  <c r="BL573" i="3" s="1"/>
  <c r="AZ573" i="3" s="1"/>
  <c r="BQ571" i="3"/>
  <c r="BL571" i="3" s="1"/>
  <c r="AZ571" i="3" s="1"/>
  <c r="BQ569" i="3"/>
  <c r="BL569" i="3"/>
  <c r="BQ567" i="3"/>
  <c r="BL567" i="3"/>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s="1"/>
  <c r="AZ541" i="3" s="1"/>
  <c r="BQ539" i="3"/>
  <c r="BL539" i="3" s="1"/>
  <c r="BQ537" i="3"/>
  <c r="BL537" i="3" s="1"/>
  <c r="BQ535" i="3"/>
  <c r="BL535" i="3" s="1"/>
  <c r="AZ535" i="3" s="1"/>
  <c r="BQ533" i="3"/>
  <c r="BL533" i="3" s="1"/>
  <c r="AZ533" i="3" s="1"/>
  <c r="BQ531" i="3"/>
  <c r="BL531" i="3" s="1"/>
  <c r="BQ529" i="3"/>
  <c r="BL529" i="3" s="1"/>
  <c r="BQ527" i="3"/>
  <c r="BL527" i="3" s="1"/>
  <c r="AZ527" i="3" s="1"/>
  <c r="BQ525" i="3"/>
  <c r="BL525" i="3" s="1"/>
  <c r="AZ525" i="3" s="1"/>
  <c r="BQ523" i="3"/>
  <c r="BL523" i="3" s="1"/>
  <c r="BA521" i="3"/>
  <c r="AC521" i="3"/>
  <c r="G521" i="3"/>
  <c r="BQ521" i="3"/>
  <c r="BL521" i="3"/>
  <c r="BL520" i="3"/>
  <c r="AZ520" i="3"/>
  <c r="G519" i="3"/>
  <c r="G517" i="3"/>
  <c r="G515" i="3"/>
  <c r="G513" i="3"/>
  <c r="G511" i="3"/>
  <c r="BQ519" i="3"/>
  <c r="BL519" i="3" s="1"/>
  <c r="AZ519" i="3" s="1"/>
  <c r="BQ517" i="3"/>
  <c r="BL517" i="3"/>
  <c r="BQ515" i="3"/>
  <c r="BL515" i="3" s="1"/>
  <c r="BQ513" i="3"/>
  <c r="BL513" i="3" s="1"/>
  <c r="BQ511" i="3"/>
  <c r="BL511" i="3" s="1"/>
  <c r="AZ511" i="3" s="1"/>
  <c r="BA509" i="3"/>
  <c r="AC509" i="3"/>
  <c r="G509" i="3" s="1"/>
  <c r="BQ509" i="3"/>
  <c r="BL509" i="3" s="1"/>
  <c r="AZ509" i="3" s="1"/>
  <c r="BL508" i="3"/>
  <c r="G507" i="3"/>
  <c r="G505" i="3"/>
  <c r="G503" i="3"/>
  <c r="G501" i="3"/>
  <c r="G499" i="3"/>
  <c r="G497" i="3"/>
  <c r="G495" i="3"/>
  <c r="BQ507" i="3"/>
  <c r="BL507" i="3" s="1"/>
  <c r="BQ505" i="3"/>
  <c r="BL505" i="3" s="1"/>
  <c r="AZ505" i="3" s="1"/>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W14" i="37"/>
  <c r="U39" i="37"/>
  <c r="AC8" i="37"/>
  <c r="U26" i="37"/>
  <c r="W37" i="34"/>
  <c r="AC36" i="34"/>
  <c r="AC31" i="33"/>
  <c r="W44" i="33"/>
  <c r="U11" i="33"/>
  <c r="U19" i="21"/>
  <c r="W44" i="21"/>
  <c r="U26" i="21"/>
  <c r="AC46"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H5" i="3"/>
  <c r="AA25" i="21"/>
  <c r="C12" i="43"/>
  <c r="H19" i="40"/>
  <c r="U19" i="40"/>
  <c r="F19" i="40"/>
  <c r="S19" i="40"/>
  <c r="AC13" i="40"/>
  <c r="W23" i="39"/>
  <c r="G101" i="39"/>
  <c r="H37" i="39"/>
  <c r="AB37" i="39" s="1"/>
  <c r="H25" i="39"/>
  <c r="AB25" i="39" s="1"/>
  <c r="J25" i="39"/>
  <c r="F25" i="39"/>
  <c r="AA25" i="39"/>
  <c r="F15" i="39"/>
  <c r="AA15" i="39" s="1"/>
  <c r="J15" i="39"/>
  <c r="W15" i="39" s="1"/>
  <c r="H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c r="BL549" i="3"/>
  <c r="AZ502" i="3"/>
  <c r="AZ514" i="3"/>
  <c r="AZ522"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BL341" i="3"/>
  <c r="BA343" i="3"/>
  <c r="AZ343" i="3" s="1"/>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AZ136" i="3"/>
  <c r="G137" i="3"/>
  <c r="BA139" i="3"/>
  <c r="BL140" i="3"/>
  <c r="AZ140" i="3" s="1"/>
  <c r="G141" i="3"/>
  <c r="BA143" i="3"/>
  <c r="BL144" i="3"/>
  <c r="G145" i="3"/>
  <c r="BA147" i="3"/>
  <c r="BL148" i="3"/>
  <c r="AZ148" i="3"/>
  <c r="G149" i="3"/>
  <c r="BA151" i="3"/>
  <c r="BL152" i="3"/>
  <c r="G153" i="3"/>
  <c r="BA155" i="3"/>
  <c r="BL156" i="3"/>
  <c r="G157" i="3"/>
  <c r="BA159" i="3"/>
  <c r="BL160" i="3"/>
  <c r="G161" i="3"/>
  <c r="BA163" i="3"/>
  <c r="AZ163" i="3"/>
  <c r="BL164" i="3"/>
  <c r="G165" i="3"/>
  <c r="BA167" i="3"/>
  <c r="BL168" i="3"/>
  <c r="G169" i="3"/>
  <c r="BA171" i="3"/>
  <c r="AZ171" i="3" s="1"/>
  <c r="BL172" i="3"/>
  <c r="G173" i="3"/>
  <c r="BA175" i="3"/>
  <c r="BL176" i="3"/>
  <c r="G177" i="3"/>
  <c r="BA179" i="3"/>
  <c r="BL180" i="3"/>
  <c r="AZ180" i="3" s="1"/>
  <c r="G181" i="3"/>
  <c r="BA183" i="3"/>
  <c r="BL184" i="3"/>
  <c r="G185" i="3"/>
  <c r="BA187" i="3"/>
  <c r="BL188" i="3"/>
  <c r="G189" i="3"/>
  <c r="BA191" i="3"/>
  <c r="BL192" i="3"/>
  <c r="G193" i="3"/>
  <c r="BA195" i="3"/>
  <c r="AZ195" i="3" s="1"/>
  <c r="BL196" i="3"/>
  <c r="G197" i="3"/>
  <c r="BA199" i="3"/>
  <c r="BL200" i="3"/>
  <c r="G201" i="3"/>
  <c r="BA203" i="3"/>
  <c r="BL204" i="3"/>
  <c r="AZ47" i="3"/>
  <c r="AZ79" i="3"/>
  <c r="AZ83" i="3"/>
  <c r="AZ144" i="3"/>
  <c r="AZ89" i="3"/>
  <c r="G534" i="3"/>
  <c r="G530" i="3"/>
  <c r="G522" i="3"/>
  <c r="G516" i="3"/>
  <c r="G512" i="3"/>
  <c r="G506" i="3"/>
  <c r="G498" i="3"/>
  <c r="G494" i="3"/>
  <c r="G16" i="3"/>
  <c r="H151" i="80" s="1"/>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AZ342" i="3" s="1"/>
  <c r="BL342" i="3"/>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AZ382" i="3" s="1"/>
  <c r="BL382" i="3"/>
  <c r="G383" i="3"/>
  <c r="G386" i="3"/>
  <c r="BL387" i="3"/>
  <c r="BA389" i="3"/>
  <c r="AZ389" i="3" s="1"/>
  <c r="BA390" i="3"/>
  <c r="BL390" i="3"/>
  <c r="AZ390" i="3"/>
  <c r="G391" i="3"/>
  <c r="G394" i="3"/>
  <c r="AZ138" i="3"/>
  <c r="AZ142" i="3"/>
  <c r="AZ146" i="3"/>
  <c r="BA16" i="3"/>
  <c r="BL303" i="3"/>
  <c r="AZ303" i="3" s="1"/>
  <c r="G304" i="3"/>
  <c r="BA306" i="3"/>
  <c r="AZ306" i="3" s="1"/>
  <c r="BL307" i="3"/>
  <c r="AZ307" i="3" s="1"/>
  <c r="G308" i="3"/>
  <c r="BA310" i="3"/>
  <c r="BL311" i="3"/>
  <c r="G312" i="3"/>
  <c r="BA314" i="3"/>
  <c r="BL315" i="3"/>
  <c r="G316" i="3"/>
  <c r="BA318" i="3"/>
  <c r="BL319" i="3"/>
  <c r="G320" i="3"/>
  <c r="BA322" i="3"/>
  <c r="AZ322" i="3" s="1"/>
  <c r="BL323" i="3"/>
  <c r="G324" i="3"/>
  <c r="BA326" i="3"/>
  <c r="BL327" i="3"/>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G359" i="3"/>
  <c r="BA361" i="3"/>
  <c r="BL362" i="3"/>
  <c r="G363" i="3"/>
  <c r="BA365" i="3"/>
  <c r="AZ365" i="3" s="1"/>
  <c r="BL366" i="3"/>
  <c r="AZ366" i="3" s="1"/>
  <c r="G367" i="3"/>
  <c r="BA369" i="3"/>
  <c r="AZ369" i="3" s="1"/>
  <c r="BL370" i="3"/>
  <c r="AZ370" i="3" s="1"/>
  <c r="G371" i="3"/>
  <c r="BA373" i="3"/>
  <c r="BL374" i="3"/>
  <c r="AZ374" i="3" s="1"/>
  <c r="G375" i="3"/>
  <c r="BA377" i="3"/>
  <c r="AZ377" i="3" s="1"/>
  <c r="BA379" i="3"/>
  <c r="AZ379" i="3" s="1"/>
  <c r="BL380" i="3"/>
  <c r="AZ380" i="3" s="1"/>
  <c r="G381" i="3"/>
  <c r="BA383" i="3"/>
  <c r="BL384" i="3"/>
  <c r="G385" i="3"/>
  <c r="BA387" i="3"/>
  <c r="AZ387" i="3" s="1"/>
  <c r="BL388" i="3"/>
  <c r="G389" i="3"/>
  <c r="BA391" i="3"/>
  <c r="AZ391" i="3" s="1"/>
  <c r="BL392" i="3"/>
  <c r="G393" i="3"/>
  <c r="AZ299" i="3"/>
  <c r="BO5" i="3"/>
  <c r="BM5" i="3"/>
  <c r="BJ5" i="3"/>
  <c r="BH5" i="3"/>
  <c r="BF5" i="3"/>
  <c r="BD5" i="3"/>
  <c r="AZ506" i="3"/>
  <c r="G548" i="3"/>
  <c r="G538" i="3"/>
  <c r="G520" i="3"/>
  <c r="G502" i="3"/>
  <c r="BS5" i="3"/>
  <c r="BP5" i="3"/>
  <c r="BN5" i="3"/>
  <c r="BK5" i="3"/>
  <c r="BI5" i="3"/>
  <c r="BG5" i="3"/>
  <c r="BE5" i="3"/>
  <c r="BC5" i="3"/>
  <c r="G17" i="3"/>
  <c r="H152" i="80" s="1"/>
  <c r="BA17" i="3"/>
  <c r="BT5" i="3"/>
  <c r="BB5" i="3"/>
  <c r="BR5" i="3"/>
  <c r="BL493" i="3"/>
  <c r="AZ493" i="3" s="1"/>
  <c r="U36" i="40"/>
  <c r="N4" i="43"/>
  <c r="F36" i="43"/>
  <c r="F81" i="43"/>
  <c r="H83" i="43" s="1"/>
  <c r="H113" i="43"/>
  <c r="F48" i="43"/>
  <c r="H52" i="43"/>
  <c r="N7" i="43"/>
  <c r="F70" i="43"/>
  <c r="H73" i="43" s="1"/>
  <c r="M6" i="43"/>
  <c r="M11" i="43"/>
  <c r="E17" i="43"/>
  <c r="F39" i="43"/>
  <c r="I17" i="43"/>
  <c r="F35" i="43"/>
  <c r="J17" i="43"/>
  <c r="F6" i="1"/>
  <c r="U17" i="39"/>
  <c r="U35" i="21"/>
  <c r="AC35" i="21"/>
  <c r="G9" i="1"/>
  <c r="G10" i="1"/>
  <c r="F48" i="9"/>
  <c r="O52" i="9"/>
  <c r="W37" i="37"/>
  <c r="W44" i="34"/>
  <c r="AC44" i="34"/>
  <c r="U13" i="37"/>
  <c r="AA12" i="40"/>
  <c r="J37" i="33"/>
  <c r="W37" i="33" s="1"/>
  <c r="AC17" i="34"/>
  <c r="J34" i="33"/>
  <c r="F33" i="34"/>
  <c r="H20" i="36"/>
  <c r="J20" i="36"/>
  <c r="J27" i="36"/>
  <c r="H35" i="40"/>
  <c r="AB35" i="40"/>
  <c r="H35" i="37"/>
  <c r="U35" i="37"/>
  <c r="H20" i="35"/>
  <c r="U20" i="35"/>
  <c r="F20" i="35"/>
  <c r="AA20" i="35"/>
  <c r="AB29" i="36"/>
  <c r="U29" i="36"/>
  <c r="H32" i="37"/>
  <c r="AB32" i="37"/>
  <c r="F96" i="37"/>
  <c r="G96" i="37"/>
  <c r="H96" i="37" s="1"/>
  <c r="I96" i="37" s="1"/>
  <c r="J96" i="37" s="1"/>
  <c r="K96" i="37" s="1"/>
  <c r="L96" i="37" s="1"/>
  <c r="M96" i="37" s="1"/>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F35" i="33"/>
  <c r="S35" i="33" s="1"/>
  <c r="F39" i="34"/>
  <c r="S39" i="34" s="1"/>
  <c r="J39" i="34"/>
  <c r="W39" i="34" s="1"/>
  <c r="F40" i="34"/>
  <c r="F43" i="34"/>
  <c r="H44" i="34"/>
  <c r="AB44" i="34" s="1"/>
  <c r="E97" i="39"/>
  <c r="F97" i="39" s="1"/>
  <c r="G97" i="39"/>
  <c r="C40" i="11"/>
  <c r="AZ240" i="3"/>
  <c r="AZ243" i="3"/>
  <c r="AZ45" i="3"/>
  <c r="AZ102" i="3"/>
  <c r="H48" i="43"/>
  <c r="I20" i="43"/>
  <c r="C20" i="43" s="1"/>
  <c r="F23" i="39"/>
  <c r="H27" i="36"/>
  <c r="U27" i="36" s="1"/>
  <c r="F27" i="36"/>
  <c r="H33" i="34"/>
  <c r="F32" i="37"/>
  <c r="F20" i="36"/>
  <c r="AA20" i="36" s="1"/>
  <c r="J33" i="34"/>
  <c r="H23" i="39"/>
  <c r="U23" i="39" s="1"/>
  <c r="D48" i="9"/>
  <c r="M52" i="9" s="1"/>
  <c r="K9" i="1"/>
  <c r="M9" i="1" s="1"/>
  <c r="AE9" i="1"/>
  <c r="AA15" i="34"/>
  <c r="S15" i="34"/>
  <c r="AA28" i="34"/>
  <c r="S28" i="34"/>
  <c r="H50" i="43"/>
  <c r="AZ345" i="3"/>
  <c r="AZ371" i="3"/>
  <c r="AZ356" i="3"/>
  <c r="AZ329" i="3"/>
  <c r="AZ378" i="3"/>
  <c r="AZ360" i="3"/>
  <c r="AZ549" i="3"/>
  <c r="W35" i="40"/>
  <c r="W47" i="34"/>
  <c r="U14" i="40"/>
  <c r="U43" i="33"/>
  <c r="AA41" i="34"/>
  <c r="BQ5" i="3"/>
  <c r="F28" i="6" s="1"/>
  <c r="AZ497" i="3"/>
  <c r="AZ501" i="3"/>
  <c r="AZ529" i="3"/>
  <c r="AZ537" i="3"/>
  <c r="AZ545" i="3"/>
  <c r="AZ510" i="3"/>
  <c r="U40" i="33"/>
  <c r="W8" i="34"/>
  <c r="J20" i="35"/>
  <c r="W20" i="35"/>
  <c r="H14" i="35"/>
  <c r="AB14" i="35"/>
  <c r="F14" i="35"/>
  <c r="C27" i="39"/>
  <c r="J27" i="39"/>
  <c r="H40" i="39"/>
  <c r="U31" i="36"/>
  <c r="W31" i="37"/>
  <c r="U9" i="39"/>
  <c r="J45" i="39"/>
  <c r="AC45" i="39" s="1"/>
  <c r="AB41" i="21"/>
  <c r="BL585" i="3"/>
  <c r="AZ585" i="3" s="1"/>
  <c r="J9" i="36"/>
  <c r="AC9" i="36"/>
  <c r="J40" i="39"/>
  <c r="G570" i="3"/>
  <c r="G562" i="3"/>
  <c r="G558" i="3"/>
  <c r="BL398" i="3"/>
  <c r="G413" i="3"/>
  <c r="BL414" i="3"/>
  <c r="G434" i="3"/>
  <c r="G436" i="3"/>
  <c r="BA437" i="3"/>
  <c r="G438" i="3"/>
  <c r="BL439" i="3"/>
  <c r="G442" i="3"/>
  <c r="G444" i="3"/>
  <c r="BA445" i="3"/>
  <c r="G446" i="3"/>
  <c r="BL447" i="3"/>
  <c r="BA449" i="3"/>
  <c r="G450" i="3"/>
  <c r="BA451" i="3"/>
  <c r="AZ451" i="3" s="1"/>
  <c r="G452" i="3"/>
  <c r="BA453" i="3"/>
  <c r="AZ453" i="3" s="1"/>
  <c r="BL453" i="3"/>
  <c r="BL455" i="3"/>
  <c r="AZ455" i="3" s="1"/>
  <c r="G456" i="3"/>
  <c r="BA457" i="3"/>
  <c r="AZ457" i="3" s="1"/>
  <c r="BL457" i="3"/>
  <c r="BA459" i="3"/>
  <c r="AZ459" i="3" s="1"/>
  <c r="BL459" i="3"/>
  <c r="BA460" i="3"/>
  <c r="BA462" i="3"/>
  <c r="BL462" i="3"/>
  <c r="BA463" i="3"/>
  <c r="AZ463" i="3" s="1"/>
  <c r="BA464" i="3"/>
  <c r="BL466" i="3"/>
  <c r="G467" i="3"/>
  <c r="BA468" i="3"/>
  <c r="BL468" i="3"/>
  <c r="BL470" i="3"/>
  <c r="G471" i="3"/>
  <c r="BL472" i="3"/>
  <c r="G473" i="3"/>
  <c r="BL474" i="3"/>
  <c r="BA476" i="3"/>
  <c r="AZ476" i="3" s="1"/>
  <c r="G477" i="3"/>
  <c r="BL478" i="3"/>
  <c r="BA480" i="3"/>
  <c r="G481" i="3"/>
  <c r="BL482" i="3"/>
  <c r="G487" i="3"/>
  <c r="G491" i="3"/>
  <c r="BL312" i="3"/>
  <c r="AZ312" i="3" s="1"/>
  <c r="BL314" i="3"/>
  <c r="G315" i="3"/>
  <c r="BA317" i="3"/>
  <c r="AZ317" i="3"/>
  <c r="G323" i="3"/>
  <c r="BL324" i="3"/>
  <c r="G327" i="3"/>
  <c r="BL333" i="3"/>
  <c r="BA335" i="3"/>
  <c r="AZ335" i="3" s="1"/>
  <c r="BA339" i="3"/>
  <c r="AZ339" i="3" s="1"/>
  <c r="BA352" i="3"/>
  <c r="AZ352" i="3" s="1"/>
  <c r="BL354" i="3"/>
  <c r="BA358" i="3"/>
  <c r="AZ358" i="3"/>
  <c r="G382" i="3"/>
  <c r="G384" i="3"/>
  <c r="BL385" i="3"/>
  <c r="BA395" i="3"/>
  <c r="AZ395" i="3" s="1"/>
  <c r="G396" i="3"/>
  <c r="BL397" i="3"/>
  <c r="G210" i="3"/>
  <c r="BA211" i="3"/>
  <c r="G212" i="3"/>
  <c r="BA213" i="3"/>
  <c r="AZ213" i="3" s="1"/>
  <c r="BL213" i="3"/>
  <c r="BA215" i="3"/>
  <c r="BL215" i="3"/>
  <c r="BA216" i="3"/>
  <c r="AZ216" i="3" s="1"/>
  <c r="BA218" i="3"/>
  <c r="BL218" i="3"/>
  <c r="BA219" i="3"/>
  <c r="BL221" i="3"/>
  <c r="G222" i="3"/>
  <c r="BL223" i="3"/>
  <c r="G224" i="3"/>
  <c r="BL225" i="3"/>
  <c r="G228" i="3"/>
  <c r="BL229" i="3"/>
  <c r="G251" i="3"/>
  <c r="G259" i="3"/>
  <c r="G263" i="3"/>
  <c r="G267" i="3"/>
  <c r="BL268" i="3"/>
  <c r="BA270" i="3"/>
  <c r="G271" i="3"/>
  <c r="BL272" i="3"/>
  <c r="BA274" i="3"/>
  <c r="G275" i="3"/>
  <c r="BL276" i="3"/>
  <c r="G287" i="3"/>
  <c r="G289" i="3"/>
  <c r="BA290" i="3"/>
  <c r="G291" i="3"/>
  <c r="BL292" i="3"/>
  <c r="BL302" i="3"/>
  <c r="AZ302" i="3" s="1"/>
  <c r="BL114" i="3"/>
  <c r="G115" i="3"/>
  <c r="BA116" i="3"/>
  <c r="AZ116" i="3"/>
  <c r="BL118" i="3"/>
  <c r="AC5" i="3"/>
  <c r="BA120" i="3"/>
  <c r="AZ120" i="3"/>
  <c r="BA122" i="3"/>
  <c r="G123" i="3"/>
  <c r="G150" i="3"/>
  <c r="BA153" i="3"/>
  <c r="G154" i="3"/>
  <c r="BL155" i="3"/>
  <c r="AZ155" i="3" s="1"/>
  <c r="BA157" i="3"/>
  <c r="BL157" i="3"/>
  <c r="AZ157" i="3" s="1"/>
  <c r="BL159" i="3"/>
  <c r="G160" i="3"/>
  <c r="BA162" i="3"/>
  <c r="AZ162" i="3"/>
  <c r="BL162" i="3"/>
  <c r="BA164" i="3"/>
  <c r="AZ164" i="3" s="1"/>
  <c r="BA166" i="3"/>
  <c r="G167" i="3"/>
  <c r="G171" i="3"/>
  <c r="G182" i="3"/>
  <c r="BA185" i="3"/>
  <c r="G186" i="3"/>
  <c r="BL187" i="3"/>
  <c r="BA189" i="3"/>
  <c r="AZ189" i="3" s="1"/>
  <c r="BL189" i="3"/>
  <c r="BL191" i="3"/>
  <c r="AZ191" i="3" s="1"/>
  <c r="G192" i="3"/>
  <c r="BA194" i="3"/>
  <c r="AZ194" i="3" s="1"/>
  <c r="BL194" i="3"/>
  <c r="BA196" i="3"/>
  <c r="AZ196" i="3" s="1"/>
  <c r="BA198" i="3"/>
  <c r="AZ198" i="3" s="1"/>
  <c r="G199" i="3"/>
  <c r="BA200" i="3"/>
  <c r="AZ200" i="3" s="1"/>
  <c r="BA202" i="3"/>
  <c r="G203" i="3"/>
  <c r="G205" i="3"/>
  <c r="BL206" i="3"/>
  <c r="G207" i="3"/>
  <c r="G21"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K100" i="43"/>
  <c r="AC32" i="40"/>
  <c r="W32" i="40"/>
  <c r="AC31" i="40"/>
  <c r="W31" i="40"/>
  <c r="W33" i="40"/>
  <c r="AC33" i="40"/>
  <c r="AA38" i="40"/>
  <c r="S38" i="40"/>
  <c r="W40" i="40"/>
  <c r="AC40" i="40"/>
  <c r="H86" i="43"/>
  <c r="H49" i="43"/>
  <c r="H74" i="43"/>
  <c r="U12" i="40"/>
  <c r="S15" i="37"/>
  <c r="AZ361" i="3"/>
  <c r="AZ318" i="3"/>
  <c r="AZ355" i="3"/>
  <c r="AZ304" i="3"/>
  <c r="AZ341" i="3"/>
  <c r="AZ309" i="3"/>
  <c r="W14" i="39"/>
  <c r="W40" i="37"/>
  <c r="AC45" i="33"/>
  <c r="AA13" i="33"/>
  <c r="AB37" i="34"/>
  <c r="AB13" i="34"/>
  <c r="U33" i="37"/>
  <c r="AC32" i="36"/>
  <c r="AZ495" i="3"/>
  <c r="AZ499" i="3"/>
  <c r="AZ503" i="3"/>
  <c r="AZ553" i="3"/>
  <c r="AZ559" i="3"/>
  <c r="AZ567" i="3"/>
  <c r="AZ518" i="3"/>
  <c r="AZ538" i="3"/>
  <c r="AZ552" i="3"/>
  <c r="AZ560" i="3"/>
  <c r="AZ568" i="3"/>
  <c r="AZ576" i="3"/>
  <c r="AZ584" i="3"/>
  <c r="S41" i="33"/>
  <c r="AB23" i="34"/>
  <c r="W33" i="37"/>
  <c r="U30" i="35"/>
  <c r="C15" i="39"/>
  <c r="W39" i="33"/>
  <c r="U33" i="33"/>
  <c r="W9" i="34"/>
  <c r="J12" i="21"/>
  <c r="AC12" i="21" s="1"/>
  <c r="H12" i="33"/>
  <c r="U12" i="33" s="1"/>
  <c r="F9" i="34"/>
  <c r="S9" i="34" s="1"/>
  <c r="J14" i="35"/>
  <c r="W14" i="35" s="1"/>
  <c r="F9" i="36"/>
  <c r="AA9" i="36" s="1"/>
  <c r="F40" i="39"/>
  <c r="S40" i="39" s="1"/>
  <c r="J38" i="40"/>
  <c r="AC38" i="40" s="1"/>
  <c r="F40" i="40"/>
  <c r="AA40" i="40" s="1"/>
  <c r="G578" i="3"/>
  <c r="G574" i="3"/>
  <c r="F7" i="1"/>
  <c r="G7" i="1"/>
  <c r="BA398" i="3"/>
  <c r="AZ398" i="3"/>
  <c r="BL400" i="3"/>
  <c r="G401" i="3"/>
  <c r="G403" i="3"/>
  <c r="G406" i="3"/>
  <c r="G409" i="3"/>
  <c r="BL410" i="3"/>
  <c r="G411" i="3"/>
  <c r="BA412" i="3"/>
  <c r="AZ412" i="3" s="1"/>
  <c r="BL412" i="3"/>
  <c r="BA413" i="3"/>
  <c r="AZ413" i="3" s="1"/>
  <c r="BA414" i="3"/>
  <c r="AZ414" i="3" s="1"/>
  <c r="BL416" i="3"/>
  <c r="G417" i="3"/>
  <c r="G419" i="3"/>
  <c r="G422" i="3"/>
  <c r="G426" i="3"/>
  <c r="BL427" i="3"/>
  <c r="G428" i="3"/>
  <c r="G432" i="3"/>
  <c r="BA433" i="3"/>
  <c r="BL433" i="3"/>
  <c r="BA435" i="3"/>
  <c r="AZ435" i="3" s="1"/>
  <c r="BL435" i="3"/>
  <c r="BA436" i="3"/>
  <c r="BA438" i="3"/>
  <c r="BL438" i="3"/>
  <c r="BA439" i="3"/>
  <c r="BA440" i="3"/>
  <c r="AZ440" i="3" s="1"/>
  <c r="BA441" i="3"/>
  <c r="BL441" i="3"/>
  <c r="BA443" i="3"/>
  <c r="BL443" i="3"/>
  <c r="AZ443" i="3" s="1"/>
  <c r="BA444" i="3"/>
  <c r="AZ444" i="3" s="1"/>
  <c r="BA446" i="3"/>
  <c r="AZ446" i="3" s="1"/>
  <c r="BL446" i="3"/>
  <c r="BA447" i="3"/>
  <c r="AZ447" i="3" s="1"/>
  <c r="BA448" i="3"/>
  <c r="AZ448" i="3" s="1"/>
  <c r="BA450" i="3"/>
  <c r="AZ450" i="3" s="1"/>
  <c r="BL450" i="3"/>
  <c r="BL452" i="3"/>
  <c r="G453" i="3"/>
  <c r="G455" i="3"/>
  <c r="BL456" i="3"/>
  <c r="G457" i="3"/>
  <c r="G459" i="3"/>
  <c r="G462" i="3"/>
  <c r="G466" i="3"/>
  <c r="BL467" i="3"/>
  <c r="G468" i="3"/>
  <c r="G470" i="3"/>
  <c r="BL471" i="3"/>
  <c r="G472" i="3"/>
  <c r="BA473" i="3"/>
  <c r="BL473" i="3"/>
  <c r="AZ473" i="3" s="1"/>
  <c r="BA474" i="3"/>
  <c r="AZ474" i="3"/>
  <c r="BA475" i="3"/>
  <c r="BA477" i="3"/>
  <c r="BL477" i="3"/>
  <c r="AZ477" i="3" s="1"/>
  <c r="BA478" i="3"/>
  <c r="AZ478" i="3"/>
  <c r="BA479" i="3"/>
  <c r="AZ479" i="3"/>
  <c r="BA481" i="3"/>
  <c r="BL481" i="3"/>
  <c r="AZ481" i="3" s="1"/>
  <c r="BA482" i="3"/>
  <c r="AZ482" i="3"/>
  <c r="BA483" i="3"/>
  <c r="BL484" i="3"/>
  <c r="G485" i="3"/>
  <c r="BA486" i="3"/>
  <c r="AZ486" i="3"/>
  <c r="BL486" i="3"/>
  <c r="BL488" i="3"/>
  <c r="G489" i="3"/>
  <c r="BA490" i="3"/>
  <c r="AZ490" i="3" s="1"/>
  <c r="BL490" i="3"/>
  <c r="BL492" i="3"/>
  <c r="G307" i="3"/>
  <c r="BL308" i="3"/>
  <c r="AZ308" i="3" s="1"/>
  <c r="G311" i="3"/>
  <c r="BA319" i="3"/>
  <c r="AZ319" i="3" s="1"/>
  <c r="BA323" i="3"/>
  <c r="AZ323" i="3" s="1"/>
  <c r="BL330" i="3"/>
  <c r="AZ330" i="3" s="1"/>
  <c r="G331" i="3"/>
  <c r="BA333" i="3"/>
  <c r="G339" i="3"/>
  <c r="BL340" i="3"/>
  <c r="AZ340" i="3"/>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BL254" i="3"/>
  <c r="G255" i="3"/>
  <c r="BL256" i="3"/>
  <c r="G257" i="3"/>
  <c r="BA258" i="3"/>
  <c r="BL258" i="3"/>
  <c r="BL260" i="3"/>
  <c r="G261" i="3"/>
  <c r="BA262" i="3"/>
  <c r="AZ262" i="3"/>
  <c r="BL262" i="3"/>
  <c r="BL264" i="3"/>
  <c r="G265" i="3"/>
  <c r="BA266" i="3"/>
  <c r="AZ266" i="3" s="1"/>
  <c r="BL266" i="3"/>
  <c r="BA267" i="3"/>
  <c r="BA268" i="3"/>
  <c r="BA269" i="3"/>
  <c r="AZ269" i="3" s="1"/>
  <c r="BA271" i="3"/>
  <c r="BL271" i="3"/>
  <c r="BA272" i="3"/>
  <c r="AZ272" i="3" s="1"/>
  <c r="BA273" i="3"/>
  <c r="AZ273" i="3" s="1"/>
  <c r="BA275" i="3"/>
  <c r="BL275" i="3"/>
  <c r="AZ275" i="3" s="1"/>
  <c r="BA276" i="3"/>
  <c r="BL278" i="3"/>
  <c r="G279" i="3"/>
  <c r="BL280" i="3"/>
  <c r="G281" i="3"/>
  <c r="G285" i="3"/>
  <c r="BA286" i="3"/>
  <c r="BL286" i="3"/>
  <c r="AZ286" i="3" s="1"/>
  <c r="BA288" i="3"/>
  <c r="BL288" i="3"/>
  <c r="AZ288" i="3" s="1"/>
  <c r="BA289" i="3"/>
  <c r="BA291" i="3"/>
  <c r="AZ291" i="3"/>
  <c r="BL291" i="3"/>
  <c r="BA292" i="3"/>
  <c r="AZ292" i="3" s="1"/>
  <c r="BL294" i="3"/>
  <c r="G295" i="3"/>
  <c r="BL296" i="3"/>
  <c r="G297" i="3"/>
  <c r="G301" i="3"/>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c r="G159" i="3"/>
  <c r="G162" i="3"/>
  <c r="BA165" i="3"/>
  <c r="BL165" i="3"/>
  <c r="AZ165" i="3" s="1"/>
  <c r="BL167" i="3"/>
  <c r="AZ167" i="3"/>
  <c r="G168" i="3"/>
  <c r="BA170" i="3"/>
  <c r="AZ170" i="3" s="1"/>
  <c r="BL170" i="3"/>
  <c r="BA172" i="3"/>
  <c r="AZ172" i="3" s="1"/>
  <c r="G175" i="3"/>
  <c r="G178" i="3"/>
  <c r="BA181" i="3"/>
  <c r="BL181" i="3"/>
  <c r="BL183" i="3"/>
  <c r="AZ183" i="3" s="1"/>
  <c r="G184" i="3"/>
  <c r="BA186" i="3"/>
  <c r="AZ186" i="3"/>
  <c r="BL186" i="3"/>
  <c r="BA188" i="3"/>
  <c r="AZ188" i="3" s="1"/>
  <c r="G191" i="3"/>
  <c r="G194" i="3"/>
  <c r="BA197" i="3"/>
  <c r="BL197" i="3"/>
  <c r="BL199" i="3"/>
  <c r="AZ199" i="3" s="1"/>
  <c r="BA201" i="3"/>
  <c r="AZ201" i="3" s="1"/>
  <c r="BL201" i="3"/>
  <c r="BL203" i="3"/>
  <c r="AZ203" i="3" s="1"/>
  <c r="G204" i="3"/>
  <c r="BL205" i="3"/>
  <c r="G206" i="3"/>
  <c r="BA207" i="3"/>
  <c r="BL207" i="3"/>
  <c r="G25" i="3"/>
  <c r="G100" i="43"/>
  <c r="G26" i="3"/>
  <c r="G31" i="3"/>
  <c r="G33" i="3"/>
  <c r="BA35" i="3"/>
  <c r="AZ35" i="3" s="1"/>
  <c r="BL35" i="3"/>
  <c r="BL36" i="3"/>
  <c r="G37" i="3"/>
  <c r="BA38" i="3"/>
  <c r="AZ38" i="3" s="1"/>
  <c r="BL38" i="3"/>
  <c r="BL40" i="3"/>
  <c r="G41" i="3"/>
  <c r="G43" i="3"/>
  <c r="G47" i="3"/>
  <c r="G50" i="3"/>
  <c r="G52" i="3"/>
  <c r="BL53" i="3"/>
  <c r="G54" i="3"/>
  <c r="G56" i="3"/>
  <c r="BA57" i="3"/>
  <c r="BL57" i="3"/>
  <c r="AZ57" i="3" s="1"/>
  <c r="BA59" i="3"/>
  <c r="BL59" i="3"/>
  <c r="BA60" i="3"/>
  <c r="AZ60" i="3" s="1"/>
  <c r="BA61" i="3"/>
  <c r="AZ61" i="3" s="1"/>
  <c r="BA63" i="3"/>
  <c r="BL63" i="3"/>
  <c r="G64" i="3"/>
  <c r="BA65" i="3"/>
  <c r="AZ65" i="3" s="1"/>
  <c r="BL65" i="3"/>
  <c r="BA67" i="3"/>
  <c r="BL67" i="3"/>
  <c r="BA68" i="3"/>
  <c r="AZ68" i="3"/>
  <c r="BA69" i="3"/>
  <c r="AZ69" i="3"/>
  <c r="BA71" i="3"/>
  <c r="AZ71" i="3"/>
  <c r="BL71" i="3"/>
  <c r="BL73" i="3"/>
  <c r="AZ73" i="3" s="1"/>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8" i="1"/>
  <c r="J51" i="15"/>
  <c r="BL18" i="3"/>
  <c r="F29" i="6"/>
  <c r="G27" i="6"/>
  <c r="E19" i="6"/>
  <c r="G18" i="3"/>
  <c r="BL22" i="3"/>
  <c r="G23" i="3"/>
  <c r="G20" i="3"/>
  <c r="I4" i="6"/>
  <c r="G3" i="43" s="1"/>
  <c r="L101" i="43" s="1"/>
  <c r="L103" i="43" s="1"/>
  <c r="E20" i="6"/>
  <c r="E8" i="6"/>
  <c r="E56" i="39" s="1"/>
  <c r="F34" i="35"/>
  <c r="S34" i="35" s="1"/>
  <c r="U33" i="35"/>
  <c r="AC27" i="35"/>
  <c r="U8" i="35"/>
  <c r="U43" i="21"/>
  <c r="AB38" i="21"/>
  <c r="U34" i="21"/>
  <c r="S34" i="21"/>
  <c r="AB30" i="21"/>
  <c r="U10" i="21"/>
  <c r="S44" i="39"/>
  <c r="J44" i="39"/>
  <c r="AB34" i="39"/>
  <c r="S31" i="39"/>
  <c r="H15" i="39"/>
  <c r="AB8" i="39"/>
  <c r="C25" i="39"/>
  <c r="BL16" i="3"/>
  <c r="G14" i="3"/>
  <c r="H150" i="80" s="1"/>
  <c r="H154" i="80" s="1"/>
  <c r="AZ16" i="3"/>
  <c r="A15" i="62"/>
  <c r="B61" i="72" s="1"/>
  <c r="U23" i="35"/>
  <c r="AB23" i="35"/>
  <c r="AB9" i="36"/>
  <c r="U9" i="36"/>
  <c r="AC24" i="36"/>
  <c r="W24" i="36"/>
  <c r="AC43" i="39"/>
  <c r="W43" i="39"/>
  <c r="U45" i="39"/>
  <c r="AB45" i="39"/>
  <c r="W12" i="34"/>
  <c r="AC12" i="34"/>
  <c r="W12" i="36"/>
  <c r="AC12" i="36"/>
  <c r="AB44" i="39"/>
  <c r="U44" i="39"/>
  <c r="AC37" i="39"/>
  <c r="W37" i="39"/>
  <c r="W12" i="40"/>
  <c r="AC12" i="40"/>
  <c r="AZ521" i="3"/>
  <c r="BL586" i="3"/>
  <c r="AZ586" i="3" s="1"/>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BA416" i="3"/>
  <c r="BL418" i="3"/>
  <c r="AZ418" i="3" s="1"/>
  <c r="G421" i="3"/>
  <c r="BL421" i="3"/>
  <c r="G424" i="3"/>
  <c r="G425" i="3"/>
  <c r="BL425" i="3"/>
  <c r="AZ425" i="3" s="1"/>
  <c r="BA426" i="3"/>
  <c r="BA427" i="3"/>
  <c r="AZ427" i="3" s="1"/>
  <c r="G430" i="3"/>
  <c r="G431" i="3"/>
  <c r="BL431" i="3"/>
  <c r="AZ431" i="3" s="1"/>
  <c r="BA432" i="3"/>
  <c r="BL434" i="3"/>
  <c r="AZ434" i="3" s="1"/>
  <c r="G437" i="3"/>
  <c r="BL437" i="3"/>
  <c r="G440" i="3"/>
  <c r="G441" i="3"/>
  <c r="AZ462" i="3"/>
  <c r="G28" i="6"/>
  <c r="AZ326" i="3"/>
  <c r="AZ311" i="3"/>
  <c r="AZ372" i="3"/>
  <c r="AZ347" i="3"/>
  <c r="AZ344" i="3"/>
  <c r="AZ337" i="3"/>
  <c r="AZ320" i="3"/>
  <c r="AZ313" i="3"/>
  <c r="AZ305" i="3"/>
  <c r="AZ362" i="3"/>
  <c r="AZ569" i="3"/>
  <c r="AZ557" i="3"/>
  <c r="AZ516" i="3"/>
  <c r="AZ524" i="3"/>
  <c r="AZ532" i="3"/>
  <c r="AZ536" i="3"/>
  <c r="AZ544" i="3"/>
  <c r="AZ554" i="3"/>
  <c r="AZ558" i="3"/>
  <c r="AZ582" i="3"/>
  <c r="S11" i="36"/>
  <c r="AB11" i="35"/>
  <c r="AA44" i="33"/>
  <c r="F12" i="34"/>
  <c r="AA12" i="34" s="1"/>
  <c r="J23" i="35"/>
  <c r="W23" i="35" s="1"/>
  <c r="J36" i="35"/>
  <c r="W36" i="35" s="1"/>
  <c r="H12" i="36"/>
  <c r="AB12" i="36" s="1"/>
  <c r="H24" i="36"/>
  <c r="H39" i="40"/>
  <c r="AB39" i="40" s="1"/>
  <c r="G582" i="3"/>
  <c r="G566" i="3"/>
  <c r="G552" i="3"/>
  <c r="BA551" i="3"/>
  <c r="AZ551" i="3" s="1"/>
  <c r="G551" i="3"/>
  <c r="BL550" i="3"/>
  <c r="AZ550" i="3" s="1"/>
  <c r="BA550" i="3"/>
  <c r="BL548" i="3"/>
  <c r="AZ548" i="3" s="1"/>
  <c r="G526" i="3"/>
  <c r="BL15" i="3"/>
  <c r="AZ406" i="3"/>
  <c r="AZ422" i="3"/>
  <c r="BL442" i="3"/>
  <c r="AZ442" i="3" s="1"/>
  <c r="G445" i="3"/>
  <c r="BL445" i="3"/>
  <c r="AZ445" i="3" s="1"/>
  <c r="G448" i="3"/>
  <c r="G449" i="3"/>
  <c r="BL449" i="3"/>
  <c r="BL451" i="3"/>
  <c r="BA452" i="3"/>
  <c r="BL454" i="3"/>
  <c r="BA455" i="3"/>
  <c r="BA456" i="3"/>
  <c r="AZ456" i="3" s="1"/>
  <c r="BL458" i="3"/>
  <c r="G461" i="3"/>
  <c r="BL461" i="3"/>
  <c r="AZ461" i="3" s="1"/>
  <c r="G464" i="3"/>
  <c r="G465" i="3"/>
  <c r="BL465" i="3"/>
  <c r="AZ465" i="3" s="1"/>
  <c r="BA466" i="3"/>
  <c r="AZ466" i="3"/>
  <c r="BA467" i="3"/>
  <c r="AZ467" i="3"/>
  <c r="BL469" i="3"/>
  <c r="AZ469" i="3"/>
  <c r="BA470" i="3"/>
  <c r="AZ470" i="3"/>
  <c r="BA471" i="3"/>
  <c r="AZ471" i="3"/>
  <c r="BA472" i="3"/>
  <c r="AZ472" i="3"/>
  <c r="G475" i="3"/>
  <c r="G476" i="3"/>
  <c r="BL476" i="3"/>
  <c r="G479" i="3"/>
  <c r="G480" i="3"/>
  <c r="BL480" i="3"/>
  <c r="AZ480" i="3" s="1"/>
  <c r="G483" i="3"/>
  <c r="BA484" i="3"/>
  <c r="AZ484" i="3" s="1"/>
  <c r="BA485" i="3"/>
  <c r="AZ485" i="3" s="1"/>
  <c r="BL487" i="3"/>
  <c r="BA488" i="3"/>
  <c r="BA489" i="3"/>
  <c r="AZ489" i="3" s="1"/>
  <c r="BL491" i="3"/>
  <c r="BA492" i="3"/>
  <c r="AZ492" i="3" s="1"/>
  <c r="G313" i="3"/>
  <c r="BA315" i="3"/>
  <c r="AZ315" i="3" s="1"/>
  <c r="BL316" i="3"/>
  <c r="G318" i="3"/>
  <c r="G329" i="3"/>
  <c r="BA331" i="3"/>
  <c r="AZ331" i="3" s="1"/>
  <c r="BL332" i="3"/>
  <c r="G334" i="3"/>
  <c r="BL346" i="3"/>
  <c r="AZ346" i="3" s="1"/>
  <c r="G349" i="3"/>
  <c r="BA350" i="3"/>
  <c r="BL353" i="3"/>
  <c r="AZ353" i="3"/>
  <c r="G362" i="3"/>
  <c r="G366" i="3"/>
  <c r="BA368" i="3"/>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AZ220" i="3" s="1"/>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BA248" i="3"/>
  <c r="AZ248" i="3" s="1"/>
  <c r="BA249" i="3"/>
  <c r="AZ249" i="3" s="1"/>
  <c r="BL251" i="3"/>
  <c r="BA252" i="3"/>
  <c r="BA253" i="3"/>
  <c r="AZ253" i="3" s="1"/>
  <c r="AZ316" i="3"/>
  <c r="AZ230" i="3"/>
  <c r="BA255" i="3"/>
  <c r="BA256" i="3"/>
  <c r="AZ256" i="3" s="1"/>
  <c r="BA257" i="3"/>
  <c r="AZ257" i="3" s="1"/>
  <c r="BL259" i="3"/>
  <c r="BA260" i="3"/>
  <c r="AZ260" i="3" s="1"/>
  <c r="BA261" i="3"/>
  <c r="AZ261" i="3" s="1"/>
  <c r="BL263" i="3"/>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AZ284" i="3" s="1"/>
  <c r="BA285" i="3"/>
  <c r="BL287" i="3"/>
  <c r="AZ287" i="3" s="1"/>
  <c r="G290" i="3"/>
  <c r="BL290" i="3"/>
  <c r="AZ290" i="3" s="1"/>
  <c r="G293" i="3"/>
  <c r="BL293" i="3"/>
  <c r="AZ293" i="3"/>
  <c r="BA294" i="3"/>
  <c r="AZ294" i="3"/>
  <c r="BA295" i="3"/>
  <c r="BA296" i="3"/>
  <c r="AZ296" i="3"/>
  <c r="G299" i="3"/>
  <c r="G300" i="3"/>
  <c r="BL300" i="3"/>
  <c r="AZ300" i="3"/>
  <c r="BA301" i="3"/>
  <c r="AZ301" i="3"/>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c r="BA184" i="3"/>
  <c r="AZ184" i="3"/>
  <c r="BL185" i="3"/>
  <c r="AZ185" i="3"/>
  <c r="G188" i="3"/>
  <c r="BL190" i="3"/>
  <c r="AZ190" i="3" s="1"/>
  <c r="BA192" i="3"/>
  <c r="AZ192" i="3" s="1"/>
  <c r="BL193" i="3"/>
  <c r="AZ193" i="3" s="1"/>
  <c r="G196" i="3"/>
  <c r="BL198" i="3"/>
  <c r="G200" i="3"/>
  <c r="BL202" i="3"/>
  <c r="BA204" i="3"/>
  <c r="AZ204" i="3" s="1"/>
  <c r="BA205" i="3"/>
  <c r="AZ205" i="3" s="1"/>
  <c r="BA206" i="3"/>
  <c r="AZ206" i="3" s="1"/>
  <c r="BL21" i="3"/>
  <c r="BA22" i="3"/>
  <c r="AZ22" i="3" s="1"/>
  <c r="BL24" i="3"/>
  <c r="AZ24" i="3" s="1"/>
  <c r="BA25" i="3"/>
  <c r="AZ25" i="3" s="1"/>
  <c r="G28" i="3"/>
  <c r="G29" i="3"/>
  <c r="G30" i="3"/>
  <c r="BL30" i="3"/>
  <c r="AZ30" i="3" s="1"/>
  <c r="BL32" i="3"/>
  <c r="AZ32" i="3" s="1"/>
  <c r="BA34" i="3"/>
  <c r="AZ34" i="3" s="1"/>
  <c r="BA36" i="3"/>
  <c r="BA37" i="3"/>
  <c r="AZ37" i="3" s="1"/>
  <c r="BL39" i="3"/>
  <c r="AZ39" i="3" s="1"/>
  <c r="BA40" i="3"/>
  <c r="BL42" i="3"/>
  <c r="AZ42" i="3" s="1"/>
  <c r="G45" i="3"/>
  <c r="G46" i="3"/>
  <c r="BL46" i="3"/>
  <c r="G49" i="3"/>
  <c r="BL49" i="3"/>
  <c r="AZ49" i="3"/>
  <c r="BL51" i="3"/>
  <c r="BA52" i="3"/>
  <c r="AZ52" i="3"/>
  <c r="BA53" i="3"/>
  <c r="AZ53" i="3"/>
  <c r="BL55" i="3"/>
  <c r="AZ55" i="3"/>
  <c r="BA56" i="3"/>
  <c r="AZ56" i="3"/>
  <c r="BL58" i="3"/>
  <c r="AZ58" i="3"/>
  <c r="G61" i="3"/>
  <c r="G62" i="3"/>
  <c r="BL62" i="3"/>
  <c r="BA64" i="3"/>
  <c r="AZ64" i="3"/>
  <c r="BL66" i="3"/>
  <c r="G69" i="3"/>
  <c r="G70" i="3"/>
  <c r="BL70" i="3"/>
  <c r="AZ70" i="3"/>
  <c r="BL72" i="3"/>
  <c r="AZ72" i="3"/>
  <c r="BA73" i="3"/>
  <c r="BA74" i="3"/>
  <c r="AZ74" i="3" s="1"/>
  <c r="BA75" i="3"/>
  <c r="BL77" i="3"/>
  <c r="G79" i="3"/>
  <c r="G80" i="3"/>
  <c r="BL80" i="3"/>
  <c r="G82" i="3"/>
  <c r="G83" i="3"/>
  <c r="G84" i="3"/>
  <c r="BL84" i="3"/>
  <c r="BL86" i="3"/>
  <c r="AZ86" i="3" s="1"/>
  <c r="G88" i="3"/>
  <c r="BL88" i="3"/>
  <c r="AZ88" i="3" s="1"/>
  <c r="G91" i="3"/>
  <c r="BL91" i="3"/>
  <c r="AZ91" i="3" s="1"/>
  <c r="BA92" i="3"/>
  <c r="AZ92" i="3" s="1"/>
  <c r="BA93" i="3"/>
  <c r="AZ93" i="3" s="1"/>
  <c r="BA94" i="3"/>
  <c r="AZ94" i="3" s="1"/>
  <c r="G97" i="3"/>
  <c r="G98" i="3"/>
  <c r="BL98" i="3"/>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13" i="6"/>
  <c r="G29" i="6"/>
  <c r="G30" i="6" s="1"/>
  <c r="AC26" i="33"/>
  <c r="W26" i="33"/>
  <c r="W27" i="34"/>
  <c r="AC27" i="34"/>
  <c r="AB34" i="36"/>
  <c r="U34" i="36"/>
  <c r="AB33" i="36"/>
  <c r="U33" i="36"/>
  <c r="AC12" i="39"/>
  <c r="AC39" i="40"/>
  <c r="W39" i="40"/>
  <c r="AZ401" i="3"/>
  <c r="AZ417" i="3"/>
  <c r="AZ428" i="3"/>
  <c r="AZ433" i="3"/>
  <c r="E22" i="43"/>
  <c r="W12" i="33"/>
  <c r="AC12" i="33"/>
  <c r="AA32" i="36"/>
  <c r="S32" i="36"/>
  <c r="AZ441" i="3"/>
  <c r="BL14" i="3"/>
  <c r="U30" i="33"/>
  <c r="AC13" i="34"/>
  <c r="AA47" i="34"/>
  <c r="W28" i="37"/>
  <c r="S19" i="39"/>
  <c r="F12" i="33"/>
  <c r="AA12" i="33" s="1"/>
  <c r="H12" i="39"/>
  <c r="AB12" i="39" s="1"/>
  <c r="F39" i="40"/>
  <c r="S39" i="40" s="1"/>
  <c r="BA14" i="3"/>
  <c r="AZ14" i="3"/>
  <c r="AZ250" i="3"/>
  <c r="AZ281" i="3"/>
  <c r="AZ297" i="3"/>
  <c r="AZ173" i="3"/>
  <c r="AZ26" i="3"/>
  <c r="AZ41" i="3"/>
  <c r="S12" i="1"/>
  <c r="AQ12" i="1" s="1"/>
  <c r="R12" i="1"/>
  <c r="B12" i="1"/>
  <c r="E12" i="1" s="1"/>
  <c r="S10" i="1"/>
  <c r="T10" i="1" s="1"/>
  <c r="R10" i="1"/>
  <c r="B10" i="1"/>
  <c r="E10" i="1"/>
  <c r="AZ80" i="3"/>
  <c r="AZ84" i="3"/>
  <c r="AZ107" i="3"/>
  <c r="K12" i="1"/>
  <c r="M12" i="1" s="1"/>
  <c r="S13" i="1"/>
  <c r="R13" i="1"/>
  <c r="S11" i="1"/>
  <c r="AQ11" i="1" s="1"/>
  <c r="R11" i="1"/>
  <c r="J51" i="67"/>
  <c r="C42" i="1"/>
  <c r="H100" i="43"/>
  <c r="C30" i="66"/>
  <c r="E26" i="66"/>
  <c r="AA34" i="33"/>
  <c r="B41" i="1"/>
  <c r="S22" i="31"/>
  <c r="J100" i="43"/>
  <c r="AB37" i="40"/>
  <c r="S35" i="40"/>
  <c r="U35" i="40"/>
  <c r="AC36" i="40"/>
  <c r="W38" i="40"/>
  <c r="AA32" i="40"/>
  <c r="S17" i="40"/>
  <c r="S23" i="40"/>
  <c r="AC17" i="40"/>
  <c r="AC15" i="40"/>
  <c r="AB27" i="40"/>
  <c r="S30" i="40"/>
  <c r="AA19" i="40"/>
  <c r="S28" i="40"/>
  <c r="AA27" i="40"/>
  <c r="U21" i="40"/>
  <c r="AB19" i="40"/>
  <c r="W42" i="39"/>
  <c r="U37" i="39"/>
  <c r="S43" i="39"/>
  <c r="S37" i="39"/>
  <c r="F107" i="39"/>
  <c r="G107" i="39"/>
  <c r="U25" i="39"/>
  <c r="AB27" i="39"/>
  <c r="U31" i="39"/>
  <c r="S25" i="39"/>
  <c r="J21" i="39"/>
  <c r="W21" i="39" s="1"/>
  <c r="F21" i="39"/>
  <c r="S21" i="39" s="1"/>
  <c r="G95" i="39"/>
  <c r="H21" i="39"/>
  <c r="U21" i="39" s="1"/>
  <c r="W19" i="39"/>
  <c r="U19" i="39"/>
  <c r="S17" i="39"/>
  <c r="AC15" i="39"/>
  <c r="S15" i="39"/>
  <c r="S9" i="39"/>
  <c r="U14" i="39"/>
  <c r="AC13" i="39"/>
  <c r="U13" i="36"/>
  <c r="U26" i="36"/>
  <c r="S33" i="36"/>
  <c r="AA26" i="36"/>
  <c r="AA34" i="36"/>
  <c r="S29" i="36"/>
  <c r="AC26" i="36"/>
  <c r="AA22" i="36"/>
  <c r="W14" i="36"/>
  <c r="AB14" i="36"/>
  <c r="U22" i="36"/>
  <c r="S16" i="36"/>
  <c r="AA25" i="36"/>
  <c r="S24" i="36"/>
  <c r="U16" i="36"/>
  <c r="S14" i="36"/>
  <c r="U10" i="36"/>
  <c r="W10" i="36"/>
  <c r="AA25" i="35"/>
  <c r="S23" i="35"/>
  <c r="W24" i="35"/>
  <c r="AB13" i="35"/>
  <c r="AB27" i="35"/>
  <c r="U36" i="35"/>
  <c r="U32" i="35"/>
  <c r="AA33" i="35"/>
  <c r="AC30" i="35"/>
  <c r="S32" i="35"/>
  <c r="AA36" i="35"/>
  <c r="W32" i="35"/>
  <c r="AB16" i="35"/>
  <c r="U22" i="35"/>
  <c r="S20" i="35"/>
  <c r="AC20" i="35"/>
  <c r="S22" i="35"/>
  <c r="U14" i="35"/>
  <c r="AC10" i="35"/>
  <c r="AA10" i="35"/>
  <c r="AB10" i="35"/>
  <c r="AA11" i="35"/>
  <c r="S8" i="35"/>
  <c r="AC9" i="35"/>
  <c r="W9" i="35"/>
  <c r="W13" i="35"/>
  <c r="F9" i="35"/>
  <c r="S9" i="35" s="1"/>
  <c r="H9" i="35"/>
  <c r="F26" i="35"/>
  <c r="J26" i="35"/>
  <c r="H26" i="35"/>
  <c r="U26" i="35" s="1"/>
  <c r="AB40" i="37"/>
  <c r="W27" i="37"/>
  <c r="AC9" i="37"/>
  <c r="AC29" i="37"/>
  <c r="U29"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AA9" i="37"/>
  <c r="H10" i="37"/>
  <c r="AB10" i="37" s="1"/>
  <c r="H60" i="37"/>
  <c r="F63" i="37"/>
  <c r="G63" i="37" s="1"/>
  <c r="F11" i="37"/>
  <c r="S27" i="34"/>
  <c r="W25" i="34"/>
  <c r="AB8" i="34"/>
  <c r="U43" i="34"/>
  <c r="AC39" i="34"/>
  <c r="W41" i="34"/>
  <c r="AC42" i="34"/>
  <c r="AB35" i="34"/>
  <c r="U39" i="34"/>
  <c r="AB41" i="34"/>
  <c r="AA45" i="34"/>
  <c r="W34" i="34"/>
  <c r="AA25" i="34"/>
  <c r="U28" i="34"/>
  <c r="S17" i="34"/>
  <c r="AA29" i="34"/>
  <c r="U27" i="34"/>
  <c r="S23" i="34"/>
  <c r="U15" i="34"/>
  <c r="S10" i="34"/>
  <c r="S13" i="34"/>
  <c r="H67" i="34"/>
  <c r="H10" i="34"/>
  <c r="F11" i="34"/>
  <c r="F70" i="34"/>
  <c r="W42" i="33"/>
  <c r="AA35" i="33"/>
  <c r="S27" i="33"/>
  <c r="S32" i="33"/>
  <c r="AA29" i="33"/>
  <c r="AB29" i="33"/>
  <c r="W38" i="33"/>
  <c r="H41" i="33"/>
  <c r="F121" i="33"/>
  <c r="G121" i="33" s="1"/>
  <c r="H121" i="33" s="1"/>
  <c r="I121" i="33"/>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C11" i="33"/>
  <c r="AB14" i="33"/>
  <c r="W43" i="21"/>
  <c r="W36" i="21"/>
  <c r="W41" i="21"/>
  <c r="AA43" i="21"/>
  <c r="S39" i="21"/>
  <c r="AA38" i="21"/>
  <c r="AA36" i="21"/>
  <c r="AC40" i="21"/>
  <c r="W15" i="21"/>
  <c r="F77" i="21"/>
  <c r="G77" i="21" s="1"/>
  <c r="AA14" i="21"/>
  <c r="AB8" i="21"/>
  <c r="S8" i="21"/>
  <c r="M3" i="43"/>
  <c r="N10" i="43"/>
  <c r="M1" i="43"/>
  <c r="M8" i="43"/>
  <c r="C6" i="43" s="1"/>
  <c r="N8" i="43"/>
  <c r="N9" i="43"/>
  <c r="D120" i="9"/>
  <c r="C18" i="9"/>
  <c r="D18" i="9" s="1"/>
  <c r="F34" i="67"/>
  <c r="F62" i="67" s="1"/>
  <c r="M20" i="67"/>
  <c r="F34" i="15"/>
  <c r="F62" i="15" s="1"/>
  <c r="G13" i="3"/>
  <c r="E10" i="6"/>
  <c r="E11" i="6"/>
  <c r="E61" i="39" s="1"/>
  <c r="BL17" i="3"/>
  <c r="AZ17" i="3" s="1"/>
  <c r="BL13" i="3"/>
  <c r="G31" i="6"/>
  <c r="J56" i="9"/>
  <c r="J57" i="9"/>
  <c r="J59" i="9" s="1"/>
  <c r="J61" i="9" s="1"/>
  <c r="A24" i="51"/>
  <c r="B18" i="72"/>
  <c r="U29" i="34"/>
  <c r="E14" i="6"/>
  <c r="E5" i="6"/>
  <c r="P10" i="1"/>
  <c r="E32" i="6"/>
  <c r="L19" i="6"/>
  <c r="G1" i="68"/>
  <c r="K1" i="12"/>
  <c r="E19" i="69"/>
  <c r="E19" i="68"/>
  <c r="E19" i="11"/>
  <c r="E1" i="73"/>
  <c r="K1" i="73" s="1"/>
  <c r="G41" i="69"/>
  <c r="G22" i="69"/>
  <c r="G41" i="68"/>
  <c r="G22" i="68"/>
  <c r="G27" i="12"/>
  <c r="G26" i="12"/>
  <c r="G41" i="11"/>
  <c r="G22" i="11"/>
  <c r="G25" i="12"/>
  <c r="C100" i="43"/>
  <c r="E11" i="43"/>
  <c r="E10" i="43"/>
  <c r="E9" i="43"/>
  <c r="E8" i="43"/>
  <c r="E81" i="43"/>
  <c r="B79" i="43" s="1"/>
  <c r="G101" i="43"/>
  <c r="L102" i="43"/>
  <c r="G105" i="43"/>
  <c r="AI11" i="43"/>
  <c r="AI13" i="43" s="1"/>
  <c r="AA11" i="43"/>
  <c r="AA13" i="43" s="1"/>
  <c r="E48" i="43"/>
  <c r="B46" i="43" s="1"/>
  <c r="E70" i="43"/>
  <c r="B68"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c r="C7" i="39"/>
  <c r="C68" i="39"/>
  <c r="C7" i="35"/>
  <c r="C48" i="35" s="1"/>
  <c r="D48" i="35"/>
  <c r="C7" i="33"/>
  <c r="C58" i="33"/>
  <c r="D58" i="33" s="1"/>
  <c r="E58" i="33" s="1"/>
  <c r="F58" i="33" s="1"/>
  <c r="G58" i="33" s="1"/>
  <c r="H58" i="33" s="1"/>
  <c r="I58" i="33" s="1"/>
  <c r="J58" i="33" s="1"/>
  <c r="K58" i="33" s="1"/>
  <c r="L58" i="33" s="1"/>
  <c r="M58" i="33" s="1"/>
  <c r="N58" i="33" s="1"/>
  <c r="O58" i="33" s="1"/>
  <c r="C7" i="21"/>
  <c r="C7" i="40"/>
  <c r="C63" i="40" s="1"/>
  <c r="M47" i="9"/>
  <c r="G19" i="43"/>
  <c r="T35" i="4"/>
  <c r="A19" i="51"/>
  <c r="B14" i="72" s="1"/>
  <c r="C46" i="36"/>
  <c r="D46" i="36" s="1"/>
  <c r="E46" i="36" s="1"/>
  <c r="C59" i="34"/>
  <c r="D59" i="34" s="1"/>
  <c r="C52" i="37"/>
  <c r="D52" i="37" s="1"/>
  <c r="A4" i="51"/>
  <c r="B6" i="72" s="1"/>
  <c r="C58" i="21"/>
  <c r="D58" i="21" s="1"/>
  <c r="E58" i="21" s="1"/>
  <c r="F58" i="21" s="1"/>
  <c r="G58" i="21" s="1"/>
  <c r="H58" i="21" s="1"/>
  <c r="I58" i="21" s="1"/>
  <c r="J58" i="21" s="1"/>
  <c r="K58" i="21" s="1"/>
  <c r="L58" i="21" s="1"/>
  <c r="M58" i="21" s="1"/>
  <c r="N58" i="21" s="1"/>
  <c r="O58" i="21" s="1"/>
  <c r="C94" i="9"/>
  <c r="C92" i="9"/>
  <c r="H62" i="43"/>
  <c r="H66" i="43"/>
  <c r="H61" i="43"/>
  <c r="H65" i="43"/>
  <c r="H60" i="43"/>
  <c r="H64" i="43"/>
  <c r="H59" i="43"/>
  <c r="H63" i="43"/>
  <c r="H67" i="43"/>
  <c r="H55" i="43"/>
  <c r="H51" i="43"/>
  <c r="H56" i="43"/>
  <c r="H76" i="43"/>
  <c r="H72" i="43"/>
  <c r="H77" i="43"/>
  <c r="L20" i="6"/>
  <c r="B6" i="1"/>
  <c r="E6" i="1" s="1"/>
  <c r="K11" i="1"/>
  <c r="M11" i="1" s="1"/>
  <c r="O11"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1" i="39"/>
  <c r="AB41" i="39"/>
  <c r="W25" i="39"/>
  <c r="AC25" i="39"/>
  <c r="U13" i="39"/>
  <c r="AB13" i="39"/>
  <c r="AA13" i="39"/>
  <c r="S13" i="39"/>
  <c r="S14" i="39"/>
  <c r="AA14" i="39"/>
  <c r="U43" i="39"/>
  <c r="AB43" i="39"/>
  <c r="AA27" i="39"/>
  <c r="S27" i="39"/>
  <c r="W17" i="39"/>
  <c r="AC17" i="39"/>
  <c r="W31" i="39"/>
  <c r="AC31" i="39"/>
  <c r="AA45" i="39"/>
  <c r="W34" i="39"/>
  <c r="S8" i="39"/>
  <c r="S20" i="36"/>
  <c r="AC25" i="36"/>
  <c r="S28" i="36"/>
  <c r="U32" i="36"/>
  <c r="W29"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26" i="21"/>
  <c r="AB14" i="21"/>
  <c r="AB46" i="21"/>
  <c r="U40" i="21"/>
  <c r="AB31" i="21"/>
  <c r="U31" i="21"/>
  <c r="U13" i="21"/>
  <c r="AB13" i="21"/>
  <c r="W8" i="21"/>
  <c r="S35" i="21"/>
  <c r="AB37" i="21"/>
  <c r="J37" i="21"/>
  <c r="W37" i="21" s="1"/>
  <c r="H15" i="21"/>
  <c r="U15" i="21" s="1"/>
  <c r="W39" i="21"/>
  <c r="AC14" i="21"/>
  <c r="W30" i="21"/>
  <c r="S46" i="21"/>
  <c r="H45" i="21"/>
  <c r="U45" i="21" s="1"/>
  <c r="F29" i="2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K8" i="1"/>
  <c r="M8" i="1" s="1"/>
  <c r="O8" i="1" s="1"/>
  <c r="AC40" i="39"/>
  <c r="W40" i="39"/>
  <c r="S42" i="21"/>
  <c r="AZ215" i="3"/>
  <c r="AC27" i="39"/>
  <c r="W27" i="39"/>
  <c r="AA14" i="35"/>
  <c r="S14" i="35"/>
  <c r="AA9" i="34"/>
  <c r="AZ63" i="3"/>
  <c r="AZ117" i="3"/>
  <c r="AZ209" i="3"/>
  <c r="AA40" i="39"/>
  <c r="AC14" i="35"/>
  <c r="AB12" i="33"/>
  <c r="E21" i="6"/>
  <c r="D7" i="12"/>
  <c r="D3" i="35"/>
  <c r="E7" i="12"/>
  <c r="C31" i="35"/>
  <c r="H31" i="35" s="1"/>
  <c r="AB31" i="35" s="1"/>
  <c r="AA34" i="35"/>
  <c r="W17" i="21"/>
  <c r="AC44" i="39"/>
  <c r="W44" i="39"/>
  <c r="U12" i="36"/>
  <c r="AC23" i="35"/>
  <c r="AC36" i="35"/>
  <c r="S12" i="34"/>
  <c r="J53" i="67"/>
  <c r="F32" i="67"/>
  <c r="F60" i="67" s="1"/>
  <c r="F32" i="15"/>
  <c r="F60" i="15" s="1"/>
  <c r="T11" i="1"/>
  <c r="D19" i="12"/>
  <c r="C19" i="12" s="1"/>
  <c r="AR11" i="1"/>
  <c r="C77" i="9"/>
  <c r="C74" i="9" s="1"/>
  <c r="C24" i="12"/>
  <c r="AA39" i="40"/>
  <c r="S12" i="33"/>
  <c r="C16" i="43"/>
  <c r="C5" i="43" s="1"/>
  <c r="F54" i="9"/>
  <c r="H107" i="39"/>
  <c r="I107" i="39" s="1"/>
  <c r="J107" i="39" s="1"/>
  <c r="K107" i="39" s="1"/>
  <c r="L107" i="39" s="1"/>
  <c r="M107" i="39" s="1"/>
  <c r="AB21" i="39"/>
  <c r="AA21" i="39"/>
  <c r="AC21" i="39"/>
  <c r="U9" i="35"/>
  <c r="AB9" i="35"/>
  <c r="AA9" i="35"/>
  <c r="AC26" i="35"/>
  <c r="W26" i="35"/>
  <c r="AB26" i="35"/>
  <c r="AC17" i="37"/>
  <c r="S17" i="37"/>
  <c r="J19" i="37"/>
  <c r="G75" i="37"/>
  <c r="S19" i="37"/>
  <c r="AA23" i="37"/>
  <c r="J23" i="37"/>
  <c r="G79" i="37"/>
  <c r="J10" i="37"/>
  <c r="I60" i="37"/>
  <c r="H11" i="37"/>
  <c r="U10" i="37"/>
  <c r="G70" i="34"/>
  <c r="H11" i="34"/>
  <c r="AB10" i="34"/>
  <c r="U10" i="34"/>
  <c r="J10" i="34"/>
  <c r="I67" i="34"/>
  <c r="AB41" i="33"/>
  <c r="U41" i="33"/>
  <c r="W35" i="33"/>
  <c r="AC35" i="33"/>
  <c r="J36" i="33"/>
  <c r="H36" i="33"/>
  <c r="S36" i="33"/>
  <c r="AA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U10" i="33"/>
  <c r="AC10" i="33"/>
  <c r="W10" i="33"/>
  <c r="AC37" i="21"/>
  <c r="AB15" i="21"/>
  <c r="S13" i="21"/>
  <c r="D6" i="52"/>
  <c r="D121" i="9"/>
  <c r="D7" i="52" s="1"/>
  <c r="K120" i="9"/>
  <c r="J22" i="43"/>
  <c r="R22" i="31"/>
  <c r="B21" i="31" s="1"/>
  <c r="O19" i="43"/>
  <c r="E52" i="37"/>
  <c r="F52" i="37" s="1"/>
  <c r="E48" i="35"/>
  <c r="F48" i="35"/>
  <c r="G48" i="35" s="1"/>
  <c r="E59" i="34"/>
  <c r="F59" i="34" s="1"/>
  <c r="C65" i="40"/>
  <c r="D63" i="40"/>
  <c r="L27" i="6"/>
  <c r="AP7" i="1"/>
  <c r="M7" i="1"/>
  <c r="O7" i="1" s="1"/>
  <c r="P7" i="1" s="1"/>
  <c r="AB45" i="21"/>
  <c r="W32" i="21"/>
  <c r="AC32" i="21"/>
  <c r="AB9" i="21"/>
  <c r="U9" i="21"/>
  <c r="AA32" i="21"/>
  <c r="S32" i="21"/>
  <c r="W9" i="21"/>
  <c r="AC9" i="21"/>
  <c r="AB32" i="21"/>
  <c r="U32" i="21"/>
  <c r="AA10" i="21"/>
  <c r="S10" i="21"/>
  <c r="M17" i="67"/>
  <c r="M17" i="15"/>
  <c r="F59" i="15"/>
  <c r="F31" i="15"/>
  <c r="F59" i="67"/>
  <c r="F31" i="67"/>
  <c r="G109" i="43"/>
  <c r="J31" i="35"/>
  <c r="AC31" i="35" s="1"/>
  <c r="S9" i="1"/>
  <c r="AQ9" i="1" s="1"/>
  <c r="U31" i="35"/>
  <c r="E6" i="70"/>
  <c r="A18" i="62"/>
  <c r="B64" i="72" s="1"/>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AB19" i="33"/>
  <c r="U19" i="33"/>
  <c r="AA17" i="33"/>
  <c r="S17" i="33"/>
  <c r="U17" i="33"/>
  <c r="E63" i="40"/>
  <c r="D65" i="40"/>
  <c r="G39" i="43"/>
  <c r="I39" i="43" s="1"/>
  <c r="F1" i="67"/>
  <c r="Q52" i="67"/>
  <c r="W31" i="35"/>
  <c r="H38" i="39"/>
  <c r="J38" i="39"/>
  <c r="AC38" i="39" s="1"/>
  <c r="F38" i="39"/>
  <c r="W33" i="21"/>
  <c r="AC11" i="37"/>
  <c r="W11" i="37"/>
  <c r="W11" i="34"/>
  <c r="AC11" i="34"/>
  <c r="F63" i="40"/>
  <c r="E65" i="40"/>
  <c r="F50" i="11"/>
  <c r="F50" i="69"/>
  <c r="F50" i="68"/>
  <c r="S8" i="1"/>
  <c r="T8" i="1" s="1"/>
  <c r="S7" i="1"/>
  <c r="AQ7" i="1" s="1"/>
  <c r="W38" i="39"/>
  <c r="AA38" i="39"/>
  <c r="S38" i="39"/>
  <c r="AB38" i="39"/>
  <c r="U38" i="39"/>
  <c r="R9" i="1"/>
  <c r="G63" i="40"/>
  <c r="F65" i="40"/>
  <c r="E7" i="70"/>
  <c r="AR7" i="1"/>
  <c r="R8" i="1"/>
  <c r="R7" i="1"/>
  <c r="C19" i="68"/>
  <c r="H63" i="40"/>
  <c r="H65" i="40" s="1"/>
  <c r="G65" i="40"/>
  <c r="I63" i="40"/>
  <c r="J63" i="40" s="1"/>
  <c r="K63" i="40" s="1"/>
  <c r="K65" i="40" s="1"/>
  <c r="I65" i="40"/>
  <c r="L63" i="40"/>
  <c r="L65" i="40" s="1"/>
  <c r="E2" i="70"/>
  <c r="M63" i="40"/>
  <c r="M65" i="40" s="1"/>
  <c r="AE7" i="1"/>
  <c r="AE8" i="1"/>
  <c r="AE6" i="1"/>
  <c r="AG6" i="1"/>
  <c r="J7" i="33"/>
  <c r="W7" i="33" s="1"/>
  <c r="F7" i="33"/>
  <c r="S7" i="33" s="1"/>
  <c r="H7" i="33"/>
  <c r="AB7" i="33" s="1"/>
  <c r="T48" i="33" s="1"/>
  <c r="G48" i="33" s="1"/>
  <c r="U7" i="33"/>
  <c r="H112" i="9"/>
  <c r="D21" i="53" s="1"/>
  <c r="B39" i="72" s="1"/>
  <c r="H111" i="9"/>
  <c r="D126" i="9"/>
  <c r="I14" i="74" s="1"/>
  <c r="B8" i="74" s="1"/>
  <c r="D19" i="53"/>
  <c r="D59" i="9"/>
  <c r="M55" i="9" s="1"/>
  <c r="B38" i="72"/>
  <c r="D20" i="53"/>
  <c r="B40" i="72" s="1"/>
  <c r="H107" i="9"/>
  <c r="D122" i="9" s="1"/>
  <c r="AD3" i="71"/>
  <c r="P21" i="43"/>
  <c r="P22" i="43"/>
  <c r="P23" i="43"/>
  <c r="B71" i="39"/>
  <c r="P24" i="43"/>
  <c r="B66" i="40"/>
  <c r="P25" i="43"/>
  <c r="F7" i="67"/>
  <c r="AO10" i="1"/>
  <c r="F16" i="15"/>
  <c r="M8" i="67"/>
  <c r="C14" i="15"/>
  <c r="M27" i="15"/>
  <c r="M6" i="67"/>
  <c r="M26" i="15"/>
  <c r="M23" i="67"/>
  <c r="F20" i="31"/>
  <c r="AO7" i="1"/>
  <c r="M21" i="67"/>
  <c r="F8" i="67"/>
  <c r="F35" i="15"/>
  <c r="B7" i="76"/>
  <c r="E2" i="68"/>
  <c r="F16" i="67"/>
  <c r="E9" i="76"/>
  <c r="E2" i="69"/>
  <c r="F38" i="15"/>
  <c r="F43" i="15"/>
  <c r="AO9" i="1"/>
  <c r="B12" i="76"/>
  <c r="AO6" i="1"/>
  <c r="F6" i="15"/>
  <c r="C76" i="67"/>
  <c r="F35" i="67"/>
  <c r="F40" i="15"/>
  <c r="E10" i="76"/>
  <c r="F26" i="67"/>
  <c r="J15" i="15"/>
  <c r="D2" i="36"/>
  <c r="AO11" i="1"/>
  <c r="M8" i="15"/>
  <c r="D2" i="37"/>
  <c r="D2" i="33"/>
  <c r="M21" i="15"/>
  <c r="F36" i="15"/>
  <c r="L48" i="15"/>
  <c r="M22" i="67"/>
  <c r="D2" i="35"/>
  <c r="F41" i="67"/>
  <c r="F40" i="67"/>
  <c r="B10" i="76"/>
  <c r="B8" i="76"/>
  <c r="E11" i="76"/>
  <c r="E8" i="76"/>
  <c r="D2" i="34"/>
  <c r="B13" i="76"/>
  <c r="F41" i="15"/>
  <c r="M9" i="15"/>
  <c r="M24" i="67"/>
  <c r="AO13" i="1"/>
  <c r="B9" i="76"/>
  <c r="F13" i="15"/>
  <c r="E7" i="76"/>
  <c r="AO12" i="1"/>
  <c r="AO8" i="1"/>
  <c r="F38" i="67"/>
  <c r="E13" i="76"/>
  <c r="B11" i="76"/>
  <c r="C76" i="15"/>
  <c r="E12" i="76"/>
  <c r="D2" i="21"/>
  <c r="M27" i="67"/>
  <c r="AA37" i="21" l="1"/>
  <c r="S37" i="21"/>
  <c r="AA26" i="35"/>
  <c r="S26" i="35"/>
  <c r="E60" i="40"/>
  <c r="E65" i="39"/>
  <c r="AA7" i="33"/>
  <c r="R48" i="33" s="1"/>
  <c r="D13" i="53"/>
  <c r="N63" i="40"/>
  <c r="J65" i="40"/>
  <c r="E64" i="39"/>
  <c r="E59" i="40"/>
  <c r="S11" i="34"/>
  <c r="AA11" i="34"/>
  <c r="F32" i="39"/>
  <c r="J32" i="39"/>
  <c r="H32" i="39"/>
  <c r="F52" i="9"/>
  <c r="F30" i="69"/>
  <c r="M18" i="15"/>
  <c r="D68" i="9"/>
  <c r="AZ75" i="3"/>
  <c r="AZ350" i="3"/>
  <c r="AZ452" i="3"/>
  <c r="AZ436" i="3"/>
  <c r="AZ153" i="3"/>
  <c r="AZ274" i="3"/>
  <c r="AZ211" i="3"/>
  <c r="AZ449" i="3"/>
  <c r="AZ437" i="3"/>
  <c r="AZ373" i="3"/>
  <c r="AZ334" i="3"/>
  <c r="AZ364" i="3"/>
  <c r="AZ336" i="3"/>
  <c r="AZ321" i="3"/>
  <c r="AZ310" i="3"/>
  <c r="AB33" i="40"/>
  <c r="S14" i="40"/>
  <c r="AC12" i="37"/>
  <c r="AB28" i="37"/>
  <c r="AZ515" i="3"/>
  <c r="AZ507" i="3"/>
  <c r="AZ513" i="3"/>
  <c r="AZ517" i="3"/>
  <c r="AZ523" i="3"/>
  <c r="AZ531" i="3"/>
  <c r="AZ539" i="3"/>
  <c r="AZ547" i="3"/>
  <c r="AZ579" i="3"/>
  <c r="AZ526" i="3"/>
  <c r="AZ534" i="3"/>
  <c r="AZ542" i="3"/>
  <c r="AZ572" i="3"/>
  <c r="S44" i="34"/>
  <c r="AA14" i="37"/>
  <c r="AA14" i="33"/>
  <c r="U8" i="33"/>
  <c r="S38" i="33"/>
  <c r="J28" i="34"/>
  <c r="AB8" i="36"/>
  <c r="F12" i="36"/>
  <c r="F41" i="39"/>
  <c r="AC31" i="36"/>
  <c r="S41" i="21"/>
  <c r="F12" i="21"/>
  <c r="H12" i="21"/>
  <c r="H23" i="36"/>
  <c r="F23" i="36"/>
  <c r="H25" i="37"/>
  <c r="J25" i="37"/>
  <c r="E126" i="39"/>
  <c r="F126" i="39" s="1"/>
  <c r="G126" i="39" s="1"/>
  <c r="H126" i="39" s="1"/>
  <c r="I126" i="39" s="1"/>
  <c r="J126" i="39" s="1"/>
  <c r="K126" i="39" s="1"/>
  <c r="L126" i="39" s="1"/>
  <c r="M126" i="39" s="1"/>
  <c r="F42" i="39"/>
  <c r="H42" i="39"/>
  <c r="E120" i="39"/>
  <c r="H39" i="39"/>
  <c r="F36" i="39"/>
  <c r="H36" i="39"/>
  <c r="J36" i="39"/>
  <c r="U39" i="40"/>
  <c r="S40" i="40"/>
  <c r="W45" i="39"/>
  <c r="S9" i="36"/>
  <c r="AB23" i="39"/>
  <c r="AE11" i="43"/>
  <c r="AE13" i="43" s="1"/>
  <c r="J101" i="43"/>
  <c r="C7" i="43"/>
  <c r="H101" i="43"/>
  <c r="AA10" i="33"/>
  <c r="U44" i="34"/>
  <c r="AB27" i="36"/>
  <c r="AA39" i="34"/>
  <c r="AZ110" i="3"/>
  <c r="AZ108" i="3"/>
  <c r="AZ40" i="3"/>
  <c r="AZ252" i="3"/>
  <c r="AZ416" i="3"/>
  <c r="AZ59" i="3"/>
  <c r="AZ197" i="3"/>
  <c r="AZ181" i="3"/>
  <c r="AZ149" i="3"/>
  <c r="AZ271" i="3"/>
  <c r="AZ254" i="3"/>
  <c r="AZ224" i="3"/>
  <c r="AZ367" i="3"/>
  <c r="AZ333" i="3"/>
  <c r="AZ438" i="3"/>
  <c r="AZ111" i="3"/>
  <c r="AZ139" i="3"/>
  <c r="AZ327" i="3"/>
  <c r="AB35" i="33"/>
  <c r="U35" i="33"/>
  <c r="J26" i="37"/>
  <c r="F26" i="37"/>
  <c r="W9" i="40"/>
  <c r="AC9" i="40"/>
  <c r="AA34" i="40"/>
  <c r="S34" i="40"/>
  <c r="H35" i="39"/>
  <c r="J35" i="39"/>
  <c r="F35" i="39"/>
  <c r="G400" i="3"/>
  <c r="BL403" i="3"/>
  <c r="AZ403" i="3" s="1"/>
  <c r="BA404" i="3"/>
  <c r="AZ404" i="3" s="1"/>
  <c r="G410" i="3"/>
  <c r="BA415" i="3"/>
  <c r="AZ415" i="3" s="1"/>
  <c r="G418" i="3"/>
  <c r="BA419" i="3"/>
  <c r="AZ419" i="3" s="1"/>
  <c r="BA421" i="3"/>
  <c r="AZ421" i="3" s="1"/>
  <c r="G423" i="3"/>
  <c r="BL423" i="3"/>
  <c r="BL424" i="3"/>
  <c r="BL426" i="3"/>
  <c r="AZ426" i="3" s="1"/>
  <c r="G429" i="3"/>
  <c r="BL429" i="3"/>
  <c r="BL430" i="3"/>
  <c r="BL432" i="3"/>
  <c r="AZ432" i="3" s="1"/>
  <c r="BL436" i="3"/>
  <c r="G443" i="3"/>
  <c r="G451" i="3"/>
  <c r="BA454" i="3"/>
  <c r="AZ454" i="3" s="1"/>
  <c r="BA458" i="3"/>
  <c r="AZ458" i="3" s="1"/>
  <c r="BL460" i="3"/>
  <c r="AZ460" i="3" s="1"/>
  <c r="G463" i="3"/>
  <c r="BL464" i="3"/>
  <c r="AZ464" i="3" s="1"/>
  <c r="G469" i="3"/>
  <c r="BL475" i="3"/>
  <c r="AZ475" i="3" s="1"/>
  <c r="BL483" i="3"/>
  <c r="AZ483" i="3" s="1"/>
  <c r="BA487" i="3"/>
  <c r="AZ487" i="3" s="1"/>
  <c r="BA491" i="3"/>
  <c r="AZ491" i="3" s="1"/>
  <c r="BA332" i="3"/>
  <c r="AZ332" i="3" s="1"/>
  <c r="BL348" i="3"/>
  <c r="AZ348" i="3" s="1"/>
  <c r="BL359" i="3"/>
  <c r="AZ359" i="3" s="1"/>
  <c r="BL368" i="3"/>
  <c r="AZ368" i="3" s="1"/>
  <c r="G374" i="3"/>
  <c r="BL375" i="3"/>
  <c r="AZ375" i="3" s="1"/>
  <c r="BA208" i="3"/>
  <c r="AZ208" i="3" s="1"/>
  <c r="G214" i="3"/>
  <c r="G216" i="3"/>
  <c r="BA217" i="3"/>
  <c r="AZ217" i="3" s="1"/>
  <c r="BL219" i="3"/>
  <c r="AZ219" i="3" s="1"/>
  <c r="BA226" i="3"/>
  <c r="AZ226" i="3" s="1"/>
  <c r="G231" i="3"/>
  <c r="BL234" i="3"/>
  <c r="AZ234" i="3" s="1"/>
  <c r="BL238" i="3"/>
  <c r="AZ238" i="3" s="1"/>
  <c r="BA239" i="3"/>
  <c r="AZ239" i="3" s="1"/>
  <c r="BA241" i="3"/>
  <c r="AZ241" i="3" s="1"/>
  <c r="BL245" i="3"/>
  <c r="AZ245" i="3" s="1"/>
  <c r="BL247" i="3"/>
  <c r="AZ247" i="3" s="1"/>
  <c r="BA251" i="3"/>
  <c r="AZ251" i="3" s="1"/>
  <c r="BL255" i="3"/>
  <c r="AZ255" i="3" s="1"/>
  <c r="BA259" i="3"/>
  <c r="AZ259" i="3" s="1"/>
  <c r="BA263" i="3"/>
  <c r="AZ263" i="3" s="1"/>
  <c r="BL267" i="3"/>
  <c r="AZ267" i="3" s="1"/>
  <c r="G276" i="3"/>
  <c r="G280" i="3"/>
  <c r="BL283" i="3"/>
  <c r="AZ283" i="3" s="1"/>
  <c r="BL285" i="3"/>
  <c r="AZ285" i="3" s="1"/>
  <c r="BL289" i="3"/>
  <c r="AZ289" i="3" s="1"/>
  <c r="BL295" i="3"/>
  <c r="AZ295" i="3" s="1"/>
  <c r="G298" i="3"/>
  <c r="BL298" i="3"/>
  <c r="G120" i="3"/>
  <c r="G128" i="3"/>
  <c r="BA133" i="3"/>
  <c r="AZ133" i="3" s="1"/>
  <c r="BL135" i="3"/>
  <c r="AZ135" i="3" s="1"/>
  <c r="BA137" i="3"/>
  <c r="AZ137" i="3" s="1"/>
  <c r="BL139" i="3"/>
  <c r="BA141" i="3"/>
  <c r="AZ141" i="3" s="1"/>
  <c r="G556" i="3"/>
  <c r="AZ423" i="3"/>
  <c r="AZ424" i="3"/>
  <c r="AZ429" i="3"/>
  <c r="AZ430" i="3"/>
  <c r="I15" i="66"/>
  <c r="D1" i="66" s="1"/>
  <c r="E10" i="66" s="1"/>
  <c r="W21" i="34"/>
  <c r="S18" i="36"/>
  <c r="C59" i="71"/>
  <c r="D59" i="71" s="1"/>
  <c r="C51" i="71"/>
  <c r="D51" i="71" s="1"/>
  <c r="D52" i="71"/>
  <c r="C47" i="71"/>
  <c r="O48" i="71"/>
  <c r="AB5" i="71"/>
  <c r="AB3" i="71"/>
  <c r="AB9" i="71"/>
  <c r="C17" i="71"/>
  <c r="D16" i="71"/>
  <c r="BL143" i="3"/>
  <c r="AZ143" i="3" s="1"/>
  <c r="BA145" i="3"/>
  <c r="AZ145" i="3" s="1"/>
  <c r="BL147" i="3"/>
  <c r="AZ147" i="3" s="1"/>
  <c r="G151" i="3"/>
  <c r="G170" i="3"/>
  <c r="G174" i="3"/>
  <c r="BL175" i="3"/>
  <c r="AZ175" i="3" s="1"/>
  <c r="BA178" i="3"/>
  <c r="AZ178" i="3" s="1"/>
  <c r="BL179" i="3"/>
  <c r="AZ179" i="3" s="1"/>
  <c r="G183" i="3"/>
  <c r="G36" i="3"/>
  <c r="G40" i="3"/>
  <c r="BL43" i="3"/>
  <c r="BA44" i="3"/>
  <c r="AZ44" i="3" s="1"/>
  <c r="BA46" i="3"/>
  <c r="AZ46" i="3" s="1"/>
  <c r="G48" i="3"/>
  <c r="BL48" i="3"/>
  <c r="BA50" i="3"/>
  <c r="AZ50" i="3" s="1"/>
  <c r="BA51" i="3"/>
  <c r="AZ51" i="3" s="1"/>
  <c r="G57" i="3"/>
  <c r="BA62" i="3"/>
  <c r="AZ62" i="3" s="1"/>
  <c r="BA66" i="3"/>
  <c r="AZ66" i="3" s="1"/>
  <c r="G71" i="3"/>
  <c r="G75" i="3"/>
  <c r="BA76" i="3"/>
  <c r="AZ76" i="3" s="1"/>
  <c r="BA77" i="3"/>
  <c r="AZ77" i="3" s="1"/>
  <c r="BL78" i="3"/>
  <c r="BL82" i="3"/>
  <c r="AZ82" i="3" s="1"/>
  <c r="BL85" i="3"/>
  <c r="AZ85" i="3" s="1"/>
  <c r="BA87" i="3"/>
  <c r="AZ87" i="3" s="1"/>
  <c r="G93" i="3"/>
  <c r="BA98" i="3"/>
  <c r="AZ98" i="3" s="1"/>
  <c r="BL100" i="3"/>
  <c r="BL105" i="3"/>
  <c r="AZ105" i="3" s="1"/>
  <c r="G112" i="3"/>
  <c r="T45" i="71"/>
  <c r="D45" i="71"/>
  <c r="C63" i="71"/>
  <c r="D63" i="71" s="1"/>
  <c r="D64" i="71"/>
  <c r="C20" i="71"/>
  <c r="D19" i="71"/>
  <c r="C37" i="71"/>
  <c r="D36" i="71"/>
  <c r="D61" i="71"/>
  <c r="E60" i="71"/>
  <c r="E59" i="71" s="1"/>
  <c r="E56" i="71"/>
  <c r="E55" i="71" s="1"/>
  <c r="D53" i="71"/>
  <c r="E52" i="71"/>
  <c r="E51" i="71" s="1"/>
  <c r="E48" i="71"/>
  <c r="AA5" i="71"/>
  <c r="AA12" i="71"/>
  <c r="AB10" i="71"/>
  <c r="AA18" i="71"/>
  <c r="F12" i="71"/>
  <c r="F13" i="71" s="1"/>
  <c r="V13" i="71" s="1"/>
  <c r="Y11" i="71"/>
  <c r="Z11" i="71" s="1"/>
  <c r="X11" i="71"/>
  <c r="F16" i="71"/>
  <c r="F17" i="71" s="1"/>
  <c r="V17" i="71" s="1"/>
  <c r="Y15" i="71"/>
  <c r="Z15" i="71" s="1"/>
  <c r="X13" i="71"/>
  <c r="K56" i="9"/>
  <c r="BA19" i="3"/>
  <c r="AZ19" i="3" s="1"/>
  <c r="E9" i="49"/>
  <c r="B5" i="49"/>
  <c r="B8" i="49"/>
  <c r="C4" i="4" s="1"/>
  <c r="B4" i="62" s="1"/>
  <c r="B71" i="72" s="1"/>
  <c r="B11" i="49"/>
  <c r="E4" i="4" s="1"/>
  <c r="B5" i="62" s="1"/>
  <c r="B73" i="72" s="1"/>
  <c r="B14" i="49"/>
  <c r="E11" i="49"/>
  <c r="B6" i="49"/>
  <c r="E21" i="49"/>
  <c r="B13" i="49"/>
  <c r="E22" i="49"/>
  <c r="B7" i="49"/>
  <c r="E4" i="49"/>
  <c r="B4" i="49"/>
  <c r="E5" i="49"/>
  <c r="E10" i="49"/>
  <c r="E8" i="49"/>
  <c r="E16" i="49"/>
  <c r="B9" i="49"/>
  <c r="E6" i="49"/>
  <c r="E7" i="49"/>
  <c r="B16" i="49"/>
  <c r="B10" i="49"/>
  <c r="AA12" i="39"/>
  <c r="AR9" i="1"/>
  <c r="T7" i="1"/>
  <c r="T9" i="1"/>
  <c r="F31" i="35"/>
  <c r="H102" i="43"/>
  <c r="H104" i="43"/>
  <c r="H107" i="43"/>
  <c r="D9" i="11"/>
  <c r="C9" i="11" s="1"/>
  <c r="D9" i="69"/>
  <c r="C9" i="69" s="1"/>
  <c r="D9" i="68"/>
  <c r="C9" i="68" s="1"/>
  <c r="AR8" i="1"/>
  <c r="H109" i="43"/>
  <c r="H103" i="43"/>
  <c r="E56" i="40"/>
  <c r="E16" i="6"/>
  <c r="AR12" i="1"/>
  <c r="Y11" i="43"/>
  <c r="Y13" i="43" s="1"/>
  <c r="AC11" i="43"/>
  <c r="AC13" i="43" s="1"/>
  <c r="AG11" i="43"/>
  <c r="AG13" i="43" s="1"/>
  <c r="N101" i="43"/>
  <c r="K101" i="43"/>
  <c r="T12" i="1"/>
  <c r="G22" i="43"/>
  <c r="C15" i="15"/>
  <c r="C19" i="15"/>
  <c r="C18" i="15"/>
  <c r="B6" i="70"/>
  <c r="F63" i="15"/>
  <c r="C62" i="15" s="1"/>
  <c r="C34" i="15"/>
  <c r="J20" i="15"/>
  <c r="Q71" i="15"/>
  <c r="F64" i="15"/>
  <c r="C27" i="67"/>
  <c r="J53" i="15"/>
  <c r="I54" i="15"/>
  <c r="J59" i="15"/>
  <c r="L57" i="15"/>
  <c r="L46" i="15"/>
  <c r="L56" i="15"/>
  <c r="J57" i="15"/>
  <c r="J55" i="15" s="1"/>
  <c r="J58" i="15" s="1"/>
  <c r="Q50" i="15" s="1"/>
  <c r="J60" i="15"/>
  <c r="Q48" i="15" s="1"/>
  <c r="L60" i="15"/>
  <c r="Q71" i="67"/>
  <c r="B20" i="31"/>
  <c r="B7" i="70"/>
  <c r="B8" i="70"/>
  <c r="F69" i="67"/>
  <c r="F69" i="15"/>
  <c r="J20" i="67"/>
  <c r="F63" i="67"/>
  <c r="C62" i="67" s="1"/>
  <c r="C34" i="67"/>
  <c r="F68" i="67"/>
  <c r="F66" i="15"/>
  <c r="F51" i="67"/>
  <c r="F66" i="67"/>
  <c r="M7" i="67"/>
  <c r="F50" i="67"/>
  <c r="F71" i="15"/>
  <c r="F68" i="15"/>
  <c r="B10" i="70"/>
  <c r="B9" i="70"/>
  <c r="B11" i="70"/>
  <c r="B13" i="70"/>
  <c r="B12" i="70"/>
  <c r="D123" i="9"/>
  <c r="D9" i="52" s="1"/>
  <c r="G14" i="74"/>
  <c r="B6" i="74" s="1"/>
  <c r="D8" i="52"/>
  <c r="E48" i="33"/>
  <c r="R49" i="33"/>
  <c r="G52" i="33"/>
  <c r="H52" i="33" s="1"/>
  <c r="G59" i="34"/>
  <c r="H59" i="34" s="1"/>
  <c r="I59" i="34" s="1"/>
  <c r="J59" i="34" s="1"/>
  <c r="K59" i="34" s="1"/>
  <c r="L59" i="34" s="1"/>
  <c r="M59" i="34" s="1"/>
  <c r="N59" i="34" s="1"/>
  <c r="O59" i="34" s="1"/>
  <c r="J7" i="34"/>
  <c r="H7" i="34"/>
  <c r="F7" i="34"/>
  <c r="F46" i="36"/>
  <c r="G46" i="36" s="1"/>
  <c r="H46" i="36" s="1"/>
  <c r="I46" i="36" s="1"/>
  <c r="J46" i="36" s="1"/>
  <c r="K46" i="36" s="1"/>
  <c r="L46" i="36" s="1"/>
  <c r="M46" i="36" s="1"/>
  <c r="N46" i="36" s="1"/>
  <c r="O46" i="36" s="1"/>
  <c r="F7" i="36"/>
  <c r="J7" i="36"/>
  <c r="H7" i="36"/>
  <c r="D12" i="52"/>
  <c r="D127" i="9"/>
  <c r="D13" i="52" s="1"/>
  <c r="AC7" i="33"/>
  <c r="V48" i="33" s="1"/>
  <c r="I48" i="33" s="1"/>
  <c r="H48" i="35"/>
  <c r="I48" i="35" s="1"/>
  <c r="J48" i="35" s="1"/>
  <c r="K48" i="35" s="1"/>
  <c r="L48" i="35" s="1"/>
  <c r="M48" i="35" s="1"/>
  <c r="N48" i="35" s="1"/>
  <c r="O48" i="35" s="1"/>
  <c r="F7" i="35"/>
  <c r="G52" i="37"/>
  <c r="H52" i="37" s="1"/>
  <c r="I52" i="37" s="1"/>
  <c r="J52" i="37" s="1"/>
  <c r="K52" i="37" s="1"/>
  <c r="L52" i="37" s="1"/>
  <c r="M52" i="37" s="1"/>
  <c r="N52" i="37" s="1"/>
  <c r="O52" i="37" s="1"/>
  <c r="S29" i="21"/>
  <c r="AA29" i="21"/>
  <c r="J102" i="43"/>
  <c r="J105" i="43"/>
  <c r="J106" i="43"/>
  <c r="G102" i="43"/>
  <c r="G103" i="43"/>
  <c r="G104" i="43"/>
  <c r="G107" i="43"/>
  <c r="L109" i="43"/>
  <c r="L105" i="43"/>
  <c r="L106" i="43"/>
  <c r="AR13" i="1"/>
  <c r="AQ13" i="1"/>
  <c r="T13" i="1"/>
  <c r="E57" i="40"/>
  <c r="E62" i="39"/>
  <c r="B113" i="43"/>
  <c r="C101" i="43"/>
  <c r="N104" i="46"/>
  <c r="H22" i="43"/>
  <c r="D101" i="43"/>
  <c r="M101" i="43"/>
  <c r="I101" i="43"/>
  <c r="E101" i="43"/>
  <c r="AJ11" i="43"/>
  <c r="AJ13" i="43" s="1"/>
  <c r="AH11" i="43"/>
  <c r="AH13" i="43" s="1"/>
  <c r="AF11" i="43"/>
  <c r="AF13" i="43" s="1"/>
  <c r="AD11" i="43"/>
  <c r="AD13" i="43" s="1"/>
  <c r="AB11" i="43"/>
  <c r="AB13" i="43" s="1"/>
  <c r="Z11" i="43"/>
  <c r="Z13" i="43" s="1"/>
  <c r="Z7" i="43"/>
  <c r="F30" i="6"/>
  <c r="E28" i="6"/>
  <c r="U33" i="34"/>
  <c r="AB33" i="34"/>
  <c r="S40" i="34"/>
  <c r="AA40" i="34"/>
  <c r="U34" i="33"/>
  <c r="AB34" i="33"/>
  <c r="W20" i="36"/>
  <c r="AC20" i="36"/>
  <c r="S33" i="34"/>
  <c r="AA33" i="34"/>
  <c r="D9" i="53"/>
  <c r="B25" i="72" s="1"/>
  <c r="B24" i="72"/>
  <c r="AQ8" i="1"/>
  <c r="P8" i="1"/>
  <c r="P11" i="1"/>
  <c r="C70" i="39"/>
  <c r="D68" i="39"/>
  <c r="L107" i="43"/>
  <c r="G106" i="43"/>
  <c r="L104" i="43"/>
  <c r="J103" i="43"/>
  <c r="N102" i="43"/>
  <c r="N105" i="43"/>
  <c r="N106" i="43"/>
  <c r="K103" i="43"/>
  <c r="K107" i="43"/>
  <c r="H105" i="43"/>
  <c r="H106" i="43"/>
  <c r="S11" i="37"/>
  <c r="AA11" i="37"/>
  <c r="U12" i="39"/>
  <c r="F53" i="9"/>
  <c r="F30" i="68"/>
  <c r="F30" i="11"/>
  <c r="F28" i="67"/>
  <c r="C28" i="67" s="1"/>
  <c r="F31" i="12"/>
  <c r="M18" i="67"/>
  <c r="F28" i="15"/>
  <c r="C28" i="15" s="1"/>
  <c r="O12" i="1"/>
  <c r="P12" i="1" s="1"/>
  <c r="AQ10" i="1"/>
  <c r="AR10" i="1"/>
  <c r="F101" i="43"/>
  <c r="E58" i="40"/>
  <c r="E63" i="39"/>
  <c r="AZ36" i="3"/>
  <c r="AZ488" i="3"/>
  <c r="AB24" i="36"/>
  <c r="U24" i="36"/>
  <c r="U15" i="39"/>
  <c r="AB15" i="39"/>
  <c r="F27" i="6"/>
  <c r="F31" i="6" s="1"/>
  <c r="E51" i="40"/>
  <c r="F22" i="43"/>
  <c r="D3" i="21"/>
  <c r="C7" i="12"/>
  <c r="K6" i="1"/>
  <c r="E29" i="6"/>
  <c r="K15" i="1" s="1"/>
  <c r="AZ67" i="3"/>
  <c r="AZ207" i="3"/>
  <c r="AZ154" i="3"/>
  <c r="AZ276" i="3"/>
  <c r="AZ268" i="3"/>
  <c r="AZ258" i="3"/>
  <c r="AZ397" i="3"/>
  <c r="AZ439" i="3"/>
  <c r="AZ202" i="3"/>
  <c r="AZ218" i="3"/>
  <c r="AZ468" i="3"/>
  <c r="AB40" i="39"/>
  <c r="U40" i="39"/>
  <c r="O9" i="1"/>
  <c r="P9" i="1" s="1"/>
  <c r="AC33" i="34"/>
  <c r="W33" i="34"/>
  <c r="AA32" i="37"/>
  <c r="S32" i="37"/>
  <c r="AA27" i="36"/>
  <c r="S27" i="36"/>
  <c r="AA23" i="39"/>
  <c r="S23" i="39"/>
  <c r="AA43" i="34"/>
  <c r="S43" i="34"/>
  <c r="W27" i="36"/>
  <c r="AC27" i="36"/>
  <c r="U20" i="36"/>
  <c r="AB20" i="36"/>
  <c r="W34" i="33"/>
  <c r="AC34" i="33"/>
  <c r="AZ314" i="3"/>
  <c r="AZ187" i="3"/>
  <c r="AZ159" i="3"/>
  <c r="AZ324" i="3"/>
  <c r="U17" i="34"/>
  <c r="AB17" i="34"/>
  <c r="F7" i="21"/>
  <c r="H7" i="21"/>
  <c r="J7" i="21"/>
  <c r="H87" i="43"/>
  <c r="H82" i="43"/>
  <c r="H75" i="43"/>
  <c r="U12" i="37"/>
  <c r="W31" i="34"/>
  <c r="U31" i="34"/>
  <c r="I87" i="35"/>
  <c r="J87" i="35" s="1"/>
  <c r="K87" i="35" s="1"/>
  <c r="L87" i="35" s="1"/>
  <c r="M87" i="35" s="1"/>
  <c r="J29" i="35"/>
  <c r="F29" i="35"/>
  <c r="H29" i="35"/>
  <c r="S9" i="33"/>
  <c r="H34" i="35"/>
  <c r="J34" i="35"/>
  <c r="F25" i="37"/>
  <c r="AZ420" i="3"/>
  <c r="F84" i="35"/>
  <c r="G84" i="35" s="1"/>
  <c r="H84" i="35" s="1"/>
  <c r="I84" i="35" s="1"/>
  <c r="J84" i="35" s="1"/>
  <c r="K84" i="35" s="1"/>
  <c r="L84" i="35" s="1"/>
  <c r="M84" i="35" s="1"/>
  <c r="J28" i="35"/>
  <c r="H28" i="35"/>
  <c r="F28" i="35"/>
  <c r="H12" i="35"/>
  <c r="J12" i="35"/>
  <c r="F12" i="35"/>
  <c r="BA13" i="3"/>
  <c r="BA15" i="3"/>
  <c r="AZ15" i="3" s="1"/>
  <c r="AZ298" i="3"/>
  <c r="AZ48" i="3"/>
  <c r="AZ78" i="3"/>
  <c r="AZ100" i="3"/>
  <c r="K13" i="1"/>
  <c r="M13" i="1" s="1"/>
  <c r="D41" i="71"/>
  <c r="T41" i="71"/>
  <c r="D37" i="71"/>
  <c r="T37" i="71"/>
  <c r="D33" i="71"/>
  <c r="T33" i="71"/>
  <c r="D8" i="71"/>
  <c r="C7" i="71"/>
  <c r="B8" i="71"/>
  <c r="B7" i="71" s="1"/>
  <c r="B6" i="71" s="1"/>
  <c r="B5" i="71" s="1"/>
  <c r="S9" i="71"/>
  <c r="AZ18" i="3"/>
  <c r="AZ21" i="3"/>
  <c r="O47" i="71"/>
  <c r="O46" i="71"/>
  <c r="D47" i="71"/>
  <c r="D20" i="71"/>
  <c r="C21" i="71"/>
  <c r="D17" i="71"/>
  <c r="T17" i="71"/>
  <c r="D48" i="71"/>
  <c r="D9" i="71"/>
  <c r="U9" i="71" s="1"/>
  <c r="AA8" i="71"/>
  <c r="AA6" i="71"/>
  <c r="E9" i="71"/>
  <c r="AB8" i="71"/>
  <c r="AB6" i="71"/>
  <c r="F9" i="71"/>
  <c r="F8" i="71" s="1"/>
  <c r="F7" i="71" s="1"/>
  <c r="F6" i="71" s="1"/>
  <c r="F5" i="71" s="1"/>
  <c r="C12" i="71"/>
  <c r="X3" i="71"/>
  <c r="X7" i="71"/>
  <c r="Y9" i="71"/>
  <c r="Z9" i="71" s="1"/>
  <c r="Y8" i="71"/>
  <c r="Z8" i="71" s="1"/>
  <c r="Y7" i="71"/>
  <c r="Z7" i="71" s="1"/>
  <c r="Y6" i="71"/>
  <c r="Z6" i="71" s="1"/>
  <c r="Y3" i="71"/>
  <c r="Z3" i="71" s="1"/>
  <c r="AA17" i="71"/>
  <c r="AA16" i="71"/>
  <c r="AA15" i="71"/>
  <c r="AB14" i="71"/>
  <c r="Y14" i="71"/>
  <c r="Z14" i="71" s="1"/>
  <c r="X12" i="71"/>
  <c r="AA10" i="71"/>
  <c r="Y5" i="71"/>
  <c r="Z5" i="71" s="1"/>
  <c r="Y12" i="71"/>
  <c r="Z12" i="71" s="1"/>
  <c r="Y13" i="71"/>
  <c r="Z13" i="71" s="1"/>
  <c r="AB13" i="71"/>
  <c r="Y16" i="71"/>
  <c r="Z16" i="71" s="1"/>
  <c r="Y17" i="71"/>
  <c r="Z17" i="71" s="1"/>
  <c r="V49" i="71"/>
  <c r="F48" i="71"/>
  <c r="D100" i="43"/>
  <c r="C40" i="68"/>
  <c r="C40" i="69"/>
  <c r="X5" i="71"/>
  <c r="P74" i="15"/>
  <c r="P61" i="15"/>
  <c r="F17" i="21"/>
  <c r="L1" i="73"/>
  <c r="J1" i="73"/>
  <c r="P61" i="67"/>
  <c r="P74" i="67"/>
  <c r="F33" i="21"/>
  <c r="H33" i="21"/>
  <c r="F23" i="21"/>
  <c r="H23" i="21"/>
  <c r="E85" i="21"/>
  <c r="F8" i="15"/>
  <c r="F13" i="67"/>
  <c r="F37" i="67"/>
  <c r="F37" i="15"/>
  <c r="M29" i="15"/>
  <c r="F26" i="15"/>
  <c r="F9" i="15"/>
  <c r="M6" i="15"/>
  <c r="F7" i="15"/>
  <c r="F42" i="15"/>
  <c r="M28" i="67"/>
  <c r="J15" i="67"/>
  <c r="F36" i="67"/>
  <c r="L48" i="67"/>
  <c r="C17" i="15"/>
  <c r="F6" i="67"/>
  <c r="L47" i="67"/>
  <c r="M22" i="15"/>
  <c r="L47" i="15"/>
  <c r="M28" i="15"/>
  <c r="F43" i="67"/>
  <c r="F42" i="67"/>
  <c r="M24" i="15"/>
  <c r="M9" i="67"/>
  <c r="M23" i="15"/>
  <c r="M29" i="67"/>
  <c r="F9" i="67"/>
  <c r="M26" i="67"/>
  <c r="C16" i="15"/>
  <c r="H7" i="35" l="1"/>
  <c r="J7" i="35"/>
  <c r="E47" i="71"/>
  <c r="P48" i="71"/>
  <c r="AZ43" i="3"/>
  <c r="BL5" i="3"/>
  <c r="AC35" i="39"/>
  <c r="W35" i="39"/>
  <c r="AA26" i="37"/>
  <c r="S26" i="37"/>
  <c r="J104" i="43"/>
  <c r="J107" i="43"/>
  <c r="J109" i="43"/>
  <c r="U36" i="39"/>
  <c r="AB36" i="39"/>
  <c r="U39" i="39"/>
  <c r="AB39" i="39"/>
  <c r="AB42" i="39"/>
  <c r="U42" i="39"/>
  <c r="U25" i="37"/>
  <c r="AB25" i="37"/>
  <c r="AB23" i="36"/>
  <c r="U23" i="36"/>
  <c r="AA12" i="21"/>
  <c r="S12" i="21"/>
  <c r="S12" i="36"/>
  <c r="AA12" i="36"/>
  <c r="W28" i="34"/>
  <c r="AC28" i="34"/>
  <c r="AC32" i="39"/>
  <c r="W32" i="39"/>
  <c r="B30" i="72"/>
  <c r="D14" i="53"/>
  <c r="B32" i="72" s="1"/>
  <c r="AA35" i="39"/>
  <c r="S35" i="39"/>
  <c r="AB35" i="39"/>
  <c r="U35" i="39"/>
  <c r="AC26" i="37"/>
  <c r="W26" i="37"/>
  <c r="AC36" i="39"/>
  <c r="W36" i="39"/>
  <c r="S36" i="39"/>
  <c r="AA36" i="39"/>
  <c r="F120" i="39"/>
  <c r="G120" i="39" s="1"/>
  <c r="H120" i="39" s="1"/>
  <c r="I120" i="39" s="1"/>
  <c r="J120" i="39" s="1"/>
  <c r="K120" i="39" s="1"/>
  <c r="L120" i="39" s="1"/>
  <c r="M120" i="39" s="1"/>
  <c r="F39" i="39"/>
  <c r="J39" i="39"/>
  <c r="AA42" i="39"/>
  <c r="S42" i="39"/>
  <c r="AC25" i="37"/>
  <c r="W25" i="37"/>
  <c r="AA23" i="36"/>
  <c r="S23" i="36"/>
  <c r="AB12" i="21"/>
  <c r="U12" i="21"/>
  <c r="S41" i="39"/>
  <c r="AA41" i="39"/>
  <c r="C48" i="69"/>
  <c r="C30" i="69"/>
  <c r="U32" i="39"/>
  <c r="AB32" i="39"/>
  <c r="S32" i="39"/>
  <c r="AA32" i="39"/>
  <c r="N65" i="40"/>
  <c r="O63" i="40"/>
  <c r="O65" i="40" s="1"/>
  <c r="G5" i="3"/>
  <c r="B3" i="3" s="1"/>
  <c r="K4" i="4"/>
  <c r="B46" i="48" s="1"/>
  <c r="B4" i="72" s="1"/>
  <c r="AA31" i="35"/>
  <c r="S31" i="35"/>
  <c r="K105" i="43"/>
  <c r="K106" i="43"/>
  <c r="K109" i="43"/>
  <c r="N104" i="43"/>
  <c r="N107" i="43"/>
  <c r="N109" i="43"/>
  <c r="N103" i="43"/>
  <c r="D22" i="43"/>
  <c r="K104" i="43"/>
  <c r="K102" i="43"/>
  <c r="L58" i="15"/>
  <c r="N59" i="15"/>
  <c r="L59" i="15" s="1"/>
  <c r="M59" i="15"/>
  <c r="M7" i="15"/>
  <c r="J6" i="15" s="1"/>
  <c r="F50" i="15"/>
  <c r="F65" i="15"/>
  <c r="F71" i="67"/>
  <c r="C6" i="67"/>
  <c r="J6" i="67"/>
  <c r="J57" i="67"/>
  <c r="J55" i="67" s="1"/>
  <c r="J58" i="67" s="1"/>
  <c r="Q50" i="67" s="1"/>
  <c r="I54" i="67"/>
  <c r="L56" i="67"/>
  <c r="C27" i="15"/>
  <c r="F51" i="15"/>
  <c r="C6" i="15"/>
  <c r="F64" i="67"/>
  <c r="F65" i="67"/>
  <c r="N59" i="67"/>
  <c r="M59" i="67"/>
  <c r="L58" i="67"/>
  <c r="L59" i="67"/>
  <c r="F70" i="67"/>
  <c r="J23" i="21"/>
  <c r="F85" i="21"/>
  <c r="G85" i="21" s="1"/>
  <c r="AA17" i="21"/>
  <c r="S17" i="21"/>
  <c r="D21" i="71"/>
  <c r="T21" i="71"/>
  <c r="S12" i="35"/>
  <c r="AA12" i="35"/>
  <c r="AB12" i="35"/>
  <c r="U12" i="35"/>
  <c r="AB28" i="35"/>
  <c r="U28" i="35"/>
  <c r="AA25" i="37"/>
  <c r="S25" i="37"/>
  <c r="U34" i="35"/>
  <c r="AB34" i="35"/>
  <c r="S29" i="35"/>
  <c r="AA29" i="35"/>
  <c r="AC7" i="21"/>
  <c r="W7" i="21"/>
  <c r="AA7" i="21"/>
  <c r="S7" i="21"/>
  <c r="AP6" i="1"/>
  <c r="C36" i="69" s="1"/>
  <c r="M6" i="1"/>
  <c r="G16" i="1"/>
  <c r="Q16" i="1"/>
  <c r="H16" i="1"/>
  <c r="F104" i="43"/>
  <c r="F106" i="43"/>
  <c r="F102" i="43"/>
  <c r="F105" i="43"/>
  <c r="F107" i="43"/>
  <c r="F103" i="43"/>
  <c r="F109" i="43"/>
  <c r="C48" i="11"/>
  <c r="C30" i="11"/>
  <c r="E30" i="6"/>
  <c r="K14" i="1"/>
  <c r="M14" i="1" s="1"/>
  <c r="E106" i="43"/>
  <c r="E102" i="43"/>
  <c r="E103" i="43"/>
  <c r="E105" i="43"/>
  <c r="E104" i="43"/>
  <c r="E107" i="43"/>
  <c r="E109" i="43"/>
  <c r="M102" i="43"/>
  <c r="M103" i="43"/>
  <c r="M104" i="43"/>
  <c r="M107" i="43"/>
  <c r="M109" i="43"/>
  <c r="M105" i="43"/>
  <c r="M106" i="43"/>
  <c r="C109" i="43"/>
  <c r="C104" i="43"/>
  <c r="C107" i="43"/>
  <c r="C106" i="43"/>
  <c r="C105" i="43"/>
  <c r="C102" i="43"/>
  <c r="C103" i="43"/>
  <c r="E66" i="39"/>
  <c r="H7" i="37"/>
  <c r="U7" i="35"/>
  <c r="AB7" i="35"/>
  <c r="AC7" i="35"/>
  <c r="W7" i="35"/>
  <c r="W7" i="36"/>
  <c r="AC7" i="36"/>
  <c r="V36" i="36" s="1"/>
  <c r="I36" i="36" s="1"/>
  <c r="AB7" i="34"/>
  <c r="T49" i="34" s="1"/>
  <c r="G49" i="34" s="1"/>
  <c r="U7" i="34"/>
  <c r="E53" i="33"/>
  <c r="F53" i="33" s="1"/>
  <c r="E52" i="33"/>
  <c r="F52" i="33" s="1"/>
  <c r="C49" i="67"/>
  <c r="Q66" i="15"/>
  <c r="Q57" i="15"/>
  <c r="B2" i="70"/>
  <c r="B3" i="70" s="1"/>
  <c r="C20" i="15"/>
  <c r="C26" i="15" s="1"/>
  <c r="AA23" i="21"/>
  <c r="S23" i="21"/>
  <c r="AA33" i="21"/>
  <c r="S33" i="21"/>
  <c r="AB23" i="21"/>
  <c r="U23" i="21"/>
  <c r="AB33" i="21"/>
  <c r="U33" i="21"/>
  <c r="F47" i="71"/>
  <c r="Q48" i="71"/>
  <c r="D12" i="71"/>
  <c r="C13" i="71"/>
  <c r="E8" i="71"/>
  <c r="E7" i="71" s="1"/>
  <c r="E6" i="71" s="1"/>
  <c r="E5" i="71" s="1"/>
  <c r="V9" i="71"/>
  <c r="C6" i="71"/>
  <c r="D7" i="71"/>
  <c r="O13" i="1"/>
  <c r="P13" i="1" s="1"/>
  <c r="AZ13" i="3"/>
  <c r="AZ5" i="3" s="1"/>
  <c r="E3" i="6" s="1"/>
  <c r="BA5" i="3"/>
  <c r="E27" i="6" s="1"/>
  <c r="E31" i="6" s="1"/>
  <c r="W12" i="35"/>
  <c r="AC12" i="35"/>
  <c r="AA28" i="35"/>
  <c r="S28" i="35"/>
  <c r="AC28" i="35"/>
  <c r="W28" i="35"/>
  <c r="AC34" i="35"/>
  <c r="W34" i="35"/>
  <c r="AB29" i="35"/>
  <c r="U29" i="35"/>
  <c r="AC29" i="35"/>
  <c r="W29" i="35"/>
  <c r="AB7" i="21"/>
  <c r="U7" i="21"/>
  <c r="C30" i="68"/>
  <c r="C48" i="68"/>
  <c r="D70" i="39"/>
  <c r="E68" i="39"/>
  <c r="I102" i="43"/>
  <c r="I103" i="43"/>
  <c r="I104" i="43"/>
  <c r="I107" i="43"/>
  <c r="I105" i="43"/>
  <c r="I109" i="43"/>
  <c r="I106" i="43"/>
  <c r="D102" i="43"/>
  <c r="D103" i="43"/>
  <c r="D104" i="43"/>
  <c r="D105" i="43"/>
  <c r="D107" i="43"/>
  <c r="D109" i="43"/>
  <c r="D106"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B117" i="43"/>
  <c r="C117" i="43" s="1"/>
  <c r="B115" i="43"/>
  <c r="B116" i="43"/>
  <c r="C116" i="43" s="1"/>
  <c r="I117" i="43"/>
  <c r="J117" i="43" s="1"/>
  <c r="K117" i="43" s="1"/>
  <c r="L117" i="43" s="1"/>
  <c r="M117" i="43" s="1"/>
  <c r="I116" i="43"/>
  <c r="J116" i="43" s="1"/>
  <c r="K116" i="43" s="1"/>
  <c r="L116" i="43" s="1"/>
  <c r="M116" i="43" s="1"/>
  <c r="J7" i="37"/>
  <c r="F7" i="37"/>
  <c r="AA7" i="35"/>
  <c r="R38" i="35" s="1"/>
  <c r="S7" i="35"/>
  <c r="I52" i="33"/>
  <c r="J52" i="33" s="1"/>
  <c r="I53" i="33"/>
  <c r="J53" i="33" s="1"/>
  <c r="U7" i="36"/>
  <c r="AB7" i="36"/>
  <c r="T36" i="36" s="1"/>
  <c r="G36" i="36" s="1"/>
  <c r="AA7" i="36"/>
  <c r="R36" i="36" s="1"/>
  <c r="S7" i="36"/>
  <c r="S7" i="34"/>
  <c r="AA7" i="34"/>
  <c r="R49" i="34" s="1"/>
  <c r="W7" i="34"/>
  <c r="AC7" i="34"/>
  <c r="V49" i="34" s="1"/>
  <c r="I49" i="34" s="1"/>
  <c r="G53" i="33"/>
  <c r="H53" i="33" s="1"/>
  <c r="C49" i="33"/>
  <c r="C48" i="33"/>
  <c r="F1" i="15"/>
  <c r="Q52" i="15"/>
  <c r="C14" i="67"/>
  <c r="F4" i="73"/>
  <c r="D3" i="73"/>
  <c r="C17" i="67"/>
  <c r="F3" i="73"/>
  <c r="C16" i="67"/>
  <c r="F7" i="73"/>
  <c r="D5" i="73"/>
  <c r="F6" i="73"/>
  <c r="D4" i="73"/>
  <c r="D6" i="73"/>
  <c r="F5" i="73"/>
  <c r="D7" i="73"/>
  <c r="E217" i="3" l="1"/>
  <c r="E526" i="3"/>
  <c r="E322" i="3"/>
  <c r="AJ6" i="3"/>
  <c r="O6" i="3"/>
  <c r="E574" i="3"/>
  <c r="E359" i="3"/>
  <c r="E285" i="3"/>
  <c r="E390" i="3"/>
  <c r="S6" i="3"/>
  <c r="E523" i="3"/>
  <c r="E506" i="3"/>
  <c r="E338" i="3"/>
  <c r="E321" i="3"/>
  <c r="E169" i="3"/>
  <c r="E61" i="3"/>
  <c r="E117" i="3"/>
  <c r="E77" i="3"/>
  <c r="E253" i="3"/>
  <c r="E199" i="3"/>
  <c r="E286" i="3"/>
  <c r="E575" i="3"/>
  <c r="E499" i="3"/>
  <c r="R6" i="3"/>
  <c r="E502" i="3"/>
  <c r="E442" i="3"/>
  <c r="E466" i="3"/>
  <c r="E541" i="3"/>
  <c r="E430" i="3"/>
  <c r="E432" i="3"/>
  <c r="E477" i="3"/>
  <c r="E345" i="3"/>
  <c r="E367" i="3"/>
  <c r="E558" i="3"/>
  <c r="E505" i="3"/>
  <c r="E557" i="3"/>
  <c r="E547" i="3"/>
  <c r="E581" i="3"/>
  <c r="AS6" i="3"/>
  <c r="E531" i="3"/>
  <c r="E403" i="3"/>
  <c r="E444" i="3"/>
  <c r="E476" i="3"/>
  <c r="E489" i="3"/>
  <c r="E546" i="3"/>
  <c r="E404" i="3"/>
  <c r="E447" i="3"/>
  <c r="E88" i="3"/>
  <c r="E27" i="3"/>
  <c r="E92" i="3"/>
  <c r="E121" i="3"/>
  <c r="E162" i="3"/>
  <c r="E182" i="3"/>
  <c r="E126" i="3"/>
  <c r="E166" i="3"/>
  <c r="E186" i="3"/>
  <c r="E211" i="3"/>
  <c r="E272" i="3"/>
  <c r="E295" i="3"/>
  <c r="E210" i="3"/>
  <c r="E273" i="3"/>
  <c r="E291" i="3"/>
  <c r="E316" i="3"/>
  <c r="E331" i="3"/>
  <c r="E377" i="3"/>
  <c r="E317" i="3"/>
  <c r="E334" i="3"/>
  <c r="E384" i="3"/>
  <c r="E572" i="3"/>
  <c r="AM6" i="3"/>
  <c r="E58" i="3"/>
  <c r="E44" i="3"/>
  <c r="E76" i="3"/>
  <c r="E109" i="3"/>
  <c r="E110" i="3"/>
  <c r="E29" i="3"/>
  <c r="E59" i="3"/>
  <c r="E480" i="3"/>
  <c r="E540" i="3"/>
  <c r="E441" i="3"/>
  <c r="E462" i="3"/>
  <c r="E484" i="3"/>
  <c r="E521" i="3"/>
  <c r="E425" i="3"/>
  <c r="E446" i="3"/>
  <c r="E467" i="3"/>
  <c r="E47" i="3"/>
  <c r="E64" i="3"/>
  <c r="E98" i="3"/>
  <c r="E65" i="3"/>
  <c r="E103" i="3"/>
  <c r="E138" i="3"/>
  <c r="E160" i="3"/>
  <c r="E195" i="3"/>
  <c r="E142" i="3"/>
  <c r="E163" i="3"/>
  <c r="E248" i="3"/>
  <c r="E267" i="3"/>
  <c r="E209" i="3"/>
  <c r="E249" i="3"/>
  <c r="E266" i="3"/>
  <c r="E300" i="3"/>
  <c r="E307" i="3"/>
  <c r="E371" i="3"/>
  <c r="E386" i="3"/>
  <c r="E310" i="3"/>
  <c r="E354" i="3"/>
  <c r="E492" i="3"/>
  <c r="E584" i="3"/>
  <c r="E23" i="3"/>
  <c r="E66" i="3"/>
  <c r="E24" i="3"/>
  <c r="E366" i="3"/>
  <c r="E282" i="3"/>
  <c r="E555" i="3"/>
  <c r="E337" i="3"/>
  <c r="E533" i="3"/>
  <c r="E561" i="3"/>
  <c r="E439" i="3"/>
  <c r="E185" i="3"/>
  <c r="E161" i="3"/>
  <c r="E212" i="3"/>
  <c r="E141" i="3"/>
  <c r="AD6" i="3"/>
  <c r="E552" i="3"/>
  <c r="E464" i="3"/>
  <c r="E398" i="3"/>
  <c r="E449" i="3"/>
  <c r="E255" i="3"/>
  <c r="I3" i="6"/>
  <c r="AP6" i="3"/>
  <c r="E554" i="3"/>
  <c r="E517" i="3"/>
  <c r="E435" i="3"/>
  <c r="E491" i="3"/>
  <c r="E417" i="3"/>
  <c r="E479" i="3"/>
  <c r="E56" i="3"/>
  <c r="E37" i="3"/>
  <c r="E95" i="3"/>
  <c r="E152" i="3"/>
  <c r="E132" i="3"/>
  <c r="E192" i="3"/>
  <c r="E258" i="3"/>
  <c r="E241" i="3"/>
  <c r="E292" i="3"/>
  <c r="E363" i="3"/>
  <c r="E349" i="3"/>
  <c r="E389" i="3"/>
  <c r="E544" i="3"/>
  <c r="E74" i="3"/>
  <c r="E32" i="3"/>
  <c r="E409" i="3"/>
  <c r="E473" i="3"/>
  <c r="E15" i="3"/>
  <c r="E455" i="3"/>
  <c r="E79" i="3"/>
  <c r="E38" i="3"/>
  <c r="E100" i="3"/>
  <c r="E137" i="3"/>
  <c r="E194" i="3"/>
  <c r="E234" i="3"/>
  <c r="E219" i="3"/>
  <c r="E299" i="3"/>
  <c r="E339" i="3"/>
  <c r="E325" i="3"/>
  <c r="E392" i="3"/>
  <c r="AQ6" i="3"/>
  <c r="E52" i="3"/>
  <c r="E34"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553" i="3"/>
  <c r="N6" i="3"/>
  <c r="E388" i="3"/>
  <c r="E143" i="3"/>
  <c r="E270" i="3"/>
  <c r="AR6" i="3"/>
  <c r="E538" i="3"/>
  <c r="E380" i="3"/>
  <c r="E135" i="3"/>
  <c r="E149" i="3"/>
  <c r="E167" i="3"/>
  <c r="E312" i="3"/>
  <c r="E542" i="3"/>
  <c r="E421" i="3"/>
  <c r="E487" i="3"/>
  <c r="E416" i="3"/>
  <c r="E459" i="3"/>
  <c r="E566" i="3"/>
  <c r="E500" i="3"/>
  <c r="E582" i="3"/>
  <c r="E413" i="3"/>
  <c r="E460" i="3"/>
  <c r="E520" i="3"/>
  <c r="E436" i="3"/>
  <c r="E39" i="3"/>
  <c r="E90" i="3"/>
  <c r="E131" i="3"/>
  <c r="E187" i="3"/>
  <c r="E155" i="3"/>
  <c r="E240" i="3"/>
  <c r="E297" i="3"/>
  <c r="E259" i="3"/>
  <c r="E348" i="3"/>
  <c r="E378" i="3"/>
  <c r="E375" i="3"/>
  <c r="E504" i="3"/>
  <c r="E42" i="3"/>
  <c r="E60" i="3"/>
  <c r="E94" i="3"/>
  <c r="E43" i="3"/>
  <c r="E488" i="3"/>
  <c r="E428" i="3"/>
  <c r="E482" i="3"/>
  <c r="E412" i="3"/>
  <c r="E18" i="3"/>
  <c r="E96" i="3"/>
  <c r="E78" i="3"/>
  <c r="E129" i="3"/>
  <c r="E190" i="3"/>
  <c r="E220" i="3"/>
  <c r="E275" i="3"/>
  <c r="E235" i="3"/>
  <c r="E324" i="3"/>
  <c r="E383" i="3"/>
  <c r="E342" i="3"/>
  <c r="E522" i="3"/>
  <c r="E35" i="3"/>
  <c r="E86" i="3"/>
  <c r="E67"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 i="3"/>
  <c r="E28" i="3"/>
  <c r="E84" i="3"/>
  <c r="E290" i="3"/>
  <c r="E70" i="3"/>
  <c r="E30" i="3"/>
  <c r="E268" i="3"/>
  <c r="E97" i="3"/>
  <c r="E200" i="3"/>
  <c r="E69" i="3"/>
  <c r="E237" i="3"/>
  <c r="E261" i="3"/>
  <c r="E304" i="3"/>
  <c r="E528" i="3"/>
  <c r="E565"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400" i="3"/>
  <c r="P6" i="3"/>
  <c r="E485" i="3"/>
  <c r="E448" i="3"/>
  <c r="AO6" i="3"/>
  <c r="AG6" i="3"/>
  <c r="Z6" i="3"/>
  <c r="E576" i="3"/>
  <c r="E327" i="3"/>
  <c r="E164" i="3"/>
  <c r="E204" i="3"/>
  <c r="E252" i="3"/>
  <c r="E221" i="3"/>
  <c r="E254" i="3"/>
  <c r="E130" i="3"/>
  <c r="E230" i="3"/>
  <c r="E294" i="3"/>
  <c r="E320" i="3"/>
  <c r="E407" i="3"/>
  <c r="V6" i="3"/>
  <c r="E551" i="3"/>
  <c r="E559" i="3"/>
  <c r="E358" i="3"/>
  <c r="E151" i="3"/>
  <c r="E229" i="3"/>
  <c r="E396" i="3"/>
  <c r="E569" i="3"/>
  <c r="E516" i="3"/>
  <c r="E239" i="3"/>
  <c r="E508" i="3"/>
  <c r="E305" i="3"/>
  <c r="AT6" i="3"/>
  <c r="E278" i="3"/>
  <c r="E563" i="3"/>
  <c r="E172" i="3"/>
  <c r="E445" i="3"/>
  <c r="E535" i="3"/>
  <c r="E539" i="3"/>
  <c r="E567" i="3"/>
  <c r="E461" i="3"/>
  <c r="E227" i="3"/>
  <c r="E165" i="3"/>
  <c r="E353" i="3"/>
  <c r="E495" i="3"/>
  <c r="AN6" i="3"/>
  <c r="E586" i="3"/>
  <c r="E402" i="3"/>
  <c r="E350" i="3"/>
  <c r="E303" i="3"/>
  <c r="E301" i="3"/>
  <c r="E159" i="3"/>
  <c r="E99" i="3"/>
  <c r="E228" i="3"/>
  <c r="E157" i="3"/>
  <c r="E85" i="3"/>
  <c r="E23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414" i="3"/>
  <c r="E478" i="3"/>
  <c r="E515" i="3"/>
  <c r="E585" i="3"/>
  <c r="E107" i="3"/>
  <c r="E271" i="3"/>
  <c r="E91" i="3"/>
  <c r="E189" i="3"/>
  <c r="E335" i="3"/>
  <c r="AB6" i="3"/>
  <c r="E570" i="3"/>
  <c r="E311" i="3"/>
  <c r="E247" i="3"/>
  <c r="E579" i="3"/>
  <c r="E328" i="3"/>
  <c r="E153" i="3"/>
  <c r="E501" i="3"/>
  <c r="E319" i="3"/>
  <c r="E53" i="3"/>
  <c r="E114" i="3"/>
  <c r="E415" i="3"/>
  <c r="E395" i="3"/>
  <c r="E260" i="3"/>
  <c r="E550" i="3"/>
  <c r="E329" i="3"/>
  <c r="E545" i="3"/>
  <c r="E510" i="3"/>
  <c r="E352" i="3"/>
  <c r="E205" i="3"/>
  <c r="E128" i="3"/>
  <c r="E385" i="3"/>
  <c r="E518" i="3"/>
  <c r="AI6" i="3"/>
  <c r="E578" i="3"/>
  <c r="E423" i="3"/>
  <c r="E382" i="3"/>
  <c r="E263" i="3"/>
  <c r="E245" i="3"/>
  <c r="E191" i="3"/>
  <c r="E188" i="3"/>
  <c r="E181" i="3"/>
  <c r="E140" i="3"/>
  <c r="E223"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548" i="3"/>
  <c r="E411" i="3"/>
  <c r="U6" i="3"/>
  <c r="E379" i="3"/>
  <c r="E145" i="3"/>
  <c r="E207" i="3"/>
  <c r="E180" i="3"/>
  <c r="E134" i="3"/>
  <c r="E215" i="3"/>
  <c r="E387" i="3"/>
  <c r="M6" i="3"/>
  <c r="E514" i="3"/>
  <c r="E201" i="3"/>
  <c r="E431" i="3"/>
  <c r="E509" i="3"/>
  <c r="E426" i="3"/>
  <c r="E343" i="3"/>
  <c r="E530" i="3"/>
  <c r="E175" i="3"/>
  <c r="J7" i="40"/>
  <c r="F7" i="40"/>
  <c r="H7" i="40"/>
  <c r="S39" i="39"/>
  <c r="AA39" i="39"/>
  <c r="E410" i="3"/>
  <c r="E443" i="3"/>
  <c r="E216" i="3"/>
  <c r="E298" i="3"/>
  <c r="E48" i="3"/>
  <c r="E75" i="3"/>
  <c r="E170" i="3"/>
  <c r="E71" i="3"/>
  <c r="E112" i="3"/>
  <c r="P47" i="71"/>
  <c r="P46" i="71"/>
  <c r="W39" i="39"/>
  <c r="AC39" i="39"/>
  <c r="E418" i="3"/>
  <c r="E374" i="3"/>
  <c r="E231" i="3"/>
  <c r="E174" i="3"/>
  <c r="E57" i="3"/>
  <c r="E36" i="3"/>
  <c r="E93" i="3"/>
  <c r="E183" i="3"/>
  <c r="C49" i="15"/>
  <c r="E20" i="43"/>
  <c r="C15" i="67"/>
  <c r="C18" i="67"/>
  <c r="I1" i="73"/>
  <c r="B39" i="1" s="1"/>
  <c r="E36" i="36"/>
  <c r="R37" i="36"/>
  <c r="R39" i="35"/>
  <c r="E38" i="35"/>
  <c r="I53" i="34"/>
  <c r="J53" i="34" s="1"/>
  <c r="I54" i="34"/>
  <c r="J54" i="34" s="1"/>
  <c r="E49" i="34"/>
  <c r="R50" i="34"/>
  <c r="G40" i="36"/>
  <c r="H40" i="36" s="1"/>
  <c r="G41" i="36"/>
  <c r="H41" i="36" s="1"/>
  <c r="AA7" i="37"/>
  <c r="R42" i="37" s="1"/>
  <c r="S7" i="37"/>
  <c r="D13" i="71"/>
  <c r="T13" i="71"/>
  <c r="G53" i="34"/>
  <c r="H53" i="34" s="1"/>
  <c r="G54" i="34"/>
  <c r="H54" i="34" s="1"/>
  <c r="V38" i="35"/>
  <c r="I38" i="35" s="1"/>
  <c r="S6" i="43"/>
  <c r="S3" i="43"/>
  <c r="S2" i="43"/>
  <c r="C23" i="43"/>
  <c r="C21" i="43" s="1"/>
  <c r="S4" i="43"/>
  <c r="S7" i="43"/>
  <c r="S5" i="43"/>
  <c r="K23" i="6"/>
  <c r="M23" i="6" s="1"/>
  <c r="I23" i="6" s="1"/>
  <c r="S23" i="6" s="1"/>
  <c r="K20" i="6"/>
  <c r="M20" i="6" s="1"/>
  <c r="I20" i="6" s="1"/>
  <c r="S20" i="6" s="1"/>
  <c r="K19" i="6"/>
  <c r="K24" i="6"/>
  <c r="M24" i="6" s="1"/>
  <c r="I24" i="6" s="1"/>
  <c r="S24" i="6" s="1"/>
  <c r="K22" i="6"/>
  <c r="M22" i="6" s="1"/>
  <c r="I22" i="6" s="1"/>
  <c r="S22" i="6" s="1"/>
  <c r="C34" i="69"/>
  <c r="F27" i="69"/>
  <c r="F27" i="68"/>
  <c r="F28" i="12"/>
  <c r="C29" i="12" s="1"/>
  <c r="D28" i="12" s="1"/>
  <c r="F27" i="11"/>
  <c r="K16" i="1"/>
  <c r="AC23" i="21"/>
  <c r="W23" i="21"/>
  <c r="Q61" i="67"/>
  <c r="Q74" i="67"/>
  <c r="Q74" i="15"/>
  <c r="Q61" i="15"/>
  <c r="W7" i="37"/>
  <c r="AC7" i="37"/>
  <c r="V42" i="37" s="1"/>
  <c r="I42" i="37" s="1"/>
  <c r="C115" i="43"/>
  <c r="D113" i="43" s="1"/>
  <c r="F68" i="39"/>
  <c r="E70" i="39"/>
  <c r="AY3" i="3"/>
  <c r="AY6" i="3" s="1"/>
  <c r="D3" i="33"/>
  <c r="B2" i="33" s="1"/>
  <c r="B3" i="33" s="1"/>
  <c r="D19" i="11"/>
  <c r="C19" i="11" s="1"/>
  <c r="D37" i="11"/>
  <c r="D14" i="12"/>
  <c r="M18" i="9"/>
  <c r="B118" i="9" s="1"/>
  <c r="B14" i="74" s="1"/>
  <c r="B1" i="74" s="1"/>
  <c r="D3" i="34"/>
  <c r="E6" i="6"/>
  <c r="C17" i="4"/>
  <c r="B4" i="52" s="1"/>
  <c r="B43" i="72" s="1"/>
  <c r="L18" i="9"/>
  <c r="D3" i="37"/>
  <c r="H108" i="9"/>
  <c r="D15" i="53" s="1"/>
  <c r="B31" i="72" s="1"/>
  <c r="C5" i="71"/>
  <c r="D6" i="71"/>
  <c r="Q47" i="71"/>
  <c r="Q46" i="71"/>
  <c r="I41" i="36"/>
  <c r="J41" i="36" s="1"/>
  <c r="I40" i="36"/>
  <c r="J40" i="36" s="1"/>
  <c r="T38" i="35"/>
  <c r="G38" i="35" s="1"/>
  <c r="U7" i="37"/>
  <c r="AB7" i="37"/>
  <c r="T42" i="37" s="1"/>
  <c r="G42" i="37" s="1"/>
  <c r="K21" i="6"/>
  <c r="M21" i="6" s="1"/>
  <c r="I21" i="6" s="1"/>
  <c r="S21" i="6" s="1"/>
  <c r="O14" i="1"/>
  <c r="P14" i="1" s="1"/>
  <c r="K26" i="6"/>
  <c r="M26" i="6" s="1"/>
  <c r="I26" i="6" s="1"/>
  <c r="S26" i="6" s="1"/>
  <c r="K25" i="6"/>
  <c r="M25" i="6" s="1"/>
  <c r="I25" i="6" s="1"/>
  <c r="S25" i="6" s="1"/>
  <c r="H10" i="40"/>
  <c r="F10" i="39"/>
  <c r="J10" i="40"/>
  <c r="J10" i="39"/>
  <c r="F10" i="40"/>
  <c r="H10" i="39"/>
  <c r="O6" i="1"/>
  <c r="P6" i="1" s="1"/>
  <c r="M16" i="1"/>
  <c r="Q73" i="67"/>
  <c r="Q60" i="67"/>
  <c r="Q60" i="15"/>
  <c r="Q73" i="15"/>
  <c r="G1" i="73"/>
  <c r="S7" i="40" l="1"/>
  <c r="AA7" i="40"/>
  <c r="R42" i="40" s="1"/>
  <c r="AC6" i="3"/>
  <c r="AB7" i="40"/>
  <c r="T42" i="40" s="1"/>
  <c r="G42" i="40" s="1"/>
  <c r="U7" i="40"/>
  <c r="AC7" i="40"/>
  <c r="V42" i="40" s="1"/>
  <c r="I42" i="40" s="1"/>
  <c r="W7" i="40"/>
  <c r="H6" i="3"/>
  <c r="E6" i="3" s="1"/>
  <c r="B40" i="1"/>
  <c r="F25" i="12" s="1"/>
  <c r="C26" i="12" s="1"/>
  <c r="D25" i="12" s="1"/>
  <c r="C19" i="67"/>
  <c r="C20" i="67" s="1"/>
  <c r="C26" i="67" s="1"/>
  <c r="P16" i="1"/>
  <c r="C11" i="12" s="1"/>
  <c r="C13" i="12"/>
  <c r="W10" i="39"/>
  <c r="AC10" i="39"/>
  <c r="G46" i="37"/>
  <c r="H46" i="37" s="1"/>
  <c r="G47" i="37"/>
  <c r="H47" i="37" s="1"/>
  <c r="D5" i="71"/>
  <c r="M20" i="43" s="1"/>
  <c r="C19" i="43" s="1"/>
  <c r="C8" i="74"/>
  <c r="C6" i="74"/>
  <c r="I46" i="37"/>
  <c r="J46" i="37" s="1"/>
  <c r="C47" i="11"/>
  <c r="D45" i="11" s="1"/>
  <c r="C29" i="11"/>
  <c r="D27" i="11" s="1"/>
  <c r="C29" i="68"/>
  <c r="D27" i="68" s="1"/>
  <c r="C47" i="68"/>
  <c r="D45" i="68" s="1"/>
  <c r="C35" i="69"/>
  <c r="C38" i="69"/>
  <c r="N16" i="1"/>
  <c r="L16" i="1"/>
  <c r="O16" i="1"/>
  <c r="AA10" i="40"/>
  <c r="S10" i="40"/>
  <c r="W10" i="40"/>
  <c r="AC10" i="40"/>
  <c r="U10" i="40"/>
  <c r="AB10" i="40"/>
  <c r="D17" i="12"/>
  <c r="C17" i="12" s="1"/>
  <c r="C20" i="11"/>
  <c r="C28" i="11" s="1"/>
  <c r="C2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68" i="39"/>
  <c r="F70" i="39"/>
  <c r="C29" i="69"/>
  <c r="D27" i="69" s="1"/>
  <c r="C47" i="69"/>
  <c r="D45" i="69" s="1"/>
  <c r="S6" i="1"/>
  <c r="M19" i="6"/>
  <c r="K27" i="6"/>
  <c r="I42" i="35"/>
  <c r="J42" i="35" s="1"/>
  <c r="I43" i="35"/>
  <c r="J43" i="35" s="1"/>
  <c r="R43" i="37"/>
  <c r="E42" i="37"/>
  <c r="I47" i="37" s="1"/>
  <c r="J47" i="37" s="1"/>
  <c r="E54" i="34"/>
  <c r="F54" i="34" s="1"/>
  <c r="E53" i="34"/>
  <c r="F53" i="34" s="1"/>
  <c r="C39" i="35"/>
  <c r="B2" i="35" s="1"/>
  <c r="B3" i="35" s="1"/>
  <c r="C38" i="35"/>
  <c r="E40" i="36"/>
  <c r="F40" i="36" s="1"/>
  <c r="E41" i="36"/>
  <c r="F41" i="36" s="1"/>
  <c r="M11" i="15"/>
  <c r="J10" i="15" s="1"/>
  <c r="J5" i="15" s="1"/>
  <c r="M11" i="67"/>
  <c r="J10" i="67" s="1"/>
  <c r="J5" i="67" s="1"/>
  <c r="F11" i="67"/>
  <c r="F11" i="15"/>
  <c r="U10" i="39"/>
  <c r="AB10" i="39"/>
  <c r="S10" i="39"/>
  <c r="AA10" i="39"/>
  <c r="G42" i="35"/>
  <c r="H42" i="35" s="1"/>
  <c r="G43" i="35"/>
  <c r="H43" i="35" s="1"/>
  <c r="D10" i="68"/>
  <c r="D10" i="69"/>
  <c r="D10" i="11"/>
  <c r="C10" i="11" s="1"/>
  <c r="D20" i="12"/>
  <c r="C20" i="12" s="1"/>
  <c r="C49" i="34"/>
  <c r="C50" i="34"/>
  <c r="B2" i="34" s="1"/>
  <c r="B3" i="34" s="1"/>
  <c r="E43" i="35"/>
  <c r="F43" i="35" s="1"/>
  <c r="E42" i="35"/>
  <c r="F42" i="35" s="1"/>
  <c r="C36" i="36"/>
  <c r="C37" i="36"/>
  <c r="B2" i="36" s="1"/>
  <c r="B3" i="36" s="1"/>
  <c r="P17" i="43"/>
  <c r="N17" i="43"/>
  <c r="M17" i="43"/>
  <c r="O17" i="43"/>
  <c r="I46" i="40" l="1"/>
  <c r="J46" i="40" s="1"/>
  <c r="G46" i="40"/>
  <c r="H46" i="40" s="1"/>
  <c r="G47" i="40"/>
  <c r="H47" i="40" s="1"/>
  <c r="R43" i="40"/>
  <c r="E42" i="40"/>
  <c r="F24" i="15"/>
  <c r="C23" i="15" s="1"/>
  <c r="F22" i="69"/>
  <c r="C44" i="69" s="1"/>
  <c r="D41" i="69" s="1"/>
  <c r="F24" i="67"/>
  <c r="C24" i="67" s="1"/>
  <c r="F22" i="11"/>
  <c r="C44" i="11" s="1"/>
  <c r="D41" i="11" s="1"/>
  <c r="F22" i="68"/>
  <c r="C24" i="68" s="1"/>
  <c r="C25" i="11"/>
  <c r="C36" i="43"/>
  <c r="C34"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33" i="43"/>
  <c r="C35" i="43"/>
  <c r="C29" i="43"/>
  <c r="C26" i="69"/>
  <c r="D22" i="69" s="1"/>
  <c r="C24" i="15"/>
  <c r="D19" i="68"/>
  <c r="D37" i="68" s="1"/>
  <c r="C10" i="68"/>
  <c r="C10" i="67"/>
  <c r="C5" i="67" s="1"/>
  <c r="C53" i="67"/>
  <c r="C48" i="67" s="1"/>
  <c r="J24" i="15"/>
  <c r="J18" i="15"/>
  <c r="J26" i="15"/>
  <c r="J29" i="15" s="1"/>
  <c r="C43" i="37"/>
  <c r="B2" i="37" s="1"/>
  <c r="B3" i="37" s="1"/>
  <c r="C42" i="37"/>
  <c r="I19" i="6"/>
  <c r="M27" i="6"/>
  <c r="H68" i="39"/>
  <c r="G70" i="39"/>
  <c r="C12" i="12"/>
  <c r="C15" i="12"/>
  <c r="C26" i="68"/>
  <c r="D22" i="68" s="1"/>
  <c r="B29" i="1"/>
  <c r="C8" i="68" s="1"/>
  <c r="C10" i="69"/>
  <c r="C8" i="69" s="1"/>
  <c r="C5" i="69" s="1"/>
  <c r="D19" i="69"/>
  <c r="C53" i="15"/>
  <c r="C48" i="15" s="1"/>
  <c r="C10" i="15"/>
  <c r="C5" i="15" s="1"/>
  <c r="J24" i="67"/>
  <c r="J18" i="67"/>
  <c r="J26" i="67"/>
  <c r="J29" i="67" s="1"/>
  <c r="E47" i="37"/>
  <c r="F47" i="37" s="1"/>
  <c r="E46" i="37"/>
  <c r="F46" i="37" s="1"/>
  <c r="AQ6" i="1"/>
  <c r="T6" i="1"/>
  <c r="T16" i="1" s="1"/>
  <c r="S16" i="1"/>
  <c r="AR6" i="1"/>
  <c r="D25" i="6"/>
  <c r="D15" i="6"/>
  <c r="D22" i="6"/>
  <c r="D21" i="6"/>
  <c r="D24" i="6"/>
  <c r="D20" i="6"/>
  <c r="D6" i="6"/>
  <c r="D9" i="6"/>
  <c r="D10" i="6"/>
  <c r="L19" i="9"/>
  <c r="D29" i="6"/>
  <c r="H25" i="6"/>
  <c r="H22" i="6"/>
  <c r="H24" i="6"/>
  <c r="H26" i="6"/>
  <c r="H20" i="6"/>
  <c r="H19" i="6"/>
  <c r="M19" i="9"/>
  <c r="C118" i="9" s="1"/>
  <c r="C14" i="74" s="1"/>
  <c r="B2" i="74" s="1"/>
  <c r="D19" i="6"/>
  <c r="D26" i="6"/>
  <c r="R26" i="6" s="1"/>
  <c r="C18" i="4"/>
  <c r="D8" i="6"/>
  <c r="D23" i="6"/>
  <c r="D14" i="6"/>
  <c r="D5" i="6"/>
  <c r="D12" i="6"/>
  <c r="D11" i="6"/>
  <c r="D13" i="6"/>
  <c r="D28" i="6"/>
  <c r="D30" i="6" s="1"/>
  <c r="E61" i="40"/>
  <c r="H23" i="6"/>
  <c r="H21" i="6"/>
  <c r="F34" i="11"/>
  <c r="F11" i="12"/>
  <c r="C14" i="12" s="1"/>
  <c r="F34" i="68"/>
  <c r="E46" i="40" l="1"/>
  <c r="F46" i="40" s="1"/>
  <c r="E47" i="40"/>
  <c r="F47" i="40" s="1"/>
  <c r="I47" i="40"/>
  <c r="J47" i="40" s="1"/>
  <c r="C42" i="40"/>
  <c r="C43" i="40"/>
  <c r="C23" i="67"/>
  <c r="C29" i="67" s="1"/>
  <c r="J14" i="67" s="1"/>
  <c r="C44" i="68"/>
  <c r="D41" i="68" s="1"/>
  <c r="C23" i="11"/>
  <c r="C24" i="11"/>
  <c r="C26" i="11"/>
  <c r="D22" i="11" s="1"/>
  <c r="R24" i="6"/>
  <c r="C16" i="12"/>
  <c r="C29" i="15"/>
  <c r="C33" i="15" s="1"/>
  <c r="Q49" i="67"/>
  <c r="C36" i="68"/>
  <c r="C34" i="68"/>
  <c r="C34" i="11"/>
  <c r="C36" i="11"/>
  <c r="C37" i="11"/>
  <c r="R23" i="6"/>
  <c r="A7" i="51"/>
  <c r="B7" i="72" s="1"/>
  <c r="C4" i="52"/>
  <c r="B45" i="72" s="1"/>
  <c r="A10" i="51"/>
  <c r="B9" i="72" s="1"/>
  <c r="D27" i="6"/>
  <c r="D31" i="6" s="1"/>
  <c r="R19" i="6"/>
  <c r="R20" i="6"/>
  <c r="R21" i="6"/>
  <c r="C32" i="15"/>
  <c r="C38" i="15"/>
  <c r="D37" i="69"/>
  <c r="C37" i="69" s="1"/>
  <c r="C33" i="69" s="1"/>
  <c r="C19" i="69"/>
  <c r="C24" i="69" s="1"/>
  <c r="C18" i="12"/>
  <c r="H70" i="39"/>
  <c r="I68" i="39"/>
  <c r="S19" i="6"/>
  <c r="S27" i="6" s="1"/>
  <c r="I27" i="6"/>
  <c r="C32" i="67"/>
  <c r="C38" i="67"/>
  <c r="C37" i="68"/>
  <c r="G35" i="43"/>
  <c r="I35" i="43" s="1"/>
  <c r="E35" i="43"/>
  <c r="G37" i="43"/>
  <c r="I37" i="43" s="1"/>
  <c r="E37" i="43"/>
  <c r="G34" i="43"/>
  <c r="I34" i="43" s="1"/>
  <c r="E34" i="43"/>
  <c r="D16" i="6"/>
  <c r="D8" i="74"/>
  <c r="D6" i="74"/>
  <c r="H27" i="6"/>
  <c r="R22" i="6"/>
  <c r="R25" i="6"/>
  <c r="C66" i="15"/>
  <c r="C60" i="15"/>
  <c r="C23" i="69"/>
  <c r="C60" i="67"/>
  <c r="C66" i="67"/>
  <c r="C30" i="43"/>
  <c r="E30" i="43" s="1"/>
  <c r="E29" i="43"/>
  <c r="G33" i="43"/>
  <c r="I33" i="43" s="1"/>
  <c r="E33" i="43"/>
  <c r="G38" i="43"/>
  <c r="I38" i="43" s="1"/>
  <c r="E38" i="43"/>
  <c r="G36" i="43"/>
  <c r="I36" i="43" s="1"/>
  <c r="E36" i="43"/>
  <c r="B58" i="40" l="1"/>
  <c r="F58" i="40" s="1"/>
  <c r="B52" i="40"/>
  <c r="F52" i="40" s="1"/>
  <c r="B51" i="40"/>
  <c r="F51" i="40" s="1"/>
  <c r="B55" i="40"/>
  <c r="F55" i="40" s="1"/>
  <c r="B57" i="40"/>
  <c r="F57" i="40" s="1"/>
  <c r="B59" i="40"/>
  <c r="F59" i="40" s="1"/>
  <c r="B56" i="40"/>
  <c r="F56" i="40" s="1"/>
  <c r="B54" i="40"/>
  <c r="F54" i="40" s="1"/>
  <c r="B60" i="40"/>
  <c r="F60" i="40" s="1"/>
  <c r="B53" i="40"/>
  <c r="F53" i="40" s="1"/>
  <c r="F61" i="40"/>
  <c r="B2" i="40" s="1"/>
  <c r="B3" i="40" s="1"/>
  <c r="C33" i="67"/>
  <c r="C57" i="67"/>
  <c r="C61" i="67" s="1"/>
  <c r="C59" i="67" s="1"/>
  <c r="C13" i="67"/>
  <c r="C56" i="67" s="1"/>
  <c r="C65" i="67" s="1"/>
  <c r="J59" i="67"/>
  <c r="J60" i="67" s="1"/>
  <c r="L46" i="67" s="1"/>
  <c r="J19" i="67"/>
  <c r="J17" i="67" s="1"/>
  <c r="C36" i="67"/>
  <c r="C22" i="11"/>
  <c r="C57" i="15"/>
  <c r="C61" i="15" s="1"/>
  <c r="C59" i="15" s="1"/>
  <c r="C31" i="11"/>
  <c r="J14" i="15"/>
  <c r="J22" i="15" s="1"/>
  <c r="J19" i="15"/>
  <c r="J17" i="15" s="1"/>
  <c r="C31" i="67"/>
  <c r="C21" i="12"/>
  <c r="C22" i="12" s="1"/>
  <c r="C13" i="15"/>
  <c r="C56" i="15" s="1"/>
  <c r="C65" i="15" s="1"/>
  <c r="C20" i="69"/>
  <c r="C25" i="69" s="1"/>
  <c r="C22" i="69" s="1"/>
  <c r="Q49" i="15"/>
  <c r="C36" i="15"/>
  <c r="C64" i="15"/>
  <c r="C42" i="69"/>
  <c r="C39" i="69"/>
  <c r="C43" i="69" s="1"/>
  <c r="R6" i="1"/>
  <c r="R16" i="1" s="1"/>
  <c r="R27" i="6"/>
  <c r="C38" i="11"/>
  <c r="C35" i="11"/>
  <c r="Q70" i="67"/>
  <c r="C37" i="67"/>
  <c r="C26" i="43"/>
  <c r="C27" i="43"/>
  <c r="J68" i="39"/>
  <c r="I70" i="39"/>
  <c r="C31" i="15"/>
  <c r="I6" i="6"/>
  <c r="I5" i="6"/>
  <c r="C38" i="68"/>
  <c r="C35" i="68"/>
  <c r="J22" i="67"/>
  <c r="J13" i="67"/>
  <c r="J23" i="67" s="1"/>
  <c r="E6" i="76"/>
  <c r="C64" i="67" l="1"/>
  <c r="Q48" i="67"/>
  <c r="C75" i="67"/>
  <c r="J13" i="15"/>
  <c r="J23" i="15" s="1"/>
  <c r="J16" i="15" s="1"/>
  <c r="J25" i="15" s="1"/>
  <c r="C75" i="15"/>
  <c r="Q70" i="15"/>
  <c r="C30" i="67"/>
  <c r="C39" i="67" s="1"/>
  <c r="C40" i="67" s="1"/>
  <c r="C37" i="15"/>
  <c r="C30" i="15" s="1"/>
  <c r="C39" i="15" s="1"/>
  <c r="C33" i="11"/>
  <c r="C28" i="69"/>
  <c r="C27" i="69" s="1"/>
  <c r="C31" i="69" s="1"/>
  <c r="C58" i="67"/>
  <c r="C67" i="67" s="1"/>
  <c r="C68" i="67" s="1"/>
  <c r="C71" i="67" s="1"/>
  <c r="C33" i="68"/>
  <c r="C42" i="68" s="1"/>
  <c r="J16" i="67"/>
  <c r="J25" i="67" s="1"/>
  <c r="E2" i="76"/>
  <c r="C42" i="11"/>
  <c r="C39" i="11"/>
  <c r="C43" i="11" s="1"/>
  <c r="B2" i="43"/>
  <c r="C41" i="69"/>
  <c r="K68" i="39"/>
  <c r="J70" i="39"/>
  <c r="C46" i="69"/>
  <c r="C45" i="69" s="1"/>
  <c r="C58" i="15"/>
  <c r="C67" i="15" s="1"/>
  <c r="C68" i="15" s="1"/>
  <c r="L51" i="67"/>
  <c r="L51" i="15"/>
  <c r="B6" i="76"/>
  <c r="C80" i="67" l="1"/>
  <c r="C79" i="67" s="1"/>
  <c r="Q69" i="67"/>
  <c r="Q68" i="67" s="1"/>
  <c r="C45" i="67"/>
  <c r="C46" i="67" s="1"/>
  <c r="C40" i="15"/>
  <c r="C46" i="15" s="1"/>
  <c r="Q69" i="15"/>
  <c r="Q68" i="15" s="1"/>
  <c r="C80" i="15"/>
  <c r="C79" i="15" s="1"/>
  <c r="C39" i="68"/>
  <c r="C43" i="68" s="1"/>
  <c r="C41" i="68" s="1"/>
  <c r="C49" i="69"/>
  <c r="C51" i="69" s="1"/>
  <c r="C52" i="69" s="1"/>
  <c r="B2" i="69" s="1"/>
  <c r="B3" i="69" s="1"/>
  <c r="Q67" i="15"/>
  <c r="B2" i="76"/>
  <c r="B3" i="76" s="1"/>
  <c r="Q67" i="67"/>
  <c r="L57" i="67"/>
  <c r="L60" i="67" s="1"/>
  <c r="C71" i="15"/>
  <c r="B2" i="15"/>
  <c r="B3" i="15" s="1"/>
  <c r="E6" i="12" s="1"/>
  <c r="L68" i="39"/>
  <c r="K70" i="39"/>
  <c r="B3" i="43"/>
  <c r="C43" i="67"/>
  <c r="Q65" i="67"/>
  <c r="Q47" i="67"/>
  <c r="Q53" i="67" s="1"/>
  <c r="Q56" i="67"/>
  <c r="D2" i="67"/>
  <c r="C83" i="67"/>
  <c r="C82" i="67" s="1"/>
  <c r="C41" i="11"/>
  <c r="C46" i="11"/>
  <c r="C45" i="11" s="1"/>
  <c r="Q56" i="15" l="1"/>
  <c r="Q62" i="15" s="1"/>
  <c r="C43" i="15"/>
  <c r="C83" i="15"/>
  <c r="C82" i="15" s="1"/>
  <c r="Q65" i="15"/>
  <c r="Q75" i="15" s="1"/>
  <c r="Q47" i="15"/>
  <c r="Q53" i="15" s="1"/>
  <c r="C46" i="68"/>
  <c r="C45" i="68" s="1"/>
  <c r="C49" i="68" s="1"/>
  <c r="C51" i="68" s="1"/>
  <c r="C49" i="11"/>
  <c r="C51" i="11" s="1"/>
  <c r="C52" i="11" s="1"/>
  <c r="B2" i="11" s="1"/>
  <c r="B3" i="11" s="1"/>
  <c r="C57" i="69"/>
  <c r="C56" i="69" s="1"/>
  <c r="B2" i="67"/>
  <c r="B3" i="67"/>
  <c r="M68" i="39"/>
  <c r="L70" i="39"/>
  <c r="Q57" i="67"/>
  <c r="Q62" i="67" s="1"/>
  <c r="Q66" i="67"/>
  <c r="Q75" i="67" s="1"/>
  <c r="C56" i="11" l="1"/>
  <c r="C57" i="11" s="1"/>
  <c r="N68" i="39"/>
  <c r="M70" i="39"/>
  <c r="N70" i="39" l="1"/>
  <c r="O68" i="39"/>
  <c r="O70" i="39" s="1"/>
  <c r="F7" i="39" l="1"/>
  <c r="J7" i="39"/>
  <c r="H7" i="39"/>
  <c r="AB7" i="39" l="1"/>
  <c r="U7" i="39"/>
  <c r="AC7" i="39"/>
  <c r="W7" i="39"/>
  <c r="S7" i="39"/>
  <c r="AA7" i="39"/>
  <c r="D15" i="74" l="1"/>
  <c r="H15" i="74" l="1"/>
  <c r="F15" i="74"/>
  <c r="E15" i="74"/>
  <c r="K11" i="21" l="1"/>
  <c r="D69" i="21" s="1"/>
  <c r="E69" i="21" s="1"/>
  <c r="F69" i="21" l="1"/>
  <c r="G69" i="21" s="1"/>
  <c r="H69" i="21" s="1"/>
  <c r="I69" i="21" s="1"/>
  <c r="J69" i="21" s="1"/>
  <c r="K69" i="21" s="1"/>
  <c r="L69" i="21" s="1"/>
  <c r="M69" i="21" s="1"/>
  <c r="J11" i="21"/>
  <c r="H11" i="21"/>
  <c r="F11" i="21"/>
  <c r="D81" i="39"/>
  <c r="E81" i="39" s="1"/>
  <c r="F81" i="39" l="1"/>
  <c r="G81" i="39" s="1"/>
  <c r="H81" i="39" s="1"/>
  <c r="I81" i="39" s="1"/>
  <c r="J81" i="39" s="1"/>
  <c r="K81" i="39" s="1"/>
  <c r="L81" i="39" s="1"/>
  <c r="M81" i="39" s="1"/>
  <c r="H11" i="39"/>
  <c r="J11" i="39"/>
  <c r="F11" i="39"/>
  <c r="S11" i="21"/>
  <c r="AA11" i="21"/>
  <c r="R48" i="21" s="1"/>
  <c r="W11" i="21"/>
  <c r="AC11" i="21"/>
  <c r="V48" i="21" s="1"/>
  <c r="I48" i="21" s="1"/>
  <c r="U11" i="21"/>
  <c r="AB11" i="21"/>
  <c r="T48" i="21" s="1"/>
  <c r="G48" i="21" s="1"/>
  <c r="G52" i="21" l="1"/>
  <c r="H52" i="21" s="1"/>
  <c r="G53" i="21"/>
  <c r="H53" i="21" s="1"/>
  <c r="W11" i="39"/>
  <c r="AC11" i="39"/>
  <c r="V47" i="39" s="1"/>
  <c r="I47" i="39" s="1"/>
  <c r="I52" i="21"/>
  <c r="J52" i="21" s="1"/>
  <c r="I53" i="21"/>
  <c r="J53" i="21" s="1"/>
  <c r="E48" i="21"/>
  <c r="R49" i="21"/>
  <c r="S11" i="39"/>
  <c r="AA11" i="39"/>
  <c r="R47" i="39" s="1"/>
  <c r="U11" i="39"/>
  <c r="AB11" i="39"/>
  <c r="T47" i="39" s="1"/>
  <c r="G47" i="39" s="1"/>
  <c r="E47" i="39" l="1"/>
  <c r="R48" i="39"/>
  <c r="E52" i="21"/>
  <c r="F52" i="21" s="1"/>
  <c r="E53" i="21"/>
  <c r="F53" i="21" s="1"/>
  <c r="G51" i="39"/>
  <c r="H51" i="39" s="1"/>
  <c r="G52" i="39"/>
  <c r="H52" i="39" s="1"/>
  <c r="C48" i="21"/>
  <c r="C49" i="21"/>
  <c r="I51" i="39"/>
  <c r="J51" i="39" s="1"/>
  <c r="I52" i="39"/>
  <c r="J52" i="39" s="1"/>
  <c r="E52" i="39" l="1"/>
  <c r="F52" i="39" s="1"/>
  <c r="E51" i="39"/>
  <c r="F51" i="39" s="1"/>
  <c r="B3" i="21"/>
  <c r="C6" i="12" s="1"/>
  <c r="B2" i="21"/>
  <c r="C8" i="12" s="1"/>
  <c r="C4" i="12" s="1"/>
  <c r="C47" i="39"/>
  <c r="C48" i="39"/>
  <c r="B64" i="39" l="1"/>
  <c r="F64" i="39" s="1"/>
  <c r="B59" i="39"/>
  <c r="F59" i="39" s="1"/>
  <c r="B58" i="39"/>
  <c r="F58" i="39" s="1"/>
  <c r="B61" i="39"/>
  <c r="F61" i="39" s="1"/>
  <c r="B60" i="39"/>
  <c r="F60" i="39" s="1"/>
  <c r="B62" i="39"/>
  <c r="F62" i="39" s="1"/>
  <c r="B63" i="39"/>
  <c r="F63" i="39" s="1"/>
  <c r="B57" i="39"/>
  <c r="F57" i="39" s="1"/>
  <c r="B65" i="39"/>
  <c r="F65" i="39" s="1"/>
  <c r="B56" i="39"/>
  <c r="F56" i="39" s="1"/>
  <c r="C31" i="12"/>
  <c r="C23" i="12"/>
  <c r="F66" i="39" l="1"/>
  <c r="B2" i="39" s="1"/>
  <c r="C27" i="12"/>
  <c r="C25" i="12" s="1"/>
  <c r="C30" i="12"/>
  <c r="C28" i="12" s="1"/>
  <c r="B3" i="39"/>
  <c r="C6" i="68"/>
  <c r="C20" i="9"/>
  <c r="C19" i="9"/>
  <c r="C102" i="9" l="1"/>
  <c r="C21" i="9"/>
  <c r="C32" i="12"/>
  <c r="B2" i="12" s="1"/>
  <c r="B3" i="12" s="1"/>
  <c r="C103" i="9"/>
  <c r="C7" i="68"/>
  <c r="C5" i="68" s="1"/>
  <c r="D19" i="9"/>
  <c r="D20" i="9"/>
  <c r="D102" i="9" l="1"/>
  <c r="G19" i="9"/>
  <c r="H32" i="9" s="1"/>
  <c r="D21" i="9"/>
  <c r="D22" i="9"/>
  <c r="D103" i="9"/>
  <c r="G20" i="9"/>
  <c r="C20" i="68"/>
  <c r="C25" i="68" s="1"/>
  <c r="C23" i="68"/>
  <c r="G21" i="9" l="1"/>
  <c r="C32" i="9"/>
  <c r="C22" i="68"/>
  <c r="H118" i="9"/>
  <c r="C28" i="68"/>
  <c r="C27" i="68" s="1"/>
  <c r="C31" i="68" l="1"/>
  <c r="C52" i="68" s="1"/>
  <c r="B2" i="68" s="1"/>
  <c r="C104" i="9"/>
  <c r="H119" i="9"/>
  <c r="H5" i="52" s="1"/>
  <c r="H4" i="52"/>
  <c r="I118" i="9"/>
  <c r="D14" i="74"/>
  <c r="H101" i="9"/>
  <c r="C57" i="68" l="1"/>
  <c r="C56" i="68" s="1"/>
  <c r="M48" i="9"/>
  <c r="D5" i="53"/>
  <c r="D45" i="9"/>
  <c r="H109" i="9"/>
  <c r="I4" i="52"/>
  <c r="C105" i="9"/>
  <c r="H102" i="9"/>
  <c r="D7" i="53" s="1"/>
  <c r="B21" i="72" s="1"/>
  <c r="E14" i="74"/>
  <c r="F14" i="74"/>
  <c r="B5" i="74"/>
  <c r="B3" i="68"/>
  <c r="D35" i="9"/>
  <c r="D34" i="9"/>
  <c r="C35" i="9" l="1"/>
  <c r="D5" i="74"/>
  <c r="C5" i="74"/>
  <c r="D53" i="9"/>
  <c r="D52" i="9"/>
  <c r="C78" i="9"/>
  <c r="C73" i="9" s="1"/>
  <c r="C64" i="9"/>
  <c r="C63" i="9" s="1"/>
  <c r="C67" i="9" s="1"/>
  <c r="C68" i="9" s="1"/>
  <c r="D54" i="9" s="1"/>
  <c r="C93" i="9"/>
  <c r="C86" i="9" s="1"/>
  <c r="C72" i="9"/>
  <c r="C85" i="9"/>
  <c r="C95" i="9" s="1"/>
  <c r="D55" i="9"/>
  <c r="M53" i="9" s="1"/>
  <c r="H110" i="9"/>
  <c r="D18" i="53" s="1"/>
  <c r="B35" i="72" s="1"/>
  <c r="D16" i="53"/>
  <c r="M49" i="9"/>
  <c r="D124" i="9"/>
  <c r="D6" i="53"/>
  <c r="B22" i="72" s="1"/>
  <c r="B20" i="72"/>
  <c r="C79" i="9" l="1"/>
  <c r="D10" i="52"/>
  <c r="D125" i="9"/>
  <c r="D11" i="52" s="1"/>
  <c r="H14" i="74"/>
  <c r="B7" i="74" s="1"/>
  <c r="D17" i="53"/>
  <c r="B36" i="72" s="1"/>
  <c r="B34" i="72"/>
  <c r="C80" i="9"/>
  <c r="E80" i="9" s="1"/>
  <c r="E81" i="9" s="1"/>
  <c r="F118" i="9"/>
  <c r="C34" i="9"/>
  <c r="D118" i="9" s="1"/>
  <c r="L68" i="9"/>
  <c r="M68" i="9" s="1"/>
  <c r="L67" i="9"/>
  <c r="M67" i="9" s="1"/>
  <c r="L64" i="9"/>
  <c r="M64" i="9" s="1"/>
  <c r="L65" i="9"/>
  <c r="M65" i="9" s="1"/>
  <c r="L66" i="9"/>
  <c r="M66" i="9" s="1"/>
  <c r="L63" i="9"/>
  <c r="M63" i="9" s="1"/>
  <c r="C96" i="9"/>
  <c r="E96" i="9" s="1"/>
  <c r="E97" i="9" s="1"/>
  <c r="C81" i="9" l="1"/>
  <c r="G118" i="9"/>
  <c r="F4" i="52"/>
  <c r="B51" i="72" s="1"/>
  <c r="F119" i="9"/>
  <c r="F5" i="52" s="1"/>
  <c r="B53" i="72" s="1"/>
  <c r="D119" i="9"/>
  <c r="D5" i="52" s="1"/>
  <c r="B49" i="72" s="1"/>
  <c r="D4" i="52"/>
  <c r="B47" i="72" s="1"/>
  <c r="C7" i="74"/>
  <c r="D7" i="74"/>
  <c r="C97" i="9"/>
  <c r="D58" i="9" s="1"/>
  <c r="D56" i="9" s="1"/>
  <c r="M54" i="9" s="1"/>
  <c r="N57" i="9" s="1"/>
  <c r="M69" i="9"/>
  <c r="N69" i="9" s="1"/>
  <c r="G4" i="52" l="1"/>
  <c r="B52" i="72" s="1"/>
  <c r="E118" i="9"/>
  <c r="E4" i="52" s="1"/>
  <c r="B48" i="72" s="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<sst xmlns="http://schemas.openxmlformats.org/spreadsheetml/2006/main" count="7695" uniqueCount="3261">
  <si>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</si>
  <si>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</si>
  <si>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</si>
  <si>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</si>
  <si>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</si>
  <si>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</si>
  <si>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</si>
  <si>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</si>
  <si>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</si>
  <si>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</si>
  <si>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</si>
  <si>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</si>
  <si>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</si>
  <si>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</si>
  <si>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</si>
  <si>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</si>
  <si>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</si>
  <si>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</si>
  <si>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</si>
  <si>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</si>
  <si>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</si>
  <si>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</si>
  <si>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</si>
  <si>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</si>
  <si>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</si>
  <si>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</si>
  <si>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</si>
  <si>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</si>
  <si>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</si>
  <si>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</si>
  <si>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</si>
  <si>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</si>
  <si>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</si>
  <si>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</si>
  <si>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</si>
  <si>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</si>
  <si>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</si>
  <si>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</si>
  <si>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</si>
  <si>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</si>
  <si>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</si>
  <si>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</si>
  <si>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</si>
  <si>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</si>
  <si>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</si>
  <si>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</si>
  <si>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</si>
  <si>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</si>
  <si>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</si>
  <si>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</si>
  <si>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</si>
  <si>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</si>
  <si>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</si>
  <si>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</si>
  <si>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</si>
  <si>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</si>
  <si>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</si>
  <si>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</si>
  <si>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</si>
  <si>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</si>
  <si>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</si>
  <si>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</si>
  <si>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</si>
  <si>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</si>
  <si>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</si>
  <si>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</si>
  <si>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</si>
  <si>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</si>
  <si>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</si>
  <si>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</si>
  <si>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</si>
  <si>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</si>
  <si>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</si>
  <si>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</si>
  <si>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</si>
  <si>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</si>
  <si>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</si>
  <si>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</si>
  <si>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</si>
  <si>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</si>
  <si>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</si>
  <si>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</si>
  <si>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</si>
  <si>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</si>
  <si>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</si>
  <si>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</si>
  <si>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</si>
  <si>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</si>
  <si>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</si>
  <si>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</si>
  <si>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</si>
  <si>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</si>
  <si>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</si>
  <si>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</si>
  <si>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</si>
  <si>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</si>
  <si>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</si>
  <si>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</si>
  <si>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</si>
  <si>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</si>
  <si>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</si>
  <si>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</si>
  <si>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</si>
  <si>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</si>
  <si>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</si>
  <si>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</si>
  <si>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</si>
  <si>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</si>
  <si>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</si>
  <si>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</si>
  <si>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</si>
  <si>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</si>
  <si>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</si>
  <si>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</si>
  <si>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</si>
  <si>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</si>
  <si>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</si>
  <si>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</si>
  <si>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</si>
  <si>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</si>
  <si>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</si>
  <si>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</si>
  <si>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</si>
  <si>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</si>
  <si>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</si>
  <si>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</si>
  <si>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</si>
  <si>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</si>
  <si>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</si>
  <si>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</si>
  <si>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</si>
  <si>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</si>
  <si>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</si>
  <si>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</si>
  <si>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</si>
  <si>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</si>
  <si>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</si>
  <si>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</si>
  <si>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</si>
  <si>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</si>
  <si>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</si>
  <si>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</si>
  <si>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</si>
  <si>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</si>
  <si>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</si>
  <si>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</si>
  <si>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</si>
  <si>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</si>
  <si>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</si>
  <si>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</si>
  <si>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</si>
  <si>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</si>
  <si>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</si>
  <si>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</si>
  <si>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</si>
  <si>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</si>
  <si>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</si>
  <si>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</si>
  <si>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</si>
  <si>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</si>
  <si>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</si>
  <si>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</si>
  <si>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</si>
  <si>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</si>
  <si>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</si>
  <si>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</si>
  <si>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</si>
  <si>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</si>
  <si>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</si>
  <si>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</si>
  <si>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</si>
  <si>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</si>
  <si>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</si>
  <si>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</si>
  <si>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</si>
  <si>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</si>
  <si>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</si>
  <si>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</si>
  <si>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</si>
  <si>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</si>
  <si>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</si>
  <si>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</si>
  <si>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</si>
  <si>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</si>
  <si>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</si>
  <si>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</si>
  <si>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</si>
  <si>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</si>
  <si>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</si>
  <si>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</si>
  <si>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</si>
  <si>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</si>
  <si>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</si>
  <si>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</si>
  <si>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</si>
  <si>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</si>
  <si>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</si>
  <si>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</si>
  <si>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</si>
  <si>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</si>
  <si>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</si>
  <si>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</si>
  <si>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</si>
  <si>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</si>
  <si>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</si>
  <si>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</si>
  <si>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</si>
  <si>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</si>
  <si>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</si>
  <si>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</si>
  <si>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</si>
  <si>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</si>
  <si>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</si>
  <si>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</si>
  <si>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</si>
  <si>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</si>
  <si>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</si>
  <si>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</si>
  <si>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</si>
  <si>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</si>
  <si>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</si>
  <si>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</si>
  <si>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</si>
  <si>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</si>
  <si>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</si>
  <si>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</si>
  <si>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</si>
  <si>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</si>
  <si>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</si>
  <si>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</si>
  <si>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</si>
  <si>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</si>
  <si>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</si>
  <si>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</si>
  <si>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</si>
  <si>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</si>
  <si>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</si>
  <si>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</si>
  <si>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</si>
  <si>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</si>
  <si>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</si>
  <si>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</si>
  <si>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</si>
  <si>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</si>
  <si>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</si>
  <si>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</si>
  <si>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</si>
  <si>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</si>
  <si>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</si>
  <si>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</si>
  <si>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</si>
  <si>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</si>
  <si>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</si>
  <si>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</si>
  <si>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</si>
  <si>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</si>
  <si>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</si>
  <si>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</si>
  <si>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</si>
  <si>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</si>
  <si>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</si>
  <si>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</si>
  <si>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</si>
  <si>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</si>
  <si>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</si>
  <si>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</si>
  <si>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</si>
  <si>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</si>
  <si>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</si>
  <si>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</si>
  <si>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</si>
  <si>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</si>
  <si>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</si>
  <si>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</si>
  <si>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</si>
  <si>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</si>
  <si>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</si>
  <si>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</si>
  <si>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</si>
  <si>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</si>
  <si>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</si>
  <si>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</si>
  <si>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</si>
  <si>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</si>
  <si>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</si>
  <si>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</si>
  <si>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</si>
  <si>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</si>
  <si>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</si>
  <si>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</si>
  <si>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</si>
  <si>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</si>
  <si>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</si>
  <si>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</si>
  <si>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</si>
  <si>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</si>
  <si>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</si>
  <si>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</si>
  <si>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</si>
  <si>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</si>
  <si>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</si>
  <si>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</si>
  <si>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</si>
  <si>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</si>
  <si>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</si>
  <si>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</si>
  <si>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</si>
  <si>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</si>
  <si>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</si>
  <si>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</si>
  <si>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</si>
  <si>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</si>
  <si>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</si>
  <si>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</si>
  <si>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</si>
  <si>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</si>
  <si>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</si>
  <si>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</si>
  <si>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</si>
  <si>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</si>
  <si>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</si>
  <si>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</si>
  <si>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</si>
  <si>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</si>
  <si>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</si>
  <si>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</si>
  <si>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</si>
  <si>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</si>
  <si>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</si>
  <si>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</si>
  <si>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</si>
  <si>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</si>
  <si>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</si>
  <si>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</si>
  <si>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</si>
  <si>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</si>
  <si>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</si>
  <si>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</si>
  <si>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</si>
  <si>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</si>
  <si>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</si>
  <si>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</si>
  <si>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</si>
  <si>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</si>
  <si>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</si>
  <si>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</si>
  <si>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</si>
  <si>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</si>
  <si>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</si>
  <si>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</si>
  <si>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</si>
  <si>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</si>
  <si>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</si>
  <si>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</si>
  <si>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</si>
  <si>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</si>
  <si>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</si>
  <si>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</si>
  <si>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</si>
  <si>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</si>
  <si>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</si>
  <si>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</si>
  <si>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</si>
  <si>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</si>
  <si>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</si>
  <si>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</si>
  <si>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</si>
  <si>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</si>
  <si>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</si>
  <si>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</si>
  <si>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</si>
  <si>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</si>
  <si>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</si>
  <si>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</si>
  <si>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</si>
  <si>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</si>
  <si>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</si>
  <si>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</si>
  <si>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</si>
  <si>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</si>
  <si>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</si>
  <si>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</si>
  <si>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</si>
  <si>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</si>
  <si>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</si>
  <si>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</si>
  <si>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</si>
  <si>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</si>
  <si>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</si>
  <si>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</si>
  <si>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</si>
  <si>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</si>
  <si>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</si>
  <si>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</si>
  <si>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</si>
  <si>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</si>
  <si>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</si>
  <si>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</si>
  <si>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</si>
  <si>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</si>
  <si>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</si>
  <si>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</si>
  <si>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</si>
  <si>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</si>
  <si>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</si>
  <si>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</si>
  <si>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</si>
  <si>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</si>
  <si>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</si>
  <si>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</si>
  <si>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</si>
  <si>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</si>
  <si>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</si>
  <si>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</si>
  <si>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</si>
  <si>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</si>
  <si>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</si>
  <si>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</si>
  <si>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</si>
  <si>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</si>
  <si>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</si>
  <si>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</si>
  <si>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</si>
  <si>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</si>
  <si>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</si>
  <si>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</si>
  <si>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</si>
  <si>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</si>
  <si>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</si>
  <si>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</si>
  <si>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</si>
  <si>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</si>
  <si>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</si>
  <si>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</si>
  <si>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</si>
  <si>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</si>
  <si>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</si>
  <si>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</si>
  <si>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</si>
  <si>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</si>
  <si>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</si>
  <si>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</si>
  <si>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</si>
  <si>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</si>
  <si>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</si>
  <si>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</si>
  <si>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</si>
  <si>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</si>
  <si>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</si>
  <si>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</si>
  <si>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</si>
  <si>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</si>
  <si>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</si>
  <si>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</si>
  <si>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</si>
  <si>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</si>
  <si>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</si>
  <si>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</si>
  <si>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</si>
  <si>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</si>
  <si>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</si>
  <si>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</si>
  <si>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</si>
  <si>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</si>
  <si>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</si>
  <si>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</si>
  <si>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</si>
  <si>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</si>
  <si>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</si>
  <si>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</si>
  <si>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</si>
  <si>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</si>
  <si>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</si>
  <si>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</si>
  <si>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</si>
  <si>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</si>
  <si>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</si>
  <si>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</si>
  <si>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</si>
  <si>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</si>
  <si>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</si>
  <si>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</si>
  <si>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</si>
  <si>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</si>
  <si>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</si>
  <si>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</si>
  <si>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</si>
  <si>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</si>
  <si>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</si>
  <si>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</si>
  <si>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</si>
  <si>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</si>
  <si>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</si>
  <si>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</si>
  <si>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</si>
  <si>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</si>
  <si>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</si>
  <si>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</si>
  <si>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</si>
  <si>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</si>
  <si>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</si>
  <si>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</si>
  <si>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</si>
  <si>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</si>
  <si>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</si>
  <si>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</si>
  <si>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</si>
  <si>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</si>
  <si>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</si>
  <si>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</si>
  <si>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</si>
  <si>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</si>
  <si>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</si>
  <si>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</si>
  <si>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</si>
  <si>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</si>
  <si>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</si>
  <si>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</si>
  <si>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</si>
  <si>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</si>
  <si>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</si>
  <si>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</si>
  <si>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</si>
  <si>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</si>
  <si>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</si>
  <si>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</si>
  <si>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</si>
  <si>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</si>
  <si>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</si>
  <si>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</si>
  <si>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</si>
  <si>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</si>
  <si>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</si>
  <si>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</si>
  <si>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</si>
  <si>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</si>
  <si>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</si>
  <si>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</si>
  <si>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</si>
  <si>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</si>
  <si>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</si>
  <si>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</si>
  <si>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</si>
  <si>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</si>
  <si>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</si>
  <si>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</si>
  <si>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</si>
  <si>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</si>
  <si>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</si>
  <si>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</si>
  <si>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</si>
  <si>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</si>
  <si>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</si>
  <si>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</si>
  <si>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</si>
  <si>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</si>
  <si>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</si>
  <si>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</si>
  <si>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</si>
  <si>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</si>
  <si>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</si>
  <si>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</si>
  <si>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</si>
  <si>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</si>
  <si>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</si>
  <si>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</si>
  <si>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</si>
  <si>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</si>
  <si>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</si>
  <si>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</si>
  <si>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</si>
  <si>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</si>
  <si>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</si>
  <si>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</si>
  <si>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</si>
  <si>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</si>
  <si>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</si>
  <si>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</si>
  <si>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</si>
  <si>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</si>
  <si>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</si>
  <si>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</si>
  <si>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</si>
  <si>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</si>
  <si>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</si>
  <si>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</si>
  <si>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</si>
  <si>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</si>
  <si>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</si>
  <si>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</si>
  <si>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</si>
  <si>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</si>
  <si>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</si>
  <si>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</si>
  <si>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</si>
  <si>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</si>
  <si>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</si>
  <si>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</si>
  <si>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</si>
  <si>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</si>
  <si>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</si>
  <si>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</si>
  <si>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</si>
  <si>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</si>
  <si>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</si>
  <si>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</si>
  <si>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</si>
  <si>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</si>
  <si>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</si>
  <si>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</si>
  <si>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</si>
  <si>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</si>
  <si>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</si>
  <si>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</si>
  <si>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</si>
  <si>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</si>
  <si>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</si>
  <si>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</si>
  <si>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</si>
  <si>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</si>
  <si>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</si>
  <si>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</si>
  <si>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</si>
  <si>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</si>
  <si>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</si>
  <si>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</si>
  <si>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</si>
  <si>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</si>
  <si>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</si>
  <si>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</si>
  <si>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</si>
  <si>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</si>
  <si>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</si>
  <si>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</si>
  <si>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</si>
  <si>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</si>
  <si>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</si>
  <si>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</si>
  <si>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</si>
  <si>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</si>
  <si>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</si>
  <si>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</si>
  <si>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</si>
  <si>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</si>
  <si>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</si>
  <si>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</si>
  <si>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</si>
  <si>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</si>
  <si>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</si>
  <si>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</si>
  <si>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</si>
  <si>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</si>
  <si>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</si>
  <si>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</si>
  <si>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</si>
  <si>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</si>
  <si>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</si>
  <si>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</si>
  <si>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</si>
  <si>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</si>
  <si>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</si>
  <si>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</si>
  <si>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</si>
  <si>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</si>
  <si>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</si>
  <si>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</si>
  <si>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</si>
  <si>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</si>
  <si>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</si>
  <si>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</si>
  <si>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</si>
  <si>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</si>
  <si>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</si>
  <si>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</si>
  <si>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</si>
  <si>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</si>
  <si>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</si>
  <si>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</si>
  <si>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</si>
  <si>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</si>
  <si>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</si>
  <si>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</si>
  <si>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</si>
  <si>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</si>
  <si>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</si>
  <si>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</si>
  <si>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</si>
  <si>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</si>
  <si>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</si>
  <si>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</si>
  <si>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</si>
  <si>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</si>
  <si>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</si>
  <si>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</si>
  <si>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</si>
  <si>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</si>
  <si>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</si>
  <si>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</si>
  <si>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</si>
  <si>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</si>
  <si>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</si>
  <si>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</si>
  <si>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</si>
  <si>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</si>
  <si>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</si>
  <si>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</si>
  <si>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</si>
  <si>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</si>
  <si>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</si>
  <si>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</si>
  <si>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</si>
  <si>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</si>
  <si>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</si>
  <si>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</si>
  <si>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</si>
  <si>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</si>
  <si>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</si>
  <si>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</si>
  <si>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</si>
  <si>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</si>
  <si>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</si>
  <si>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</si>
  <si>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</si>
  <si>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</si>
  <si>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</si>
  <si>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</si>
  <si>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</si>
  <si>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</si>
  <si>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</si>
  <si>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</si>
  <si>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</si>
  <si>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</si>
  <si>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</si>
  <si>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</si>
  <si>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</si>
  <si>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</si>
  <si>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</si>
  <si>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</si>
  <si>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</si>
  <si>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</si>
  <si>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</si>
  <si>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</si>
  <si>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</si>
  <si>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</si>
  <si>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</si>
  <si>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</si>
  <si>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</si>
  <si>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</si>
  <si>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</si>
  <si>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</si>
  <si>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</si>
  <si>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</si>
  <si>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</si>
  <si>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</si>
  <si>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</si>
  <si>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</si>
  <si>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</si>
  <si>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</si>
  <si>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</si>
  <si>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</si>
  <si>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</si>
  <si>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</si>
  <si>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</si>
  <si>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</si>
  <si>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</si>
  <si>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</si>
  <si>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</si>
  <si>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</si>
  <si>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</si>
  <si>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</si>
  <si>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</si>
  <si>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</si>
  <si>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</si>
  <si>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</si>
  <si>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</si>
  <si>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</si>
  <si>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</si>
  <si>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</si>
  <si>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</si>
  <si>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</si>
  <si>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</si>
  <si>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</si>
  <si>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</si>
  <si>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</si>
  <si>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</si>
  <si>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</si>
  <si>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</si>
  <si>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</si>
  <si>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</si>
  <si>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</si>
  <si>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</si>
  <si>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</si>
  <si>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</si>
  <si>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</si>
  <si>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</si>
  <si>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</si>
  <si>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</si>
  <si>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</si>
  <si>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</si>
  <si>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</si>
  <si>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</si>
  <si>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</si>
  <si>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</si>
  <si>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</si>
  <si>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</si>
  <si>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</si>
  <si>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</si>
  <si>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</si>
  <si>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</si>
  <si>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</si>
  <si>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</si>
  <si>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</si>
  <si>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</si>
  <si>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</si>
  <si>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</si>
  <si>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</si>
  <si>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</si>
  <si>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</si>
  <si>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</si>
  <si>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</si>
  <si>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</si>
  <si>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</si>
  <si>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</si>
  <si>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</si>
  <si>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</si>
  <si>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</si>
  <si>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</si>
  <si>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</si>
  <si>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</si>
  <si>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</si>
  <si>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</si>
  <si>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</si>
  <si>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</si>
  <si>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</si>
  <si>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</si>
  <si>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</si>
  <si>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</si>
  <si>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</si>
  <si>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</si>
  <si>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</si>
  <si>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</si>
  <si>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</si>
  <si>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</si>
  <si>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</si>
  <si>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</si>
  <si>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</si>
  <si>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</si>
  <si>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</si>
  <si>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</si>
  <si>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</si>
  <si>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</si>
  <si>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</si>
  <si>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</si>
  <si>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</si>
  <si>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</si>
  <si>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</si>
  <si>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</si>
  <si>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</si>
  <si>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</si>
  <si>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</si>
  <si>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</si>
  <si>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</si>
  <si>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</si>
  <si>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</si>
  <si>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</si>
  <si>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</si>
  <si>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</si>
  <si>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</si>
  <si>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</si>
  <si>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</si>
  <si>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</si>
  <si>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</si>
  <si>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</si>
  <si>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</si>
  <si>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</si>
  <si>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</si>
  <si>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</si>
  <si>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</si>
  <si>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</si>
  <si>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</si>
  <si>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</si>
  <si>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</si>
  <si>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</si>
  <si>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</si>
  <si>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</si>
  <si>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</si>
  <si>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</si>
  <si>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</si>
  <si>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</si>
  <si>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</si>
  <si>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</si>
  <si>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</si>
  <si>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</si>
  <si>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</si>
  <si>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</si>
  <si>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</si>
  <si>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</si>
  <si>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</si>
  <si>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</si>
  <si>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</si>
  <si>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</si>
  <si>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</si>
  <si>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</si>
  <si>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</si>
  <si>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</si>
  <si>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</si>
  <si>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</si>
  <si>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</si>
  <si>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</si>
  <si>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</si>
  <si>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</si>
  <si>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</si>
  <si>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</si>
  <si>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</si>
  <si>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</si>
  <si>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</si>
  <si>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</si>
  <si>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</si>
  <si>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</si>
  <si>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</si>
  <si>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</si>
  <si>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</si>
  <si>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</si>
  <si>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</si>
  <si>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</si>
  <si>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</si>
  <si>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</si>
  <si>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</si>
  <si>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</si>
  <si>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</si>
  <si>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</si>
  <si>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</si>
  <si>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</si>
  <si>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</si>
  <si>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</si>
  <si>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</si>
  <si>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</si>
  <si>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</si>
  <si>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</si>
  <si>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</si>
  <si>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</si>
  <si>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</si>
  <si>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</si>
  <si>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</si>
  <si>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</si>
  <si>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</si>
  <si>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</si>
  <si>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</si>
  <si>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</si>
  <si>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</si>
  <si>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</si>
  <si>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</si>
  <si>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</si>
  <si>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</si>
  <si>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</si>
  <si>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</si>
  <si>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</si>
  <si>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</si>
  <si>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</si>
  <si>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</si>
  <si>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</si>
  <si>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</si>
  <si>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</si>
  <si>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</si>
  <si>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</si>
  <si>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</si>
  <si>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</si>
  <si>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</si>
  <si>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</si>
  <si>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</si>
  <si>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</si>
  <si>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</si>
  <si>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</si>
  <si>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</si>
  <si>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</si>
  <si>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</si>
  <si>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</si>
  <si>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</si>
  <si>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</si>
  <si>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</si>
  <si>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</si>
  <si>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</si>
  <si>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</si>
  <si>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</si>
  <si>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</si>
  <si>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</si>
  <si>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</si>
  <si>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</si>
  <si>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</si>
  <si>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</si>
  <si>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</si>
  <si>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</si>
  <si>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</si>
  <si>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</si>
  <si>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</si>
  <si>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</si>
  <si>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</si>
  <si>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</si>
  <si>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</si>
  <si>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</si>
  <si>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</si>
  <si>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</si>
  <si>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</si>
  <si>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</si>
  <si>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</si>
  <si>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</si>
  <si>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</si>
  <si>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</si>
  <si>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</si>
  <si>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</si>
  <si>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</si>
  <si>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</si>
  <si>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</si>
  <si>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</si>
  <si>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</si>
  <si>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</si>
  <si>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</si>
  <si>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</si>
  <si>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</si>
  <si>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</si>
  <si>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</si>
  <si>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</si>
  <si>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</si>
  <si>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</si>
  <si>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</si>
  <si>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</si>
  <si>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</si>
  <si>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</si>
  <si>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</si>
  <si>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</si>
  <si>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</si>
  <si>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</si>
  <si>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</si>
  <si>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</si>
  <si>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</si>
  <si>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</si>
  <si>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</si>
  <si>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</si>
  <si>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</si>
  <si>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</si>
  <si>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</si>
  <si>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</si>
  <si>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</si>
  <si>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</si>
  <si>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</si>
  <si>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</si>
  <si>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</si>
  <si>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</si>
  <si>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</si>
  <si>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</si>
  <si>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</si>
  <si>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</si>
  <si>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</si>
  <si>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</si>
  <si>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</si>
  <si>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</si>
  <si>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</si>
  <si>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</si>
  <si>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</si>
  <si>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</si>
  <si>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</si>
  <si>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</si>
  <si>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</si>
  <si>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</si>
  <si>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</si>
  <si>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</si>
  <si>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</si>
  <si>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</si>
  <si>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</si>
  <si>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</si>
  <si>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</si>
  <si>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</si>
  <si>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</si>
  <si>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</si>
  <si>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</si>
  <si>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</si>
  <si>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</si>
  <si>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</si>
  <si>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</si>
  <si>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</si>
  <si>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</si>
  <si>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</si>
  <si>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</si>
  <si>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</si>
  <si>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</si>
  <si>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</si>
  <si>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</si>
  <si>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</si>
  <si>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</si>
  <si>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</si>
  <si>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</si>
  <si>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</si>
  <si>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</si>
  <si>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</si>
  <si>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</si>
  <si>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</si>
  <si>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</si>
  <si>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</si>
  <si>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</si>
  <si>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</si>
  <si>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</si>
  <si>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</si>
  <si>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</si>
  <si>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</si>
  <si>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</si>
  <si>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</si>
  <si>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</si>
  <si>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</si>
  <si>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</si>
  <si>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</si>
  <si>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</si>
  <si>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</si>
  <si>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</si>
  <si>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</si>
  <si>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</si>
  <si>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</si>
  <si>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</si>
  <si>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</si>
  <si>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</si>
  <si>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</si>
  <si>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</si>
  <si>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</si>
  <si>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</si>
  <si>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</si>
  <si>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</si>
  <si>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</si>
  <si>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</si>
  <si>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</si>
  <si>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</si>
  <si>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</si>
  <si>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</si>
  <si>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</si>
  <si>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</si>
  <si>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</si>
  <si>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</si>
  <si>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</si>
  <si>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</si>
  <si>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</si>
  <si>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</si>
  <si>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</si>
  <si>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</si>
  <si>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</si>
  <si>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</si>
  <si>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</si>
  <si>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</si>
  <si>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</si>
  <si>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</si>
  <si>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</si>
  <si>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</si>
  <si>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</si>
  <si>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</si>
  <si>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</si>
  <si>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</si>
  <si>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</si>
  <si>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</si>
  <si>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</si>
  <si>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</si>
  <si>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</si>
  <si>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</si>
  <si>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</si>
  <si>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</si>
  <si>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</si>
  <si>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</si>
  <si>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</si>
  <si>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</si>
  <si>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</si>
  <si>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</si>
  <si>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</si>
  <si>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</si>
  <si>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</si>
  <si>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</si>
  <si>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</si>
  <si>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</si>
  <si>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</si>
  <si>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</si>
  <si>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</si>
  <si>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</si>
  <si>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</si>
  <si>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</si>
  <si>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</si>
  <si>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</si>
  <si>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</si>
  <si>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</si>
  <si>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</si>
  <si>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</si>
  <si>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</si>
  <si>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</si>
  <si>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</si>
  <si>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</si>
  <si>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</si>
  <si>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</si>
  <si>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</si>
  <si>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</si>
  <si>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</si>
  <si>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</si>
  <si>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</si>
  <si>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</si>
  <si>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</si>
  <si>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</si>
  <si>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</si>
  <si>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</si>
  <si>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</si>
  <si>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</si>
  <si>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</si>
  <si>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</si>
  <si>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</si>
  <si>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</si>
  <si>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</si>
  <si>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</si>
  <si>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</si>
  <si>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</si>
  <si>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</si>
  <si>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</si>
  <si>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</si>
  <si>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</si>
  <si>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</si>
  <si>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</si>
  <si>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</si>
  <si>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</si>
  <si>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</si>
  <si>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</si>
  <si>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</si>
  <si>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</si>
  <si>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</si>
  <si>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</si>
  <si>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</si>
  <si>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</si>
  <si>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</si>
  <si>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</si>
  <si>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</si>
  <si>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</si>
  <si>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</si>
  <si>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</si>
  <si>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</si>
  <si>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</si>
  <si>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</si>
  <si>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</si>
  <si>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</si>
  <si>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</si>
  <si>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</si>
  <si>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</si>
  <si>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</si>
  <si>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</si>
  <si>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</si>
  <si>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</si>
  <si>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</si>
  <si>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</si>
  <si>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</si>
  <si>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</si>
  <si>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</si>
  <si>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</si>
  <si>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</si>
  <si>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</si>
  <si>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</si>
  <si>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</si>
  <si>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</si>
  <si>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</si>
  <si>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</si>
  <si>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</si>
  <si>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</si>
  <si>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</si>
  <si>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</si>
  <si>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</si>
  <si>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</si>
  <si>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</si>
  <si>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</si>
  <si>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</si>
  <si>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</si>
  <si>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</si>
  <si>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</si>
  <si>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</si>
  <si>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</si>
  <si>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</si>
  <si>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</si>
  <si>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</si>
  <si>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</si>
  <si>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</si>
  <si>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</si>
  <si>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</si>
  <si>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</si>
  <si>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</si>
  <si>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</si>
  <si>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</si>
  <si>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</si>
  <si>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</si>
  <si>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</si>
  <si>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</si>
  <si>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</si>
  <si>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</si>
  <si>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</si>
  <si>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</si>
  <si>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</si>
  <si>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</si>
  <si>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</si>
  <si>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</si>
  <si>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</si>
  <si>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</si>
  <si>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</si>
  <si>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</si>
  <si>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</si>
  <si>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</si>
  <si>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</si>
  <si>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</si>
  <si>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</si>
  <si>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</si>
  <si>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</si>
  <si>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</si>
  <si>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</si>
  <si>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</si>
  <si>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</si>
  <si>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</si>
  <si>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</si>
  <si>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</si>
  <si>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</si>
  <si>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</si>
  <si>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</si>
  <si>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</si>
  <si>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</si>
  <si>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</si>
  <si>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</si>
  <si>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</si>
  <si>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</si>
  <si>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</si>
  <si>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</si>
  <si>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</si>
  <si>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</si>
  <si>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</si>
  <si>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</si>
  <si>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</si>
  <si>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</si>
  <si>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</si>
  <si>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</si>
  <si>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</si>
  <si>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</si>
  <si>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</si>
  <si>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</si>
  <si>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</si>
  <si>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</si>
  <si>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</si>
  <si>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</si>
  <si>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</si>
  <si>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</si>
  <si>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</si>
  <si>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</si>
  <si>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</si>
  <si>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</si>
  <si>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</si>
  <si>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</si>
  <si>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</si>
  <si>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</si>
  <si>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</si>
  <si>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</si>
  <si>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</si>
  <si>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</si>
  <si>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</si>
  <si>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</si>
  <si>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</si>
  <si>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</si>
  <si>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</si>
  <si>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</si>
  <si>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</si>
  <si>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</si>
  <si>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</si>
  <si>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</si>
  <si>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</si>
  <si>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</si>
  <si>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</si>
  <si>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</si>
  <si>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</si>
  <si>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</si>
  <si>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</si>
  <si>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</si>
  <si>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</si>
  <si>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</si>
  <si>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</si>
  <si>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</si>
  <si>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</si>
  <si>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</si>
  <si>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</si>
  <si>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</si>
  <si>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</si>
  <si>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</si>
  <si>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</si>
  <si>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</si>
  <si>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</si>
  <si>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</si>
  <si>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</si>
  <si>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</si>
  <si>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</si>
  <si>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</si>
  <si>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</si>
  <si>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</si>
  <si>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</si>
  <si>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</si>
  <si>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</si>
  <si>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</si>
  <si>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</si>
  <si>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</si>
  <si>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</si>
  <si>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</si>
  <si>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</si>
  <si>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</si>
  <si>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</si>
  <si>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</si>
  <si>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</si>
  <si>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</si>
  <si>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</si>
  <si>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</si>
  <si>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</si>
  <si>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</si>
  <si>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</si>
  <si>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</si>
  <si>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</si>
  <si>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</si>
  <si>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</si>
  <si>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</si>
  <si>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</si>
  <si>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</si>
  <si>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</si>
  <si>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</si>
  <si>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</si>
  <si>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</si>
  <si>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</si>
  <si>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</si>
  <si>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</si>
  <si>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</si>
  <si>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</si>
  <si>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</si>
  <si>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</si>
  <si>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</si>
  <si>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</si>
  <si>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</si>
  <si>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</si>
  <si>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</si>
  <si>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</si>
  <si>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</si>
  <si>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</si>
  <si>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</si>
  <si>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</si>
  <si>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</si>
  <si>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</si>
  <si>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</si>
  <si>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</si>
  <si>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</si>
  <si>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</si>
  <si>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</si>
  <si>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</si>
  <si>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</si>
  <si>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</si>
  <si>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</si>
  <si>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</si>
  <si>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</si>
  <si>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</si>
  <si>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</si>
  <si>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</si>
  <si>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</si>
  <si>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</si>
  <si>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</si>
  <si>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</si>
  <si>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</si>
  <si>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</si>
  <si>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</si>
  <si>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</si>
  <si>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</si>
  <si>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</si>
  <si>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</si>
  <si>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</si>
  <si>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</si>
  <si>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</si>
  <si>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</si>
  <si>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</si>
  <si>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</si>
  <si>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</si>
  <si>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</si>
  <si>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</si>
  <si>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</si>
  <si>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</si>
  <si>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</si>
  <si>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</si>
  <si>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</si>
  <si>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</si>
  <si>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</si>
  <si>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</si>
  <si>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</si>
  <si>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</si>
  <si>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</si>
  <si>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</si>
  <si>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</si>
  <si>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</si>
  <si>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</si>
  <si>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</si>
  <si>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</si>
  <si>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</si>
  <si>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</si>
  <si>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</si>
  <si>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</si>
  <si>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</si>
  <si>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</si>
  <si>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</si>
  <si>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</si>
  <si>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</si>
  <si>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</si>
  <si>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</si>
  <si>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</si>
  <si>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</si>
  <si>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</si>
  <si>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</si>
  <si>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</si>
  <si>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</si>
  <si>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</si>
  <si>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</si>
  <si>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</si>
  <si>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</si>
  <si>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</si>
  <si>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</si>
  <si>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</si>
  <si>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</si>
  <si>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</si>
  <si>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</si>
  <si>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</si>
  <si>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</si>
  <si>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</si>
  <si>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</si>
  <si>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</si>
  <si>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</si>
  <si>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</si>
  <si>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</si>
  <si>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</si>
  <si>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</si>
  <si>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</si>
  <si>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</si>
  <si>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</si>
  <si>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</si>
  <si>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</si>
  <si>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</si>
  <si>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</si>
  <si>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</si>
  <si>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</si>
  <si>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</si>
  <si>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</si>
  <si>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</si>
  <si>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</si>
  <si>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</si>
  <si>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</si>
  <si>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</si>
  <si>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</si>
  <si>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</si>
  <si>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</si>
  <si>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</si>
  <si>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</si>
  <si>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</si>
  <si>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</si>
  <si>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</si>
  <si>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</si>
  <si>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</si>
  <si>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</si>
  <si>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</si>
  <si>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</si>
  <si>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</si>
  <si>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</si>
  <si>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</si>
  <si>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</si>
  <si>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</si>
  <si>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</si>
  <si>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</si>
  <si>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</si>
  <si>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</si>
  <si>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</si>
  <si>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</si>
  <si>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</si>
  <si>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</si>
  <si>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</si>
  <si>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</si>
  <si>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</si>
  <si>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</si>
  <si>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</si>
  <si>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</si>
  <si>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</si>
  <si>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</si>
  <si>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</si>
  <si>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</si>
  <si>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</si>
  <si>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</si>
  <si>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</si>
  <si>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</si>
  <si>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</si>
  <si>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</si>
  <si>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</si>
  <si>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</si>
  <si>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</si>
  <si>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</si>
  <si>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</si>
  <si>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</si>
  <si>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</si>
  <si>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</si>
  <si>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</si>
  <si>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</si>
  <si>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</si>
  <si>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</si>
  <si>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</si>
  <si>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</si>
  <si>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</si>
  <si>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</si>
  <si>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</si>
  <si>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</si>
  <si>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</si>
  <si>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</si>
  <si>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</si>
  <si>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</si>
  <si>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</si>
  <si>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</si>
  <si>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</si>
  <si>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</si>
  <si>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</si>
  <si>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</si>
  <si>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</si>
  <si>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</si>
  <si>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</si>
  <si>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</si>
  <si>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</si>
  <si>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</si>
  <si>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</si>
  <si>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</si>
  <si>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</si>
  <si>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</si>
  <si>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</si>
  <si>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</si>
  <si>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</si>
  <si>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</si>
  <si>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</si>
  <si>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</si>
  <si>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</si>
  <si>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</si>
  <si>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</si>
  <si>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</si>
  <si>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</si>
  <si>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</si>
  <si>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</si>
  <si>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</si>
  <si>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</si>
  <si>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</si>
  <si>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</si>
  <si>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</si>
  <si>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</si>
  <si>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</si>
  <si>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</si>
  <si>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</si>
  <si>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</si>
  <si>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</si>
  <si>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</si>
  <si>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</si>
  <si>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</si>
  <si>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</si>
  <si>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</si>
  <si>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</si>
  <si>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</si>
  <si>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</si>
  <si>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</si>
  <si>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</si>
  <si>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</si>
  <si>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</si>
  <si>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</si>
  <si>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</si>
  <si>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</si>
  <si>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</si>
  <si>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</si>
  <si>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</si>
  <si>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</si>
  <si>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</si>
  <si>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</si>
  <si>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</si>
  <si>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</si>
  <si>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</si>
  <si>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</si>
  <si>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</si>
  <si>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</si>
  <si>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</si>
  <si>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</si>
  <si>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</si>
  <si>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</si>
  <si>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</si>
  <si>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</si>
  <si>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</si>
  <si>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</si>
  <si>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</si>
  <si>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</si>
  <si>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</si>
  <si>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</si>
  <si>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</si>
  <si>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</si>
  <si>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</si>
  <si>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</si>
  <si>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</si>
  <si>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</si>
  <si>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</si>
  <si>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</si>
  <si>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</si>
  <si>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</si>
  <si>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</si>
  <si>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</si>
  <si>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</si>
  <si>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</si>
  <si>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</si>
  <si>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</si>
  <si>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</si>
  <si>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</si>
  <si>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</si>
  <si>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</si>
  <si>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</si>
  <si>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</si>
  <si>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</si>
  <si>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</si>
  <si>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</si>
  <si>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</si>
  <si>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</si>
  <si>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</si>
  <si>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</si>
  <si>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</si>
  <si>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</si>
  <si>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</si>
  <si>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</si>
  <si>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</si>
  <si>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</si>
  <si>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</si>
  <si>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</si>
  <si>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</si>
  <si>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</si>
  <si>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</si>
  <si>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</si>
  <si>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</si>
  <si>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</si>
  <si>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</si>
  <si>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</si>
  <si>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</si>
  <si>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</si>
  <si>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</si>
  <si>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</si>
  <si>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</si>
  <si>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</si>
  <si>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</si>
  <si>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</si>
  <si>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</si>
  <si>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</si>
  <si>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</si>
  <si>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</si>
  <si>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</si>
  <si>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</si>
  <si>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</si>
  <si>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</si>
  <si>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</si>
  <si>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</si>
  <si>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</si>
  <si>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</si>
  <si>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</si>
  <si>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</si>
  <si>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</si>
  <si>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</si>
  <si>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</si>
  <si>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</si>
  <si>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</si>
  <si>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</si>
  <si>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</si>
  <si>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</si>
  <si>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</si>
  <si>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</si>
  <si>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</si>
  <si>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</si>
  <si>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</si>
  <si>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</si>
  <si>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</si>
  <si>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</si>
  <si>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</si>
  <si>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</si>
  <si>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</si>
  <si>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</si>
  <si>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</si>
  <si>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</si>
  <si>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</si>
  <si>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</si>
  <si>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</si>
  <si>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</si>
  <si>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</si>
  <si>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</si>
  <si>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</si>
  <si>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</si>
  <si>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</si>
  <si>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</si>
  <si>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</si>
  <si>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</si>
  <si>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</si>
  <si>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</si>
  <si>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</si>
  <si>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</si>
  <si>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</si>
  <si>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</si>
  <si>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</si>
  <si>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</si>
  <si>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</si>
  <si>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</si>
  <si>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</si>
  <si>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</si>
  <si>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</si>
  <si>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</si>
  <si>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</si>
  <si>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</si>
  <si>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</si>
  <si>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</si>
  <si>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</si>
  <si>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</si>
  <si>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</si>
  <si>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</si>
  <si>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</si>
  <si>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</si>
  <si>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</si>
  <si>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</si>
  <si>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</si>
  <si>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</si>
  <si>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</si>
  <si>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</si>
  <si>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</si>
  <si>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</si>
  <si>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</si>
  <si>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</si>
  <si>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</si>
  <si>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</si>
  <si>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</si>
  <si>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</si>
  <si>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</si>
  <si>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</si>
  <si>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</si>
  <si>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</si>
  <si>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</si>
  <si>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</si>
  <si>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</si>
  <si>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</si>
  <si>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</si>
  <si>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</si>
  <si>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</si>
  <si>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</si>
  <si>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</si>
  <si>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</si>
  <si>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</si>
  <si>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</si>
  <si>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</si>
  <si>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</si>
  <si>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</si>
  <si>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</si>
  <si>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</si>
  <si>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</si>
  <si>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</si>
  <si>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</si>
  <si>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</si>
  <si>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</si>
  <si>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</si>
  <si>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</si>
  <si>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</si>
  <si>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</si>
  <si>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</si>
  <si>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</si>
  <si>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</si>
  <si>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</si>
  <si>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</si>
  <si>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</si>
  <si>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</si>
  <si>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</si>
  <si>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</si>
  <si>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</si>
  <si>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</si>
  <si>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</si>
  <si>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</si>
  <si>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</si>
  <si>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</si>
  <si>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</si>
  <si>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</si>
  <si>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</si>
  <si>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</si>
  <si>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</si>
  <si>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</si>
  <si>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</si>
  <si>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</si>
  <si>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</si>
  <si>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</si>
  <si>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</si>
  <si>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</si>
  <si>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</si>
  <si>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</si>
  <si>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</si>
  <si>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</si>
  <si>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</si>
  <si>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</si>
  <si>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</si>
  <si>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</si>
  <si>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</si>
  <si>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</si>
  <si>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</si>
  <si>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</si>
  <si>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</si>
  <si>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</si>
  <si>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</si>
  <si>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</si>
  <si>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</si>
  <si>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</si>
  <si>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</si>
  <si>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</si>
  <si>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</si>
  <si>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</si>
  <si>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</si>
  <si>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</si>
  <si>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</si>
  <si>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</si>
  <si>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</si>
  <si>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</si>
  <si>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</si>
  <si>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</si>
  <si>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</si>
  <si>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</si>
  <si>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</si>
  <si>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</si>
  <si>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</si>
  <si>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</si>
  <si>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</si>
  <si>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</si>
  <si>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</si>
  <si>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</si>
  <si>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</si>
  <si>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</si>
  <si>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</si>
  <si>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</si>
  <si>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</si>
  <si>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</si>
  <si>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</si>
  <si>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</si>
  <si>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</si>
  <si>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</si>
  <si>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</si>
  <si>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</si>
  <si>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</si>
  <si>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</si>
  <si>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</si>
  <si>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</si>
  <si>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</si>
  <si>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</si>
  <si>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</si>
  <si>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</si>
  <si>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</si>
  <si>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</si>
  <si>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</si>
  <si>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</si>
  <si>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</si>
  <si>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</si>
  <si>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</si>
  <si>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</si>
  <si>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</si>
  <si>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</si>
  <si>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</si>
  <si>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</si>
  <si>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</si>
  <si>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</si>
  <si>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</si>
  <si>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</si>
  <si>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</si>
  <si>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</si>
  <si>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</si>
  <si>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</si>
  <si>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</si>
  <si>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</si>
  <si>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</si>
  <si>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</si>
  <si>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</si>
  <si>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</si>
  <si>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</si>
  <si>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</si>
  <si>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</si>
  <si>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</si>
  <si>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</si>
  <si>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</si>
  <si>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</si>
  <si>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</si>
  <si>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</si>
  <si>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</si>
  <si>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</si>
  <si>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</si>
  <si>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</si>
  <si>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</si>
  <si>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</si>
  <si>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</si>
  <si>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</si>
  <si>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</si>
  <si>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</si>
  <si>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</si>
  <si>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</si>
  <si>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</si>
  <si>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</si>
  <si>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</si>
  <si>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</si>
  <si>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</si>
  <si>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</si>
  <si>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</si>
  <si>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</si>
  <si>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</si>
  <si>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</si>
  <si>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</si>
  <si>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</si>
  <si>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</si>
  <si>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</si>
  <si>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</si>
  <si>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</si>
  <si>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</si>
  <si>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</si>
  <si>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</si>
  <si>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</si>
  <si>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</si>
  <si>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</si>
  <si>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</si>
  <si>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</si>
  <si>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</si>
  <si>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</si>
  <si>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</si>
  <si>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</si>
  <si>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</si>
  <si>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</si>
  <si>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</si>
  <si>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</si>
  <si>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</si>
  <si>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</si>
  <si>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</si>
  <si>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</si>
  <si>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</si>
  <si>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</si>
  <si>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</si>
  <si>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</si>
  <si>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</si>
  <si>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</si>
  <si>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</si>
  <si>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</si>
  <si>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</si>
  <si>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</si>
  <si>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</si>
  <si>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</si>
  <si>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</si>
  <si>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</si>
  <si>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</si>
  <si>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</si>
  <si>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</si>
  <si>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</si>
  <si>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</si>
  <si>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</si>
  <si>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</si>
  <si>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</si>
  <si>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</si>
  <si>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</si>
  <si>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</si>
  <si>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</si>
  <si>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</si>
  <si>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</si>
  <si>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</si>
  <si>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</si>
  <si>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</si>
  <si>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</si>
  <si>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</si>
  <si>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</si>
  <si>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</si>
  <si>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</si>
  <si>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</si>
  <si>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</si>
  <si>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</si>
  <si>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</si>
  <si>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</si>
  <si>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</si>
  <si>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</si>
  <si>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</si>
  <si>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</si>
  <si>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</si>
  <si>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</si>
  <si>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</si>
  <si>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</si>
  <si>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</si>
  <si>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</si>
  <si>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</si>
  <si>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</si>
  <si>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</si>
  <si>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</si>
  <si>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</si>
  <si>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</si>
  <si>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</si>
  <si>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</si>
  <si>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</si>
  <si>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</si>
  <si>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</si>
  <si>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</si>
  <si>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</si>
  <si>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</si>
  <si>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</si>
  <si>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</si>
  <si>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</si>
  <si>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</si>
  <si>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</si>
  <si>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</si>
  <si>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</si>
  <si>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</si>
  <si>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</si>
  <si>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</si>
  <si>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</si>
  <si>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</si>
  <si>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</si>
  <si>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</si>
  <si>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</si>
  <si>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</si>
  <si>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</si>
  <si>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</si>
  <si>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</si>
  <si>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</si>
  <si>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</si>
  <si>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</si>
  <si>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</si>
  <si>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</si>
  <si>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</si>
  <si>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</si>
  <si>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</si>
  <si>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</si>
  <si>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</si>
  <si>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</si>
  <si>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</si>
  <si>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</si>
  <si>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</si>
  <si>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</si>
  <si>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</si>
  <si>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</si>
  <si>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</si>
  <si>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</si>
  <si>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</si>
  <si>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</si>
  <si>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</si>
  <si>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</si>
  <si>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</si>
  <si>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</si>
  <si>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</si>
  <si>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</si>
  <si>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</si>
  <si>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</si>
  <si>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</si>
  <si>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</si>
  <si>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</si>
  <si>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</si>
  <si>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</si>
  <si>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</si>
  <si>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</si>
  <si>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</si>
  <si>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</si>
  <si>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</si>
  <si>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</si>
  <si>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</si>
  <si>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</si>
  <si>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</si>
  <si>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</si>
  <si>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</si>
  <si>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</si>
  <si>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</si>
  <si>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</si>
  <si>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</si>
  <si>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</si>
  <si>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</si>
  <si>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</si>
  <si>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</si>
  <si>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</si>
  <si>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</si>
  <si>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</si>
  <si>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</si>
  <si>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</si>
  <si>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</si>
  <si>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</si>
  <si>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</si>
  <si>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</si>
  <si>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</si>
  <si>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</si>
  <si>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</si>
  <si>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</si>
  <si>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</si>
  <si>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</si>
  <si>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</si>
  <si>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</si>
  <si>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</si>
  <si>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</si>
  <si>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</si>
  <si>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</si>
  <si>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</si>
  <si>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</si>
  <si>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</si>
  <si>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</si>
  <si>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</si>
  <si>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</si>
  <si>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</si>
  <si>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</si>
  <si>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</si>
  <si>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</si>
  <si>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</si>
  <si>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</si>
  <si>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</si>
  <si>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</si>
  <si>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</si>
  <si>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</si>
  <si>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</si>
  <si>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</si>
  <si>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</si>
  <si>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</si>
  <si>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</si>
  <si>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</si>
  <si>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</si>
  <si>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</si>
  <si>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</si>
  <si>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</si>
  <si>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</si>
  <si>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</si>
  <si>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</si>
  <si>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</si>
  <si>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</si>
  <si>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</si>
  <si>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</si>
  <si>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</si>
  <si>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</si>
  <si>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</si>
  <si>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</si>
  <si>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</si>
  <si>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</si>
  <si>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</si>
  <si>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</si>
  <si>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</si>
  <si>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</si>
  <si>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</si>
  <si>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</si>
  <si>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</si>
  <si>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</si>
  <si>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</si>
  <si>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</si>
  <si>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</si>
  <si>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</si>
  <si>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</si>
  <si>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</si>
  <si>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</si>
  <si>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</si>
  <si>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</si>
  <si>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</si>
  <si>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</si>
  <si>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</si>
  <si>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</si>
  <si>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</si>
  <si>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</si>
  <si>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</si>
  <si>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</si>
  <si>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</si>
  <si>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</si>
  <si>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</si>
  <si>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</si>
  <si>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</si>
  <si>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</si>
  <si>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</si>
  <si>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</si>
  <si>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</si>
  <si>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</si>
  <si>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</si>
  <si>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</si>
  <si>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</si>
  <si>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</si>
  <si>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</si>
  <si>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</si>
  <si>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</si>
  <si>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</si>
  <si>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</si>
  <si>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</si>
  <si>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</si>
  <si>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</si>
  <si>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</si>
  <si>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</si>
  <si>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</si>
  <si>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</si>
  <si>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</si>
  <si>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</si>
  <si>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</si>
  <si>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</si>
  <si>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</si>
  <si>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</si>
  <si>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</si>
  <si>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</si>
  <si>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</si>
  <si>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</si>
  <si>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</si>
  <si>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</si>
  <si>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</si>
  <si>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</si>
  <si>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</si>
  <si>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</si>
  <si>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</si>
  <si>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</si>
  <si>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</si>
  <si>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</si>
  <si>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</si>
  <si>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</si>
  <si>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</si>
  <si>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</si>
  <si>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</si>
  <si>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</si>
  <si>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</si>
  <si>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</si>
  <si>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</si>
  <si>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</si>
  <si>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</si>
  <si>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</si>
  <si>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</si>
  <si>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</si>
  <si>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</si>
  <si>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</si>
  <si>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</si>
  <si>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</si>
  <si>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</si>
  <si>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</si>
  <si>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</si>
  <si>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</si>
  <si>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</si>
  <si>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</si>
  <si>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</si>
  <si>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</si>
  <si>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</si>
  <si>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</si>
  <si>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</si>
  <si>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</si>
  <si>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</si>
  <si>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</si>
  <si>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</si>
  <si>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</si>
  <si>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</si>
  <si>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</si>
  <si>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</si>
  <si>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</si>
  <si>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</si>
  <si>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</si>
  <si>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</si>
  <si>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</si>
  <si>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</si>
  <si>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</si>
  <si>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</si>
  <si>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</si>
  <si>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</si>
  <si>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</si>
  <si>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</si>
  <si>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</si>
  <si>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</si>
  <si>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</si>
  <si>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</si>
  <si>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</si>
  <si>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</si>
  <si>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</si>
  <si>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</si>
  <si>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</si>
  <si>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</si>
  <si>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</si>
  <si>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</si>
  <si>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</si>
  <si>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</si>
  <si>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</si>
  <si>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</si>
  <si>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</si>
  <si>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</si>
  <si>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</si>
  <si>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</si>
  <si>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</si>
  <si>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</si>
  <si>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</si>
  <si>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</si>
  <si>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</si>
  <si>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</si>
  <si>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</si>
  <si>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</si>
  <si>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</si>
  <si>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</si>
  <si>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</si>
  <si>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</si>
  <si>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</si>
  <si>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</si>
  <si>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</si>
  <si>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</si>
  <si>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</si>
  <si>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</si>
  <si>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</si>
  <si>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</si>
  <si>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</si>
  <si>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</si>
  <si>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</si>
  <si>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</si>
  <si>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</si>
  <si>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</si>
  <si>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</si>
  <si>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</si>
  <si>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</si>
  <si>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</si>
  <si>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</si>
  <si>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</si>
  <si>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</si>
  <si>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</si>
  <si>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</si>
  <si>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</si>
  <si>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</si>
  <si>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</si>
  <si>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</si>
  <si>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</si>
  <si>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</si>
  <si>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</si>
  <si>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</si>
  <si>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</si>
  <si>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</si>
  <si>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</si>
  <si>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</si>
  <si>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</si>
  <si>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</si>
  <si>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</si>
  <si>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</si>
  <si>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</si>
  <si>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</si>
  <si>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</si>
  <si>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</si>
  <si>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</si>
  <si>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</si>
  <si>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</si>
  <si>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</si>
  <si>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</si>
  <si>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</si>
  <si>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</si>
  <si>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</si>
  <si>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</si>
  <si>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</si>
  <si>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</si>
  <si>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</si>
  <si>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</si>
  <si>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</si>
  <si>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</si>
  <si>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</si>
  <si>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</si>
  <si>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</si>
  <si>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</si>
  <si>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</si>
  <si>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</si>
  <si>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</si>
  <si>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</si>
  <si>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</si>
  <si>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</si>
  <si>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</si>
  <si>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</si>
  <si>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</si>
  <si>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</si>
  <si>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</si>
  <si>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</si>
  <si>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</si>
  <si>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</si>
  <si>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</si>
  <si>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</si>
  <si>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</si>
  <si>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</si>
  <si>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</si>
  <si>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</si>
  <si>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</si>
  <si>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</si>
  <si>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</si>
  <si>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</si>
  <si>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</si>
  <si>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</si>
  <si>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</si>
  <si>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</si>
  <si>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</si>
  <si>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</si>
  <si>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</si>
  <si>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</si>
  <si>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</si>
  <si>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</si>
  <si>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</si>
  <si>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</si>
  <si>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</si>
  <si>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</si>
  <si>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</si>
  <si>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</si>
  <si>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</si>
  <si>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</si>
  <si>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</si>
  <si>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</si>
  <si>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</si>
  <si>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</si>
  <si>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</si>
  <si>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</si>
  <si>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</si>
  <si>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</si>
  <si>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</si>
  <si>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</si>
  <si>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</si>
  <si>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</si>
  <si>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</si>
  <si>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</si>
  <si>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</si>
  <si>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</si>
  <si>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</si>
  <si>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</si>
  <si>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</si>
  <si>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</si>
  <si>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</si>
  <si>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</si>
  <si>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</si>
  <si>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</si>
  <si>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</si>
  <si>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</si>
  <si>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</si>
  <si>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</si>
  <si>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</si>
  <si>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</si>
  <si>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</si>
  <si>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</si>
  <si>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</si>
  <si>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</si>
  <si>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</si>
  <si>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</si>
  <si>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</si>
  <si>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</si>
  <si>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</si>
  <si>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</si>
  <si>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</si>
  <si>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</si>
  <si>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</si>
  <si>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</si>
  <si>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</si>
  <si>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</si>
  <si>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</si>
  <si>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</si>
  <si>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</si>
  <si>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</si>
  <si>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</si>
  <si>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</si>
  <si>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</si>
  <si>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</si>
  <si>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</si>
  <si>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</si>
  <si>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</si>
  <si>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</si>
  <si>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</si>
  <si>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</si>
  <si>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</si>
  <si>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</si>
  <si>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</si>
  <si>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</si>
  <si>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</si>
  <si>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</si>
  <si>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</si>
  <si>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</si>
  <si>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</si>
  <si>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</si>
  <si>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</si>
  <si>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</si>
  <si>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</si>
  <si>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</si>
  <si>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</si>
  <si>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</si>
  <si>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</si>
  <si>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</si>
  <si>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</si>
  <si>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</si>
  <si>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</si>
  <si>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</si>
  <si>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</si>
  <si>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</si>
  <si>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</si>
  <si>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</si>
  <si>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</si>
  <si>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</si>
  <si>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</si>
  <si>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</si>
  <si>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</si>
  <si>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</si>
  <si>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</si>
  <si>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</si>
  <si>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</si>
  <si>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</si>
  <si>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</si>
  <si>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</si>
  <si>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</si>
  <si>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</si>
  <si>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</si>
  <si>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</si>
  <si>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</si>
  <si>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</si>
  <si>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</si>
  <si>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</si>
  <si>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</si>
  <si>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</si>
  <si>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</si>
  <si>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</si>
  <si>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</si>
  <si>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</si>
  <si>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</si>
  <si>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</si>
  <si>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</si>
  <si>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</si>
  <si>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</si>
  <si>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</si>
  <si>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</si>
  <si>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</si>
  <si>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</si>
  <si>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</si>
  <si>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</si>
  <si>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</si>
  <si>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</si>
  <si>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</si>
  <si>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</si>
  <si>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</si>
  <si>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</si>
  <si>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</si>
  <si>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</si>
  <si>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</si>
  <si>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</si>
  <si>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</si>
  <si>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</si>
  <si>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</si>
  <si>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</si>
  <si>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</si>
  <si>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</si>
  <si>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</si>
  <si>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</si>
  <si>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</si>
  <si>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</si>
  <si>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</si>
  <si>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</si>
  <si>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</si>
  <si>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</si>
  <si>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</si>
  <si>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</si>
  <si>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</si>
  <si>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</si>
  <si>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</si>
  <si>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</si>
  <si>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</si>
  <si>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</si>
  <si>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</si>
  <si>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</si>
  <si>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</si>
  <si>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</si>
  <si>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</si>
  <si>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</si>
  <si>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</si>
  <si>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</si>
  <si>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</si>
  <si>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</si>
  <si>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</si>
  <si>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</si>
  <si>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</si>
  <si>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</si>
  <si>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</si>
  <si>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</si>
  <si>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</si>
  <si>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</si>
  <si>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</si>
  <si>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</si>
  <si>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</si>
  <si>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</si>
  <si>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</si>
  <si>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</si>
  <si>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</si>
  <si>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</si>
  <si>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</si>
  <si>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</si>
  <si>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</si>
  <si>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</si>
  <si>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</si>
  <si>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</si>
  <si>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</si>
  <si>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</si>
  <si>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</si>
  <si>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</si>
  <si>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</si>
  <si>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</si>
  <si>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</si>
  <si>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</si>
  <si>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</si>
  <si>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</si>
  <si>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</si>
  <si>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</si>
  <si>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</si>
  <si>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</si>
  <si>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</si>
  <si>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</si>
  <si>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</si>
  <si>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</si>
  <si>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</si>
  <si>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</si>
  <si>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</si>
  <si>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</si>
  <si>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</si>
  <si>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</si>
  <si>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</si>
  <si>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</si>
  <si>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</si>
  <si>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</si>
  <si>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</si>
  <si>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</si>
  <si>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</si>
  <si>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</si>
  <si>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</si>
  <si>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</si>
  <si>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</si>
  <si>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</si>
  <si>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</si>
  <si>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</si>
  <si>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</si>
  <si>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</si>
  <si>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</si>
  <si>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</si>
  <si>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</si>
  <si>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</si>
  <si>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</si>
  <si>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</si>
  <si>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</si>
  <si>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</si>
  <si>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</si>
  <si>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</si>
  <si>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</si>
  <si>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</si>
  <si>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</si>
  <si>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</si>
  <si>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</si>
  <si>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</si>
  <si>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</si>
  <si>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</si>
  <si>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</si>
  <si>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</si>
  <si>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</si>
  <si>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</si>
  <si>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</si>
  <si>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</si>
  <si>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</si>
  <si>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</si>
  <si>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</si>
  <si>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</si>
  <si>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</si>
  <si>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</si>
  <si>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</si>
  <si>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</si>
  <si>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</si>
  <si>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</si>
  <si>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</si>
  <si>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</si>
  <si>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</si>
  <si>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</si>
  <si>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</si>
  <si>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</si>
  <si>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</si>
  <si>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</si>
  <si>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</si>
  <si>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</si>
  <si>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</si>
  <si>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</si>
  <si>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</si>
  <si>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</si>
  <si>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</si>
  <si>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</si>
  <si>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</si>
  <si>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</si>
  <si>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</si>
  <si>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</si>
  <si>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</si>
  <si>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</si>
  <si>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</si>
  <si>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</si>
  <si>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</si>
  <si>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</si>
  <si>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</si>
  <si>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</si>
  <si>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</si>
  <si>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</si>
  <si>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</si>
  <si>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</si>
  <si>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</si>
  <si>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</si>
  <si>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</si>
  <si>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</si>
  <si>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</si>
  <si>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</si>
  <si>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</si>
  <si>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</si>
  <si>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</si>
  <si>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</si>
  <si>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</si>
  <si>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</si>
  <si>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</si>
  <si>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</si>
  <si>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</si>
  <si>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</si>
  <si>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</si>
  <si>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</si>
  <si>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</si>
  <si>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</si>
  <si>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</si>
  <si>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</si>
  <si>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</si>
  <si>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</si>
  <si>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</si>
  <si>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</si>
  <si>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</si>
  <si>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</si>
  <si>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</si>
  <si>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</si>
  <si>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</si>
  <si>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</si>
  <si>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</si>
  <si>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</si>
  <si>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</si>
  <si>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</si>
  <si>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</si>
  <si>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</si>
  <si>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</si>
  <si>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</si>
  <si>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</si>
  <si>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</si>
  <si>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</si>
  <si>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</si>
  <si>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</si>
  <si>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</si>
  <si>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</si>
  <si>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</si>
  <si>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</si>
  <si>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</si>
  <si>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</si>
  <si>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</si>
  <si>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</si>
  <si>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</si>
  <si>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</si>
  <si>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</si>
  <si>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</si>
  <si>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</si>
  <si>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</si>
  <si>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</si>
  <si>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</si>
  <si>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</si>
  <si>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</si>
  <si>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</si>
  <si>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</si>
  <si>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</si>
  <si>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</si>
  <si>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</si>
  <si>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</si>
  <si>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</si>
  <si>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</si>
  <si>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</si>
  <si>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</si>
  <si>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</si>
  <si>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</si>
  <si>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</si>
  <si>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</si>
  <si>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</si>
  <si>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</si>
  <si>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</si>
  <si>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</si>
  <si>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</si>
  <si>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</si>
  <si>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</si>
  <si>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</si>
  <si>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</si>
  <si>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</si>
  <si>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</si>
  <si>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</si>
  <si>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</si>
  <si>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</si>
  <si>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</si>
  <si>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</si>
  <si>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</si>
  <si>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</si>
  <si>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</si>
  <si>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</si>
  <si>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</si>
  <si>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</si>
  <si>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</si>
  <si>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</si>
  <si>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</si>
  <si>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</si>
  <si>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</si>
  <si>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</si>
  <si>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</si>
  <si>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</si>
  <si>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</si>
  <si>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</si>
  <si>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</si>
  <si>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</si>
  <si>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</si>
  <si>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</si>
  <si>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</si>
  <si>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</si>
  <si>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</si>
  <si>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</si>
  <si>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</si>
  <si>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</si>
  <si>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</si>
  <si>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</si>
  <si>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</si>
  <si>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</si>
  <si>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</si>
  <si>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</si>
  <si>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</si>
  <si>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</si>
  <si>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</si>
  <si>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</si>
  <si>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</si>
  <si>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</si>
  <si>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</si>
  <si>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</si>
  <si>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</si>
  <si>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</si>
  <si>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</si>
  <si>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</si>
  <si>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</si>
  <si>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</si>
  <si>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</si>
  <si>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</si>
  <si>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</si>
  <si>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</si>
  <si>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</si>
  <si>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</si>
  <si>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</si>
  <si>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</si>
  <si>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</si>
  <si>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</si>
  <si>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</si>
  <si>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</si>
  <si>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</si>
  <si>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</si>
  <si>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</si>
  <si>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</si>
  <si>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</si>
  <si>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</si>
  <si>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</si>
  <si>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</si>
  <si>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</si>
  <si>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</si>
  <si>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</si>
  <si>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</si>
  <si>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</si>
  <si>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</si>
  <si>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</si>
  <si>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</si>
  <si>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</si>
  <si>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</si>
  <si>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</si>
  <si>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</si>
  <si>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</si>
  <si>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</si>
  <si>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</si>
  <si>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</si>
  <si>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</si>
  <si>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</si>
  <si>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</si>
  <si>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</si>
  <si>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</si>
  <si>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</si>
  <si>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</si>
  <si>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</si>
  <si>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</si>
  <si>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</si>
  <si>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</si>
  <si>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</si>
  <si>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</si>
  <si>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</si>
  <si>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</si>
  <si>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</si>
  <si>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</si>
  <si>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</si>
  <si>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</si>
  <si>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</si>
  <si>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</si>
  <si>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</si>
  <si>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</si>
  <si>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</si>
  <si>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</si>
  <si>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</si>
  <si>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</si>
  <si>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</si>
  <si>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</si>
  <si>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</si>
  <si>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</si>
  <si>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</si>
  <si>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</si>
  <si>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</si>
  <si>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</si>
  <si>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</si>
  <si>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</si>
  <si>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</si>
  <si>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</si>
  <si>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</si>
  <si>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</si>
  <si>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</si>
  <si>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</si>
  <si>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</si>
  <si>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</si>
  <si>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</si>
  <si>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</si>
  <si>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</si>
  <si>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</si>
  <si>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</si>
  <si>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</si>
  <si>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</si>
  <si>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</si>
  <si>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</si>
  <si>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</si>
  <si>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</si>
  <si>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</si>
  <si>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</si>
  <si>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</si>
  <si>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</si>
  <si>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</si>
  <si>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</si>
  <si>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</si>
  <si>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</si>
  <si>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</si>
  <si>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</si>
  <si>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</si>
  <si>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</si>
  <si>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</si>
  <si>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</si>
  <si>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</si>
  <si>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</si>
  <si>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</si>
  <si>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</si>
  <si>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</si>
  <si>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</si>
  <si>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</si>
  <si>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</si>
  <si>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</si>
  <si>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</si>
  <si>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</si>
  <si>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</si>
  <si>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</si>
  <si>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</si>
  <si>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2018-1-0122</t>
    <phoneticPr fontId="6" type="noConversion"/>
  </si>
  <si>
    <t>欧红伟</t>
  </si>
  <si>
    <t>崔锴</t>
  </si>
  <si>
    <t>北京绿地京翰房地产开发有限公司</t>
    <phoneticPr fontId="6" type="noConversion"/>
  </si>
  <si>
    <t>渤海银行股份有限公司北京市分行</t>
    <phoneticPr fontId="6" type="noConversion"/>
  </si>
  <si>
    <t>抵押</t>
  </si>
  <si>
    <t>房地产抵押价值</t>
  </si>
  <si>
    <t>北京市</t>
  </si>
  <si>
    <t>企业</t>
  </si>
  <si>
    <t>出让</t>
  </si>
  <si>
    <t>《不动产权证书》</t>
    <phoneticPr fontId="6" type="noConversion"/>
  </si>
  <si>
    <t>《不动产权证书》、《测绘报告》</t>
    <phoneticPr fontId="3" type="noConversion"/>
  </si>
  <si>
    <t>《不动产权证书》</t>
    <phoneticPr fontId="3" type="noConversion"/>
  </si>
  <si>
    <t>是</t>
  </si>
  <si>
    <t>居住项目</t>
  </si>
  <si>
    <t>含保障性住房</t>
  </si>
  <si>
    <t>自住型商品房</t>
    <phoneticPr fontId="3" type="noConversion"/>
  </si>
  <si>
    <t>无</t>
  </si>
  <si>
    <t>在建</t>
  </si>
  <si>
    <t>通路</t>
  </si>
  <si>
    <t>通电</t>
  </si>
  <si>
    <t>通上水</t>
  </si>
  <si>
    <t>通下水</t>
  </si>
  <si>
    <t>通讯</t>
  </si>
  <si>
    <t>燃气</t>
  </si>
  <si>
    <t>Ⅷ-兴1</t>
  </si>
  <si>
    <t>地上</t>
  </si>
  <si>
    <t>住宅</t>
  </si>
  <si>
    <t>平层住宅</t>
  </si>
  <si>
    <t>地下</t>
  </si>
  <si>
    <t>车库</t>
  </si>
  <si>
    <t>普通商品住房</t>
  </si>
  <si>
    <t>估价对象周边有新安里、双河北里等住宅小区，综合评价居住社区成熟度较好</t>
  </si>
  <si>
    <t>估价对象周边2公里有帝园商城、星城商厦等商业项目，估价对象周边多为住宅配套商业，人流量一般，商业繁华度一般</t>
  </si>
  <si>
    <t>估价对象周边办公楼项目较少，办公集聚程度较差</t>
  </si>
  <si>
    <t>估价对象周边有849、兴23路等公交线路，综合评价交通便捷度一般</t>
  </si>
  <si>
    <t>估价对象所在区域公共配套设施齐备较齐备</t>
  </si>
  <si>
    <t>区域基础设施水平达七通</t>
  </si>
  <si>
    <t>周边有北京广播电视大学、康庄公园；综合评价环境状况较好</t>
  </si>
  <si>
    <t>城市次干道——清源东路</t>
  </si>
  <si>
    <t>较好</t>
  </si>
  <si>
    <t>较好</t>
    <phoneticPr fontId="25" type="noConversion"/>
  </si>
  <si>
    <t>多面临街</t>
  </si>
  <si>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</si>
  <si>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</si>
  <si>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</si>
  <si>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</si>
  <si>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</si>
  <si>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</si>
  <si>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</si>
  <si>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</si>
  <si>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</si>
  <si>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</si>
  <si>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</si>
  <si>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</si>
  <si>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</si>
  <si>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</si>
  <si>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</si>
  <si>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</si>
  <si>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</si>
  <si>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</si>
  <si>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</si>
  <si>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</si>
  <si>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</si>
  <si>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</si>
  <si>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</si>
  <si>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</si>
  <si>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</si>
  <si>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</si>
  <si>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</si>
  <si>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</si>
  <si>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</si>
  <si>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</si>
  <si>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</si>
  <si>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</si>
  <si>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</si>
  <si>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</si>
  <si>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</si>
  <si>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</si>
  <si>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</si>
  <si>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</si>
  <si>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</si>
  <si>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</si>
  <si>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rPr>
        <sz val="10"/>
        <rFont val="宋体"/>
        <family val="3"/>
        <charset val="134"/>
      </rPr>
      <t>北京经济技术开发区路东区</t>
    </r>
    <r>
      <rPr>
        <sz val="11"/>
        <color theme="1"/>
        <rFont val="宋体"/>
        <family val="3"/>
        <charset val="134"/>
        <scheme val="minor"/>
      </rPr>
      <t>G2</t>
    </r>
    <r>
      <rPr>
        <sz val="10"/>
        <rFont val="宋体"/>
        <family val="3"/>
        <charset val="134"/>
      </rPr>
      <t>街区</t>
    </r>
    <r>
      <rPr>
        <sz val="11"/>
        <color theme="1"/>
        <rFont val="宋体"/>
        <family val="3"/>
        <charset val="134"/>
        <scheme val="minor"/>
      </rPr>
      <t>G2R1</t>
    </r>
    <r>
      <rPr>
        <sz val="10"/>
        <rFont val="宋体"/>
        <family val="3"/>
        <charset val="134"/>
      </rPr>
      <t>等地块</t>
    </r>
    <r>
      <rPr>
        <sz val="11"/>
        <color theme="1"/>
        <rFont val="宋体"/>
        <family val="3"/>
        <charset val="134"/>
        <scheme val="minor"/>
      </rPr>
      <t>R2</t>
    </r>
    <r>
      <rPr>
        <sz val="10"/>
        <rFont val="宋体"/>
        <family val="3"/>
        <charset val="134"/>
      </rPr>
      <t>二类居住用地、</t>
    </r>
    <r>
      <rPr>
        <sz val="11"/>
        <color theme="1"/>
        <rFont val="宋体"/>
        <family val="3"/>
        <charset val="134"/>
        <scheme val="minor"/>
      </rPr>
      <t>F1</t>
    </r>
    <r>
      <rPr>
        <sz val="10"/>
        <rFont val="宋体"/>
        <family val="3"/>
        <charset val="134"/>
      </rPr>
      <t>住宅混合公建用地、</t>
    </r>
    <r>
      <rPr>
        <sz val="11"/>
        <color theme="1"/>
        <rFont val="宋体"/>
        <family val="3"/>
        <charset val="134"/>
        <scheme val="minor"/>
      </rPr>
      <t>A33</t>
    </r>
    <r>
      <rPr>
        <sz val="10"/>
        <rFont val="宋体"/>
        <family val="3"/>
        <charset val="134"/>
      </rPr>
      <t>基础教育用地</t>
    </r>
    <r>
      <rPr>
        <sz val="11"/>
        <color theme="1"/>
        <rFont val="宋体"/>
        <family val="3"/>
        <charset val="134"/>
        <scheme val="minor"/>
      </rPr>
      <t>*&amp;quot;</t>
    </r>
    <phoneticPr fontId="3" type="noConversion"/>
  </si>
  <si>
    <t>住宅用地</t>
  </si>
  <si>
    <t>大兴区</t>
  </si>
  <si>
    <t>北京经济技术开发区路东区G2街区G2R1、G2F1、G2F2、G2F3、G2A1地块</t>
  </si>
  <si>
    <t>挂牌</t>
  </si>
  <si>
    <t>京土整储挂(开)[2017]057号</t>
  </si>
  <si>
    <t>R2二类居住用地、F1住宅混合公建用地、A33基础教育用地</t>
  </si>
  <si>
    <t>限地价,限房价,竞自持,报高标准商品住宅建设方案,90/70</t>
  </si>
  <si>
    <t>限地价,限房价,90/70</t>
  </si>
  <si>
    <t>2017-06-30</t>
  </si>
  <si>
    <t>2017-07-25</t>
  </si>
  <si>
    <t>2017-08-08</t>
  </si>
  <si>
    <t>已成交</t>
  </si>
  <si>
    <t>北京中瑞凯华投资管理有限公司和北京德俊置业有限公司联合体</t>
  </si>
  <si>
    <t>居住70年、商业40年、办公50年</t>
  </si>
  <si>
    <r>
      <rPr>
        <sz val="10"/>
        <rFont val="宋体"/>
        <family val="3"/>
        <charset val="134"/>
      </rPr>
      <t>大兴区黄村镇</t>
    </r>
    <r>
      <rPr>
        <sz val="11"/>
        <color theme="1"/>
        <rFont val="宋体"/>
        <family val="3"/>
        <charset val="134"/>
        <scheme val="minor"/>
      </rPr>
      <t>DX00-0102-0702</t>
    </r>
    <r>
      <rPr>
        <sz val="10"/>
        <rFont val="宋体"/>
        <family val="3"/>
        <charset val="134"/>
      </rPr>
      <t>地块</t>
    </r>
    <r>
      <rPr>
        <sz val="11"/>
        <color theme="1"/>
        <rFont val="宋体"/>
        <family val="3"/>
        <charset val="134"/>
        <scheme val="minor"/>
      </rPr>
      <t>F1</t>
    </r>
    <r>
      <rPr>
        <sz val="10"/>
        <rFont val="宋体"/>
        <family val="3"/>
        <charset val="134"/>
      </rPr>
      <t>住宅混合公建用地</t>
    </r>
    <phoneticPr fontId="3" type="noConversion"/>
  </si>
  <si>
    <t>综合用地(含住宅)</t>
  </si>
  <si>
    <t>大兴区黄村镇饮马井、义和庄村</t>
  </si>
  <si>
    <t>京土整储挂(兴)[2017]048号</t>
  </si>
  <si>
    <t>F1住宅混合公建用地</t>
  </si>
  <si>
    <t>限地价,限房价,竞自持,90/70</t>
  </si>
  <si>
    <t>2017-06-23</t>
  </si>
  <si>
    <t>2017-07-13</t>
  </si>
  <si>
    <t>2017-07-27</t>
  </si>
  <si>
    <t>北京融平企业管理服务有限公司</t>
  </si>
  <si>
    <r>
      <rPr>
        <sz val="10"/>
        <rFont val="宋体"/>
        <family val="3"/>
        <charset val="134"/>
      </rPr>
      <t>大兴区旧宫镇</t>
    </r>
    <r>
      <rPr>
        <sz val="11"/>
        <color theme="1"/>
        <rFont val="宋体"/>
        <family val="3"/>
        <charset val="134"/>
        <scheme val="minor"/>
      </rPr>
      <t>DX07-0201-0006</t>
    </r>
    <r>
      <rPr>
        <sz val="10"/>
        <rFont val="宋体"/>
        <family val="3"/>
        <charset val="134"/>
      </rPr>
      <t>、</t>
    </r>
    <r>
      <rPr>
        <sz val="11"/>
        <color theme="1"/>
        <rFont val="宋体"/>
        <family val="3"/>
        <charset val="134"/>
        <scheme val="minor"/>
      </rPr>
      <t>0007</t>
    </r>
    <r>
      <rPr>
        <sz val="10"/>
        <rFont val="宋体"/>
        <family val="3"/>
        <charset val="134"/>
      </rPr>
      <t>地块</t>
    </r>
    <phoneticPr fontId="3" type="noConversion"/>
  </si>
  <si>
    <t>大兴区旧宫镇</t>
  </si>
  <si>
    <t>京土整储挂(兴)[2017]011号</t>
  </si>
  <si>
    <t>R2二类居住用地</t>
  </si>
  <si>
    <t>限地价,限房价,竞自持,报高标准商品住宅建设方案</t>
  </si>
  <si>
    <t>2017-03-02</t>
  </si>
  <si>
    <t>2017-03-22</t>
  </si>
  <si>
    <t>2017-04-06</t>
  </si>
  <si>
    <t>2017-04-13</t>
  </si>
  <si>
    <t>北京首都开发股份有限公司、北京中海地产有限公司、保利(北京)房地产开发有限公司和北京龙湖中佰置业有限公司联合体</t>
  </si>
  <si>
    <t>DX00-0208-6001地块1、2、3、5号楼部分住宅、地下车库用房</t>
    <phoneticPr fontId="3" type="noConversion"/>
  </si>
  <si>
    <t>二类居住用地</t>
    <phoneticPr fontId="3" type="noConversion"/>
  </si>
  <si>
    <t>F1住宅混合公建用地</t>
    <phoneticPr fontId="3" type="noConversion"/>
  </si>
  <si>
    <t>二类居住用地</t>
  </si>
  <si>
    <r>
      <t>68.1</t>
    </r>
    <r>
      <rPr>
        <sz val="11"/>
        <color indexed="8"/>
        <rFont val="宋体"/>
        <family val="3"/>
        <charset val="134"/>
      </rPr>
      <t>、</t>
    </r>
    <r>
      <rPr>
        <sz val="11"/>
        <color indexed="8"/>
        <rFont val="Arial"/>
        <family val="2"/>
      </rPr>
      <t>48.1</t>
    </r>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</si>
  <si>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</si>
  <si>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t>无配建</t>
    <phoneticPr fontId="3" type="noConversion"/>
  </si>
  <si>
    <t>一般</t>
  </si>
  <si>
    <t>七通</t>
  </si>
  <si>
    <r>
      <rPr>
        <sz val="11"/>
        <rFont val="宋体"/>
        <family val="3"/>
        <charset val="134"/>
      </rPr>
      <t>城市次干道</t>
    </r>
    <r>
      <rPr>
        <sz val="11"/>
        <rFont val="Arial"/>
        <family val="2"/>
      </rPr>
      <t>——</t>
    </r>
    <r>
      <rPr>
        <sz val="11"/>
        <rFont val="宋体"/>
        <family val="3"/>
        <charset val="134"/>
      </rPr>
      <t>清源东路</t>
    </r>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</si>
  <si>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</si>
  <si>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</si>
  <si>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</si>
  <si>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</si>
  <si>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</si>
  <si>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</si>
  <si>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支路</t>
  </si>
  <si>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</si>
  <si>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</si>
  <si>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</si>
  <si>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</si>
  <si>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</si>
  <si>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规则</t>
    <phoneticPr fontId="3" type="noConversion"/>
  </si>
  <si>
    <t>较规则</t>
  </si>
  <si>
    <t>较规则</t>
    <phoneticPr fontId="3" type="noConversion"/>
  </si>
  <si>
    <t>适宜</t>
    <phoneticPr fontId="3" type="noConversion"/>
  </si>
  <si>
    <t>较适宜</t>
  </si>
  <si>
    <t>较适宜</t>
    <phoneticPr fontId="3" type="noConversion"/>
  </si>
  <si>
    <t>六通</t>
  </si>
  <si>
    <t>未包含在土地购买价格中</t>
  </si>
  <si>
    <t>已包含在土地取得成本中</t>
  </si>
  <si>
    <t>全部缴纳</t>
  </si>
  <si>
    <t>国韵村</t>
    <phoneticPr fontId="3" type="noConversion"/>
  </si>
  <si>
    <t>亦庄板块</t>
    <phoneticPr fontId="3" type="noConversion"/>
  </si>
  <si>
    <t>旧宫板块</t>
    <phoneticPr fontId="3" type="noConversion"/>
  </si>
  <si>
    <t>住宅</t>
    <phoneticPr fontId="25" type="noConversion"/>
  </si>
  <si>
    <t>60-70（含）</t>
  </si>
  <si>
    <t>高层板楼</t>
  </si>
  <si>
    <t>高层板楼</t>
    <phoneticPr fontId="25" type="noConversion"/>
  </si>
  <si>
    <t>钢混</t>
  </si>
  <si>
    <t>钢混</t>
    <phoneticPr fontId="25" type="noConversion"/>
  </si>
  <si>
    <t>高档</t>
  </si>
  <si>
    <t>高档</t>
    <phoneticPr fontId="25" type="noConversion"/>
  </si>
  <si>
    <t>普通装修</t>
    <phoneticPr fontId="25" type="noConversion"/>
  </si>
  <si>
    <t>简单装修</t>
  </si>
  <si>
    <t>简单装修</t>
    <phoneticPr fontId="25" type="noConversion"/>
  </si>
  <si>
    <t>毛坯</t>
    <phoneticPr fontId="25" type="noConversion"/>
  </si>
  <si>
    <t>精装修</t>
  </si>
  <si>
    <t>精装修</t>
    <phoneticPr fontId="25" type="noConversion"/>
  </si>
  <si>
    <t>专业物业管理</t>
  </si>
  <si>
    <t>专业物业管理</t>
    <phoneticPr fontId="25" type="noConversion"/>
  </si>
  <si>
    <t>非毛坯</t>
    <phoneticPr fontId="25" type="noConversion"/>
  </si>
  <si>
    <t>售价</t>
  </si>
  <si>
    <t>鸿坤林语墅</t>
    <phoneticPr fontId="3" type="noConversion"/>
  </si>
  <si>
    <t>首开龙湖天琅</t>
    <phoneticPr fontId="3" type="noConversion"/>
  </si>
  <si>
    <t>车库</t>
    <phoneticPr fontId="32" type="noConversion"/>
  </si>
  <si>
    <t>40-50（含）</t>
  </si>
  <si>
    <t>1:1</t>
    <phoneticPr fontId="32" type="noConversion"/>
  </si>
  <si>
    <t>专业</t>
  </si>
  <si>
    <t>专业</t>
    <phoneticPr fontId="32" type="noConversion"/>
  </si>
  <si>
    <t>否</t>
  </si>
  <si>
    <t>否</t>
    <phoneticPr fontId="32" type="noConversion"/>
  </si>
  <si>
    <t>已全部缴纳</t>
  </si>
  <si>
    <t>成本法</t>
  </si>
  <si>
    <t>假设开发法</t>
  </si>
  <si>
    <t>总价</t>
  </si>
  <si>
    <t>成本比率</t>
  </si>
  <si>
    <t>大兴区黄村镇四街、五街、六街村项目DX00-0208-6001地块4、6-10号楼住宅、地下仓储、地下车库用房</t>
    <phoneticPr fontId="6" type="noConversion"/>
  </si>
  <si>
    <t>4#商品房</t>
  </si>
  <si>
    <t>6#商品房</t>
  </si>
  <si>
    <t>7#商品房</t>
  </si>
  <si>
    <t>8#商品房</t>
  </si>
  <si>
    <t>9#商品房</t>
  </si>
  <si>
    <t>10#商品房及配套</t>
  </si>
  <si>
    <t>配电室</t>
  </si>
  <si>
    <t>地下车库（北区）</t>
  </si>
  <si>
    <t>仓储</t>
  </si>
  <si>
    <t>戊类库房</t>
  </si>
  <si>
    <t>住宅</t>
    <phoneticPr fontId="3" type="noConversion"/>
  </si>
  <si>
    <t>收益法-地下仓储</t>
    <phoneticPr fontId="16" type="noConversion"/>
  </si>
  <si>
    <t>土地（套用方法）</t>
  </si>
  <si>
    <t>自定义</t>
  </si>
  <si>
    <t>非生产用房</t>
  </si>
  <si>
    <t>土地比较法-住宅、综合</t>
  </si>
  <si>
    <t>复印件</t>
  </si>
  <si>
    <t>地下仓储</t>
  </si>
  <si>
    <t>好</t>
  </si>
  <si>
    <t>有地铁</t>
    <phoneticPr fontId="3" type="noConversion"/>
  </si>
  <si>
    <t>有地铁</t>
    <phoneticPr fontId="31" type="noConversion"/>
  </si>
  <si>
    <t xml:space="preserve"> </t>
    <phoneticPr fontId="31" type="noConversion"/>
  </si>
  <si>
    <t>4号楼</t>
    <phoneticPr fontId="143" type="noConversion"/>
  </si>
  <si>
    <t>7号楼</t>
    <phoneticPr fontId="143" type="noConversion"/>
  </si>
  <si>
    <r>
      <t>1</t>
    </r>
    <r>
      <rPr>
        <sz val="11"/>
        <color theme="1"/>
        <rFont val="宋体"/>
        <family val="3"/>
        <charset val="134"/>
        <scheme val="minor"/>
      </rPr>
      <t>0号楼</t>
    </r>
    <phoneticPr fontId="143" type="noConversion"/>
  </si>
  <si>
    <t>地下车库</t>
    <phoneticPr fontId="143" type="noConversion"/>
  </si>
  <si>
    <t>总建筑面积</t>
    <phoneticPr fontId="3" type="noConversion"/>
  </si>
  <si>
    <t>是</t>
    <phoneticPr fontId="3" type="noConversion"/>
  </si>
  <si>
    <t>规证依据</t>
    <phoneticPr fontId="3" type="noConversion"/>
  </si>
  <si>
    <t>7号楼</t>
    <phoneticPr fontId="143" type="noConversion"/>
  </si>
  <si>
    <t>1单元</t>
    <phoneticPr fontId="143" type="noConversion"/>
  </si>
  <si>
    <r>
      <t>1</t>
    </r>
    <r>
      <rPr>
        <sz val="11"/>
        <color theme="1"/>
        <rFont val="宋体"/>
        <family val="3"/>
        <charset val="134"/>
        <scheme val="minor"/>
      </rPr>
      <t>0号楼</t>
    </r>
    <phoneticPr fontId="143" type="noConversion"/>
  </si>
  <si>
    <t>2单元</t>
    <phoneticPr fontId="143" type="noConversion"/>
  </si>
  <si>
    <t>3单元</t>
    <phoneticPr fontId="143" type="noConversion"/>
  </si>
  <si>
    <t>小计</t>
    <phoneticPr fontId="143" type="noConversion"/>
  </si>
  <si>
    <t>已注销</t>
  </si>
  <si>
    <t>六通</t>
    <phoneticPr fontId="25" type="noConversion"/>
  </si>
  <si>
    <t>亦庄金茂府</t>
    <phoneticPr fontId="3" type="noConversion"/>
  </si>
  <si>
    <t>国韵村</t>
    <phoneticPr fontId="3" type="noConversion"/>
  </si>
  <si>
    <t>中国铁建·花语金郡</t>
    <phoneticPr fontId="3" type="noConversion"/>
  </si>
  <si>
    <r>
      <rPr>
        <sz val="11"/>
        <color indexed="8"/>
        <rFont val="仿宋_GB2312"/>
        <family val="3"/>
        <charset val="134"/>
      </rPr>
      <t>无配建</t>
    </r>
    <phoneticPr fontId="3" type="noConversion"/>
  </si>
  <si>
    <t>自住型商品房</t>
    <phoneticPr fontId="3" type="noConversion"/>
  </si>
  <si>
    <t>自住型商品房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</si>
</sst>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仿宋_GB2312"/>
      <family val="3"/>
      <charset val="134"/>
    </font>
    <font>
      <sz val="12"/>
      <name val="楷体_GB2312"/>
      <family val="3"/>
      <charset val="134"/>
    </font>
    <font>
      <sz val="11"/>
      <name val="楷体_GB2312"/>
      <family val="3"/>
      <charset val="134"/>
    </font>
    <font>
      <sz val="11"/>
      <color indexed="8"/>
      <name val="仿宋_GB2312"/>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4" fontId="64" fillId="17" borderId="13"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240" fillId="5" borderId="23" xfId="0" applyFont="1" applyFill="1" applyBorder="1" applyAlignment="1" applyProtection="1">
      <alignment horizontal="center" vertical="center" wrapText="1"/>
      <protection locked="0"/>
    </xf>
    <xf numFmtId="0" fontId="256" fillId="5" borderId="1" xfId="0" applyFont="1" applyFill="1" applyBorder="1" applyAlignment="1" applyProtection="1">
      <alignment horizontal="center" vertical="center" wrapText="1"/>
      <protection locked="0"/>
    </xf>
    <xf numFmtId="0" fontId="257" fillId="5" borderId="1" xfId="0" applyFont="1" applyFill="1" applyBorder="1" applyAlignment="1" applyProtection="1">
      <alignment horizontal="center" vertical="center" wrapText="1"/>
      <protection locked="0"/>
    </xf>
    <xf numFmtId="49" fontId="254" fillId="5" borderId="1" xfId="0" applyNumberFormat="1"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22" fillId="2" borderId="5" xfId="1" applyNumberFormat="1"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56" fillId="5" borderId="0" xfId="0" applyFont="1" applyFill="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2" fillId="0" borderId="41" xfId="0" applyNumberFormat="1" applyFont="1" applyFill="1" applyBorder="1" applyAlignment="1" applyProtection="1">
      <alignment horizontal="center" vertical="center" wrapText="1"/>
      <protection locked="0"/>
    </xf>
    <xf numFmtId="49" fontId="259" fillId="0" borderId="41" xfId="0" applyNumberFormat="1" applyFont="1" applyFill="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22" fillId="6"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0" borderId="5" xfId="0" applyNumberFormat="1" applyFont="1" applyBorder="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104" fillId="0" borderId="1" xfId="0" applyNumberFormat="1" applyFont="1" applyFill="1" applyBorder="1" applyAlignment="1" applyProtection="1">
      <alignment horizontal="center" vertical="center"/>
      <protection locked="0"/>
    </xf>
    <xf numFmtId="0" fontId="102" fillId="2" borderId="3"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wrapText="1"/>
      <protection locked="0"/>
    </xf>
    <xf numFmtId="0" fontId="11" fillId="17" borderId="1" xfId="0" applyFont="1" applyFill="1" applyBorder="1" applyAlignment="1" applyProtection="1">
      <alignment vertical="center" wrapText="1"/>
      <protection locked="0"/>
    </xf>
    <xf numFmtId="0" fontId="50" fillId="17" borderId="0" xfId="0" applyFont="1" applyFill="1" applyProtection="1">
      <alignment vertical="center"/>
      <protection locked="0"/>
    </xf>
    <xf numFmtId="189" fontId="54" fillId="17" borderId="1" xfId="0" applyNumberFormat="1" applyFont="1" applyFill="1" applyBorder="1" applyAlignment="1" applyProtection="1">
      <alignment horizontal="center" vertical="center" wrapText="1"/>
      <protection locked="0"/>
    </xf>
    <xf numFmtId="0" fontId="47" fillId="17" borderId="2" xfId="0" applyNumberFormat="1" applyFont="1" applyFill="1" applyBorder="1" applyAlignment="1" applyProtection="1">
      <alignment horizontal="center" vertical="center" wrapText="1"/>
      <protection locked="0"/>
    </xf>
    <xf numFmtId="0" fontId="56" fillId="17" borderId="0" xfId="0" applyFont="1" applyFill="1" applyAlignment="1" applyProtection="1">
      <alignment vertical="center"/>
      <protection locked="0"/>
    </xf>
    <xf numFmtId="49" fontId="57" fillId="17" borderId="0" xfId="0" applyNumberFormat="1" applyFont="1" applyFill="1" applyBorder="1" applyAlignment="1" applyProtection="1">
      <alignment horizontal="left" vertical="center"/>
      <protection locked="0"/>
    </xf>
    <xf numFmtId="0" fontId="49" fillId="17" borderId="0" xfId="0" applyFont="1" applyFill="1" applyAlignment="1" applyProtection="1">
      <alignment vertical="center"/>
      <protection locked="0"/>
    </xf>
    <xf numFmtId="0" fontId="50" fillId="17" borderId="0" xfId="0" applyFont="1" applyFill="1" applyAlignment="1" applyProtection="1">
      <alignment vertical="center"/>
      <protection locked="0"/>
    </xf>
    <xf numFmtId="0" fontId="11" fillId="17" borderId="1"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protection locked="0"/>
    </xf>
    <xf numFmtId="0" fontId="80" fillId="5" borderId="1" xfId="0" applyFont="1" applyFill="1" applyBorder="1" applyAlignment="1" applyProtection="1">
      <alignment horizontal="center" vertical="center" wrapText="1"/>
      <protection locked="0"/>
    </xf>
    <xf numFmtId="176" fontId="50" fillId="5" borderId="1" xfId="0" applyNumberFormat="1" applyFont="1" applyFill="1" applyBorder="1" applyAlignment="1" applyProtection="1">
      <alignment vertical="center" wrapText="1"/>
      <protection locked="0"/>
    </xf>
    <xf numFmtId="176" fontId="47" fillId="5" borderId="1" xfId="0" applyNumberFormat="1" applyFont="1" applyFill="1" applyBorder="1" applyAlignment="1" applyProtection="1">
      <alignment vertical="center" wrapText="1"/>
      <protection locked="0"/>
    </xf>
    <xf numFmtId="181" fontId="50" fillId="8" borderId="24" xfId="0" applyNumberFormat="1" applyFont="1" applyFill="1" applyBorder="1" applyAlignment="1" applyProtection="1">
      <alignment horizontal="center" vertical="center"/>
      <protection locked="0"/>
    </xf>
    <xf numFmtId="184" fontId="47" fillId="8" borderId="70" xfId="0" applyNumberFormat="1" applyFont="1" applyFill="1" applyBorder="1" applyAlignment="1" applyProtection="1">
      <alignment horizontal="center" vertical="center" wrapText="1"/>
      <protection locked="0"/>
    </xf>
    <xf numFmtId="0" fontId="47" fillId="8" borderId="34" xfId="0" applyNumberFormat="1" applyFont="1" applyFill="1" applyBorder="1" applyAlignment="1" applyProtection="1">
      <alignment horizontal="center" vertical="center" wrapText="1"/>
    </xf>
    <xf numFmtId="9" fontId="47" fillId="8" borderId="37" xfId="0" applyNumberFormat="1" applyFont="1" applyFill="1" applyBorder="1" applyAlignment="1" applyProtection="1">
      <alignment horizontal="center" vertical="center" wrapText="1"/>
      <protection locked="0"/>
    </xf>
    <xf numFmtId="0" fontId="47" fillId="8" borderId="67"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vertical="center" wrapText="1"/>
      <protection locked="0"/>
    </xf>
    <xf numFmtId="0" fontId="99" fillId="0" borderId="0" xfId="0" applyFont="1">
      <alignment vertical="center"/>
    </xf>
    <xf numFmtId="0" fontId="80" fillId="18" borderId="1"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1" xfId="0" applyFont="1" applyBorder="1">
      <alignment vertical="center"/>
    </xf>
    <xf numFmtId="0" fontId="50" fillId="9" borderId="0" xfId="0" applyFont="1" applyFill="1" applyProtection="1">
      <alignment vertical="center"/>
      <protection locked="0"/>
    </xf>
    <xf numFmtId="0" fontId="171" fillId="0" borderId="1" xfId="12" applyFont="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47" fillId="8" borderId="1" xfId="0" applyFont="1" applyFill="1" applyBorder="1" applyAlignment="1" applyProtection="1">
      <alignment horizontal="center" vertical="center" wrapText="1"/>
      <protection locked="0"/>
    </xf>
    <xf numFmtId="0" fontId="47" fillId="8" borderId="2" xfId="0" applyFont="1" applyFill="1" applyBorder="1" applyAlignment="1" applyProtection="1">
      <alignment horizontal="center" vertical="center" wrapText="1"/>
      <protection locked="0"/>
    </xf>
    <xf numFmtId="176" fontId="47" fillId="8" borderId="1" xfId="0" applyNumberFormat="1" applyFont="1" applyFill="1" applyBorder="1" applyAlignment="1" applyProtection="1">
      <alignment horizontal="center" vertical="center" wrapText="1"/>
    </xf>
    <xf numFmtId="176" fontId="47" fillId="8" borderId="2" xfId="0" applyNumberFormat="1" applyFont="1" applyFill="1" applyBorder="1" applyAlignment="1" applyProtection="1">
      <alignment horizontal="center" vertical="center" wrapText="1"/>
      <protection locked="0"/>
    </xf>
    <xf numFmtId="176" fontId="47" fillId="8" borderId="2" xfId="0" applyNumberFormat="1" applyFont="1" applyFill="1" applyBorder="1" applyAlignment="1" applyProtection="1">
      <alignment horizontal="center" vertical="center" wrapText="1"/>
    </xf>
    <xf numFmtId="176" fontId="47" fillId="8" borderId="13" xfId="0" applyNumberFormat="1" applyFont="1" applyFill="1" applyBorder="1" applyAlignment="1" applyProtection="1">
      <alignment horizontal="center" vertical="center" wrapText="1"/>
    </xf>
    <xf numFmtId="176" fontId="47" fillId="8" borderId="1" xfId="0" applyNumberFormat="1" applyFont="1" applyFill="1" applyBorder="1" applyAlignment="1" applyProtection="1">
      <alignment vertical="center" wrapText="1"/>
      <protection locked="0"/>
    </xf>
    <xf numFmtId="176" fontId="47" fillId="8" borderId="1" xfId="0" applyNumberFormat="1" applyFont="1" applyFill="1" applyBorder="1" applyAlignment="1" applyProtection="1">
      <alignment horizontal="center" vertical="center" wrapText="1"/>
      <protection locked="0"/>
    </xf>
    <xf numFmtId="0" fontId="47" fillId="8" borderId="4" xfId="0" applyFont="1" applyFill="1" applyBorder="1" applyAlignment="1" applyProtection="1">
      <alignment horizontal="center" vertical="center" wrapText="1"/>
      <protection locked="0"/>
    </xf>
    <xf numFmtId="0" fontId="47" fillId="8" borderId="1" xfId="0" applyFont="1" applyFill="1" applyBorder="1" applyAlignment="1" applyProtection="1">
      <alignment horizontal="center" vertical="center" wrapText="1"/>
    </xf>
    <xf numFmtId="0" fontId="47" fillId="8" borderId="3" xfId="0" applyFont="1" applyFill="1" applyBorder="1" applyAlignment="1" applyProtection="1">
      <alignment horizontal="center" vertical="center" wrapText="1"/>
    </xf>
    <xf numFmtId="176" fontId="47" fillId="8" borderId="24" xfId="0" applyNumberFormat="1" applyFont="1" applyFill="1" applyBorder="1" applyAlignment="1" applyProtection="1">
      <alignment horizontal="center" vertical="center" wrapText="1"/>
    </xf>
    <xf numFmtId="0" fontId="47" fillId="8" borderId="0" xfId="0" applyFont="1" applyFill="1" applyAlignment="1" applyProtection="1">
      <alignment horizontal="center" vertical="center" wrapText="1"/>
    </xf>
    <xf numFmtId="0" fontId="260" fillId="0" borderId="156" xfId="0" applyFont="1" applyBorder="1" applyAlignment="1">
      <alignment horizontal="justify" vertical="center" wrapText="1"/>
    </xf>
    <xf numFmtId="0" fontId="260" fillId="0" borderId="157" xfId="0" applyFont="1" applyBorder="1" applyAlignment="1">
      <alignment horizontal="justify" vertical="center" wrapText="1"/>
    </xf>
    <xf numFmtId="18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55" fillId="7" borderId="54" xfId="0" applyNumberFormat="1" applyFont="1" applyFill="1" applyBorder="1" applyAlignment="1" applyProtection="1">
      <alignment horizontal="left" vertical="center"/>
      <protection locked="0"/>
    </xf>
    <xf numFmtId="49" fontId="255" fillId="7" borderId="3" xfId="0" applyNumberFormat="1" applyFont="1" applyFill="1" applyBorder="1" applyAlignment="1" applyProtection="1">
      <alignment horizontal="left" vertical="center"/>
      <protection locked="0"/>
    </xf>
    <xf numFmtId="49" fontId="255" fillId="7" borderId="85" xfId="0" applyNumberFormat="1" applyFont="1" applyFill="1" applyBorder="1" applyAlignment="1" applyProtection="1">
      <alignment horizontal="left" vertical="center"/>
      <protection locked="0"/>
    </xf>
    <xf numFmtId="49" fontId="255" fillId="7" borderId="88" xfId="0" applyNumberFormat="1" applyFont="1" applyFill="1" applyBorder="1" applyAlignment="1" applyProtection="1">
      <alignment horizontal="left" vertical="center"/>
      <protection locked="0"/>
    </xf>
    <xf numFmtId="49" fontId="255"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23" fillId="0" borderId="5" xfId="0" applyFont="1" applyBorder="1" applyAlignment="1" applyProtection="1">
      <alignment horizontal="left" vertical="center" wrapText="1"/>
      <protection locked="0"/>
    </xf>
    <xf numFmtId="0" fontId="23"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4.png"/><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19050</xdr:rowOff>
    </xdr:from>
    <xdr:to>
      <xdr:col>14</xdr:col>
      <xdr:colOff>303563</xdr:colOff>
      <xdr:row>25</xdr:row>
      <xdr:rowOff>66476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2762250"/>
          <a:ext cx="9904763" cy="1590476"/>
        </a:xfrm>
        <a:prstGeom prst="rect">
          <a:avLst/>
        </a:prstGeom>
      </xdr:spPr>
    </xdr:pic>
    <xdr:clientData/>
  </xdr:twoCellAnchor>
  <xdr:twoCellAnchor editAs="oneCell">
    <xdr:from>
      <xdr:col>0</xdr:col>
      <xdr:colOff>0</xdr:colOff>
      <xdr:row>0</xdr:row>
      <xdr:rowOff>0</xdr:rowOff>
    </xdr:from>
    <xdr:to>
      <xdr:col>12</xdr:col>
      <xdr:colOff>532305</xdr:colOff>
      <xdr:row>16</xdr:row>
      <xdr:rowOff>75848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0"/>
          <a:ext cx="8761905" cy="2819048"/>
        </a:xfrm>
        <a:prstGeom prst="rect">
          <a:avLst/>
        </a:prstGeom>
      </xdr:spPr>
    </xdr:pic>
    <xdr:clientData/>
  </xdr:twoCellAnchor>
  <xdr:twoCellAnchor editAs="oneCell">
    <xdr:from>
      <xdr:col>0</xdr:col>
      <xdr:colOff>0</xdr:colOff>
      <xdr:row>25</xdr:row>
      <xdr:rowOff>0</xdr:rowOff>
    </xdr:from>
    <xdr:to>
      <xdr:col>13</xdr:col>
      <xdr:colOff>265553</xdr:colOff>
      <xdr:row>41</xdr:row>
      <xdr:rowOff>152038</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0" y="5314950"/>
          <a:ext cx="9180953" cy="2895238"/>
        </a:xfrm>
        <a:prstGeom prst="rect">
          <a:avLst/>
        </a:prstGeom>
      </xdr:spPr>
    </xdr:pic>
    <xdr:clientData/>
  </xdr:twoCellAnchor>
  <xdr:twoCellAnchor editAs="oneCell">
    <xdr:from>
      <xdr:col>0</xdr:col>
      <xdr:colOff>0</xdr:colOff>
      <xdr:row>42</xdr:row>
      <xdr:rowOff>0</xdr:rowOff>
    </xdr:from>
    <xdr:to>
      <xdr:col>14</xdr:col>
      <xdr:colOff>141658</xdr:colOff>
      <xdr:row>51</xdr:row>
      <xdr:rowOff>85522</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8229600"/>
          <a:ext cx="9742858" cy="1628572"/>
        </a:xfrm>
        <a:prstGeom prst="rect">
          <a:avLst/>
        </a:prstGeom>
      </xdr:spPr>
    </xdr:pic>
    <xdr:clientData/>
  </xdr:twoCellAnchor>
  <xdr:twoCellAnchor editAs="oneCell">
    <xdr:from>
      <xdr:col>0</xdr:col>
      <xdr:colOff>0</xdr:colOff>
      <xdr:row>52</xdr:row>
      <xdr:rowOff>0</xdr:rowOff>
    </xdr:from>
    <xdr:to>
      <xdr:col>12</xdr:col>
      <xdr:colOff>475163</xdr:colOff>
      <xdr:row>67</xdr:row>
      <xdr:rowOff>47298</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0" y="9944100"/>
          <a:ext cx="8704763" cy="2619048"/>
        </a:xfrm>
        <a:prstGeom prst="rect">
          <a:avLst/>
        </a:prstGeom>
      </xdr:spPr>
    </xdr:pic>
    <xdr:clientData/>
  </xdr:twoCellAnchor>
  <xdr:twoCellAnchor editAs="oneCell">
    <xdr:from>
      <xdr:col>0</xdr:col>
      <xdr:colOff>0</xdr:colOff>
      <xdr:row>68</xdr:row>
      <xdr:rowOff>0</xdr:rowOff>
    </xdr:from>
    <xdr:to>
      <xdr:col>14</xdr:col>
      <xdr:colOff>36896</xdr:colOff>
      <xdr:row>75</xdr:row>
      <xdr:rowOff>85564</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0" y="12687300"/>
          <a:ext cx="9638096" cy="1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665724</xdr:colOff>
      <xdr:row>14</xdr:row>
      <xdr:rowOff>37795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209524" cy="2438095"/>
        </a:xfrm>
        <a:prstGeom prst="rect">
          <a:avLst/>
        </a:prstGeom>
      </xdr:spPr>
    </xdr:pic>
    <xdr:clientData/>
  </xdr:twoCellAnchor>
  <xdr:twoCellAnchor editAs="oneCell">
    <xdr:from>
      <xdr:col>0</xdr:col>
      <xdr:colOff>0</xdr:colOff>
      <xdr:row>15</xdr:row>
      <xdr:rowOff>0</xdr:rowOff>
    </xdr:from>
    <xdr:to>
      <xdr:col>14</xdr:col>
      <xdr:colOff>227372</xdr:colOff>
      <xdr:row>23</xdr:row>
      <xdr:rowOff>95067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2571750"/>
          <a:ext cx="9828572" cy="1466667"/>
        </a:xfrm>
        <a:prstGeom prst="rect">
          <a:avLst/>
        </a:prstGeom>
      </xdr:spPr>
    </xdr:pic>
    <xdr:clientData/>
  </xdr:twoCellAnchor>
  <xdr:twoCellAnchor editAs="oneCell">
    <xdr:from>
      <xdr:col>0</xdr:col>
      <xdr:colOff>0</xdr:colOff>
      <xdr:row>24</xdr:row>
      <xdr:rowOff>0</xdr:rowOff>
    </xdr:from>
    <xdr:to>
      <xdr:col>12</xdr:col>
      <xdr:colOff>532305</xdr:colOff>
      <xdr:row>40</xdr:row>
      <xdr:rowOff>75848</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0" y="4114800"/>
          <a:ext cx="8761905" cy="2819048"/>
        </a:xfrm>
        <a:prstGeom prst="rect">
          <a:avLst/>
        </a:prstGeom>
      </xdr:spPr>
    </xdr:pic>
    <xdr:clientData/>
  </xdr:twoCellAnchor>
  <xdr:twoCellAnchor editAs="oneCell">
    <xdr:from>
      <xdr:col>0</xdr:col>
      <xdr:colOff>0</xdr:colOff>
      <xdr:row>40</xdr:row>
      <xdr:rowOff>114300</xdr:rowOff>
    </xdr:from>
    <xdr:to>
      <xdr:col>14</xdr:col>
      <xdr:colOff>94039</xdr:colOff>
      <xdr:row>44</xdr:row>
      <xdr:rowOff>171357</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6972300"/>
          <a:ext cx="9695239" cy="742857"/>
        </a:xfrm>
        <a:prstGeom prst="rect">
          <a:avLst/>
        </a:prstGeom>
      </xdr:spPr>
    </xdr:pic>
    <xdr:clientData/>
  </xdr:twoCellAnchor>
  <xdr:twoCellAnchor editAs="oneCell">
    <xdr:from>
      <xdr:col>0</xdr:col>
      <xdr:colOff>0</xdr:colOff>
      <xdr:row>46</xdr:row>
      <xdr:rowOff>0</xdr:rowOff>
    </xdr:from>
    <xdr:to>
      <xdr:col>12</xdr:col>
      <xdr:colOff>475163</xdr:colOff>
      <xdr:row>61</xdr:row>
      <xdr:rowOff>66345</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0" y="7886700"/>
          <a:ext cx="8704763" cy="2638095"/>
        </a:xfrm>
        <a:prstGeom prst="rect">
          <a:avLst/>
        </a:prstGeom>
      </xdr:spPr>
    </xdr:pic>
    <xdr:clientData/>
  </xdr:twoCellAnchor>
  <xdr:twoCellAnchor editAs="oneCell">
    <xdr:from>
      <xdr:col>0</xdr:col>
      <xdr:colOff>0</xdr:colOff>
      <xdr:row>62</xdr:row>
      <xdr:rowOff>0</xdr:rowOff>
    </xdr:from>
    <xdr:to>
      <xdr:col>14</xdr:col>
      <xdr:colOff>284515</xdr:colOff>
      <xdr:row>82</xdr:row>
      <xdr:rowOff>56715</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0" y="10629900"/>
          <a:ext cx="9885715" cy="3485715"/>
        </a:xfrm>
        <a:prstGeom prst="rect">
          <a:avLst/>
        </a:prstGeom>
      </xdr:spPr>
    </xdr:pic>
    <xdr:clientData/>
  </xdr:twoCellAnchor>
  <xdr:twoCellAnchor editAs="oneCell">
    <xdr:from>
      <xdr:col>15</xdr:col>
      <xdr:colOff>0</xdr:colOff>
      <xdr:row>0</xdr:row>
      <xdr:rowOff>0</xdr:rowOff>
    </xdr:from>
    <xdr:to>
      <xdr:col>25</xdr:col>
      <xdr:colOff>684858</xdr:colOff>
      <xdr:row>27</xdr:row>
      <xdr:rowOff>94660</xdr:rowOff>
    </xdr:to>
    <xdr:pic>
      <xdr:nvPicPr>
        <xdr:cNvPr id="10" name="图片 9"/>
        <xdr:cNvPicPr>
          <a:picLocks noChangeAspect="1"/>
        </xdr:cNvPicPr>
      </xdr:nvPicPr>
      <xdr:blipFill>
        <a:blip xmlns:r="http://schemas.openxmlformats.org/officeDocument/2006/relationships" r:embed="rId7" cstate="print"/>
        <a:stretch>
          <a:fillRect/>
        </a:stretch>
      </xdr:blipFill>
      <xdr:spPr>
        <a:xfrm>
          <a:off x="10287000" y="0"/>
          <a:ext cx="7542858" cy="4723810"/>
        </a:xfrm>
        <a:prstGeom prst="rect">
          <a:avLst/>
        </a:prstGeom>
      </xdr:spPr>
    </xdr:pic>
    <xdr:clientData/>
  </xdr:twoCellAnchor>
  <xdr:twoCellAnchor editAs="oneCell">
    <xdr:from>
      <xdr:col>15</xdr:col>
      <xdr:colOff>0</xdr:colOff>
      <xdr:row>28</xdr:row>
      <xdr:rowOff>0</xdr:rowOff>
    </xdr:from>
    <xdr:to>
      <xdr:col>27</xdr:col>
      <xdr:colOff>294210</xdr:colOff>
      <xdr:row>57</xdr:row>
      <xdr:rowOff>123188</xdr:rowOff>
    </xdr:to>
    <xdr:pic>
      <xdr:nvPicPr>
        <xdr:cNvPr id="11" name="图片 10"/>
        <xdr:cNvPicPr>
          <a:picLocks noChangeAspect="1"/>
        </xdr:cNvPicPr>
      </xdr:nvPicPr>
      <xdr:blipFill>
        <a:blip xmlns:r="http://schemas.openxmlformats.org/officeDocument/2006/relationships" r:embed="rId8" cstate="print"/>
        <a:stretch>
          <a:fillRect/>
        </a:stretch>
      </xdr:blipFill>
      <xdr:spPr>
        <a:xfrm>
          <a:off x="10287000" y="4800600"/>
          <a:ext cx="8523810" cy="5095238"/>
        </a:xfrm>
        <a:prstGeom prst="rect">
          <a:avLst/>
        </a:prstGeom>
      </xdr:spPr>
    </xdr:pic>
    <xdr:clientData/>
  </xdr:twoCellAnchor>
  <xdr:twoCellAnchor editAs="oneCell">
    <xdr:from>
      <xdr:col>15</xdr:col>
      <xdr:colOff>0</xdr:colOff>
      <xdr:row>59</xdr:row>
      <xdr:rowOff>0</xdr:rowOff>
    </xdr:from>
    <xdr:to>
      <xdr:col>26</xdr:col>
      <xdr:colOff>675248</xdr:colOff>
      <xdr:row>85</xdr:row>
      <xdr:rowOff>151824</xdr:rowOff>
    </xdr:to>
    <xdr:pic>
      <xdr:nvPicPr>
        <xdr:cNvPr id="12" name="图片 11"/>
        <xdr:cNvPicPr>
          <a:picLocks noChangeAspect="1"/>
        </xdr:cNvPicPr>
      </xdr:nvPicPr>
      <xdr:blipFill>
        <a:blip xmlns:r="http://schemas.openxmlformats.org/officeDocument/2006/relationships" r:embed="rId9" cstate="print"/>
        <a:stretch>
          <a:fillRect/>
        </a:stretch>
      </xdr:blipFill>
      <xdr:spPr>
        <a:xfrm>
          <a:off x="10287000" y="10115550"/>
          <a:ext cx="8219048" cy="4609524"/>
        </a:xfrm>
        <a:prstGeom prst="rect">
          <a:avLst/>
        </a:prstGeom>
      </xdr:spPr>
    </xdr:pic>
    <xdr:clientData/>
  </xdr:twoCellAnchor>
  <xdr:twoCellAnchor editAs="oneCell">
    <xdr:from>
      <xdr:col>27</xdr:col>
      <xdr:colOff>0</xdr:colOff>
      <xdr:row>49</xdr:row>
      <xdr:rowOff>0</xdr:rowOff>
    </xdr:from>
    <xdr:to>
      <xdr:col>39</xdr:col>
      <xdr:colOff>570401</xdr:colOff>
      <xdr:row>75</xdr:row>
      <xdr:rowOff>142300</xdr:rowOff>
    </xdr:to>
    <xdr:pic>
      <xdr:nvPicPr>
        <xdr:cNvPr id="13" name="图片 12"/>
        <xdr:cNvPicPr>
          <a:picLocks noChangeAspect="1"/>
        </xdr:cNvPicPr>
      </xdr:nvPicPr>
      <xdr:blipFill>
        <a:blip xmlns:r="http://schemas.openxmlformats.org/officeDocument/2006/relationships" r:embed="rId10" cstate="print"/>
        <a:stretch>
          <a:fillRect/>
        </a:stretch>
      </xdr:blipFill>
      <xdr:spPr>
        <a:xfrm>
          <a:off x="18516600" y="8401050"/>
          <a:ext cx="8800001" cy="4600000"/>
        </a:xfrm>
        <a:prstGeom prst="rect">
          <a:avLst/>
        </a:prstGeom>
      </xdr:spPr>
    </xdr:pic>
    <xdr:clientData/>
  </xdr:twoCellAnchor>
  <xdr:twoCellAnchor editAs="oneCell">
    <xdr:from>
      <xdr:col>26</xdr:col>
      <xdr:colOff>0</xdr:colOff>
      <xdr:row>0</xdr:row>
      <xdr:rowOff>0</xdr:rowOff>
    </xdr:from>
    <xdr:to>
      <xdr:col>37</xdr:col>
      <xdr:colOff>656201</xdr:colOff>
      <xdr:row>27</xdr:row>
      <xdr:rowOff>94660</xdr:rowOff>
    </xdr:to>
    <xdr:pic>
      <xdr:nvPicPr>
        <xdr:cNvPr id="14" name="图片 13"/>
        <xdr:cNvPicPr>
          <a:picLocks noChangeAspect="1"/>
        </xdr:cNvPicPr>
      </xdr:nvPicPr>
      <xdr:blipFill>
        <a:blip xmlns:r="http://schemas.openxmlformats.org/officeDocument/2006/relationships" r:embed="rId11" cstate="print"/>
        <a:stretch>
          <a:fillRect/>
        </a:stretch>
      </xdr:blipFill>
      <xdr:spPr>
        <a:xfrm>
          <a:off x="17830800" y="0"/>
          <a:ext cx="8200001" cy="47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427558</xdr:colOff>
      <xdr:row>44</xdr:row>
      <xdr:rowOff>94296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542858" cy="7638096"/>
        </a:xfrm>
        <a:prstGeom prst="rect">
          <a:avLst/>
        </a:prstGeom>
      </xdr:spPr>
    </xdr:pic>
    <xdr:clientData/>
  </xdr:twoCellAnchor>
  <xdr:twoCellAnchor editAs="oneCell">
    <xdr:from>
      <xdr:col>13</xdr:col>
      <xdr:colOff>0</xdr:colOff>
      <xdr:row>0</xdr:row>
      <xdr:rowOff>0</xdr:rowOff>
    </xdr:from>
    <xdr:to>
      <xdr:col>25</xdr:col>
      <xdr:colOff>284686</xdr:colOff>
      <xdr:row>49</xdr:row>
      <xdr:rowOff>8474</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8915400" y="0"/>
          <a:ext cx="8514286" cy="8409524"/>
        </a:xfrm>
        <a:prstGeom prst="rect">
          <a:avLst/>
        </a:prstGeom>
      </xdr:spPr>
    </xdr:pic>
    <xdr:clientData/>
  </xdr:twoCellAnchor>
  <xdr:twoCellAnchor editAs="oneCell">
    <xdr:from>
      <xdr:col>0</xdr:col>
      <xdr:colOff>0</xdr:colOff>
      <xdr:row>48</xdr:row>
      <xdr:rowOff>85725</xdr:rowOff>
    </xdr:from>
    <xdr:to>
      <xdr:col>12</xdr:col>
      <xdr:colOff>541672</xdr:colOff>
      <xdr:row>81</xdr:row>
      <xdr:rowOff>46923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315325"/>
          <a:ext cx="10028572" cy="5619048"/>
        </a:xfrm>
        <a:prstGeom prst="rect">
          <a:avLst/>
        </a:prstGeom>
      </xdr:spPr>
    </xdr:pic>
    <xdr:clientData/>
  </xdr:twoCellAnchor>
  <xdr:twoCellAnchor editAs="oneCell">
    <xdr:from>
      <xdr:col>1</xdr:col>
      <xdr:colOff>266700</xdr:colOff>
      <xdr:row>82</xdr:row>
      <xdr:rowOff>85725</xdr:rowOff>
    </xdr:from>
    <xdr:to>
      <xdr:col>11</xdr:col>
      <xdr:colOff>341877</xdr:colOff>
      <xdr:row>108</xdr:row>
      <xdr:rowOff>113740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952500" y="14144625"/>
          <a:ext cx="8190477" cy="4485715"/>
        </a:xfrm>
        <a:prstGeom prst="rect">
          <a:avLst/>
        </a:prstGeom>
      </xdr:spPr>
    </xdr:pic>
    <xdr:clientData/>
  </xdr:twoCellAnchor>
  <xdr:twoCellAnchor editAs="oneCell">
    <xdr:from>
      <xdr:col>0</xdr:col>
      <xdr:colOff>638175</xdr:colOff>
      <xdr:row>106</xdr:row>
      <xdr:rowOff>133350</xdr:rowOff>
    </xdr:from>
    <xdr:to>
      <xdr:col>11</xdr:col>
      <xdr:colOff>218028</xdr:colOff>
      <xdr:row>132</xdr:row>
      <xdr:rowOff>94698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38175" y="18307050"/>
          <a:ext cx="8380953" cy="4419048"/>
        </a:xfrm>
        <a:prstGeom prst="rect">
          <a:avLst/>
        </a:prstGeom>
      </xdr:spPr>
    </xdr:pic>
    <xdr:clientData/>
  </xdr:twoCellAnchor>
  <xdr:twoCellAnchor editAs="oneCell">
    <xdr:from>
      <xdr:col>0</xdr:col>
      <xdr:colOff>0</xdr:colOff>
      <xdr:row>131</xdr:row>
      <xdr:rowOff>0</xdr:rowOff>
    </xdr:from>
    <xdr:to>
      <xdr:col>9</xdr:col>
      <xdr:colOff>437324</xdr:colOff>
      <xdr:row>140</xdr:row>
      <xdr:rowOff>152188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22459950"/>
          <a:ext cx="6609524" cy="1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913;&#24314;&#23433;&#36153;&#29992;-&#20892;&#34892;3&#29256;-&#21830;&#19994;&#26410;&#24314;-&#39033;&#30446;-&#28023;&#29632;&#20113;&#3273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52;1&#21495;&#27004;-&#20892;&#34892;4&#29256;-&#20303;&#23429;&#22312;&#24314;-&#39033;&#30446;-&#28023;&#29632;&#20113;&#327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车库案例"/>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4892.54</v>
          </cell>
          <cell r="E3">
            <v>20299</v>
          </cell>
        </row>
      </sheetData>
      <sheetData sheetId="14"/>
      <sheetData sheetId="15"/>
      <sheetData sheetId="16"/>
      <sheetData sheetId="17">
        <row r="19">
          <cell r="G19">
            <v>33475</v>
          </cell>
        </row>
        <row r="101">
          <cell r="H101">
            <v>33475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车库案例"/>
      <sheetName val="住宅案例"/>
      <sheetName val="可售"/>
      <sheetName val="清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3713.42</v>
          </cell>
          <cell r="E3">
            <v>15034.48</v>
          </cell>
        </row>
      </sheetData>
      <sheetData sheetId="14" refreshError="1"/>
      <sheetData sheetId="15" refreshError="1"/>
      <sheetData sheetId="16" refreshError="1"/>
      <sheetData sheetId="17">
        <row r="19">
          <cell r="G19">
            <v>19933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9" sqref="D3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北京市大兴区黄村镇四街、五街、六街村项目DX00-0208-6001地块4、6-10号楼住宅、地下仓储、地下车库用房出让国有建设用地使用权及在建建筑物房地产抵押价值预评估</v>
      </c>
    </row>
    <row r="3" spans="1:2" s="1591" customFormat="1">
      <c r="A3" s="1589" t="s">
        <v>1221</v>
      </c>
      <c r="B3" s="1590" t="str">
        <f>'预评函-封皮'!B40</f>
        <v>北京绿地京翰房地产开发有限公司</v>
      </c>
    </row>
    <row r="4" spans="1:2" s="1591" customFormat="1">
      <c r="A4" s="1589" t="s">
        <v>1222</v>
      </c>
      <c r="B4" s="1590" t="str">
        <f ca="1">'预评函-封皮'!B46</f>
        <v>欧红伟（注册号：1120000080)、崔锴（注册号：1120100036)</v>
      </c>
    </row>
    <row r="5" spans="1:2" s="1585" customFormat="1" ht="15" thickBot="1">
      <c r="A5" s="1592" t="s">
        <v>1223</v>
      </c>
      <c r="B5" s="1593" t="str">
        <f>'预评函-封皮'!B49</f>
        <v>康正预评字2018-1-0122号</v>
      </c>
    </row>
    <row r="6" spans="1:2" s="1588" customFormat="1" ht="15" thickTop="1">
      <c r="A6" s="1586" t="s">
        <v>1224</v>
      </c>
      <c r="B6" s="1587" t="str">
        <f>'预评函-1'!A4</f>
        <v>受贵公司委托，我公司对北京市大兴区黄村镇四街、五街、六街村项目DX00-0208-6001地块4、6-10号楼住宅、地下仓储、地下车库用房出让国有建设用地使用权及在建建筑物房地产抵押价值进行了预评估。</v>
      </c>
    </row>
    <row r="7" spans="1:2" s="1591" customFormat="1">
      <c r="A7" s="1589" t="s">
        <v>1264</v>
      </c>
      <c r="B7" s="1590" t="str">
        <f>'预评函-1'!A7</f>
        <v>估价对象为北京市大兴区黄村镇四街、五街、六街村项目DX00-0208-6001地块4、6-10号楼住宅、地下仓储、地下车库用房出让国有建设用地使用权及在建建筑物房地产，为所有。根据《不动产权证书》，估价对象（分摊）出让国有建设用地使用权面积为7892.1平方米。根据《不动产权证书》、《测绘报告》，估价对象建筑面积为31952.66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大兴区黄村镇四街、五街、六街村项目DX00-0208-6001地块4、6-10号楼住宅、地下仓储、地下车库用房出让国有建设用地使用权及在建建筑物房地产,属开发建设的居住项目，该项目尚在开发建设中。根据《不动产权证书》，估价对象（分摊）出让国有建设用地使用权面积为7892.1平方米。根据《不动产权证书》、《测绘报告》，估价对象规划建筑面积为31952.66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为估价委托人在向渤海银行股份有限公司北京市分行办理贷款手续过程中，确定房地产抵押贷款额度提供参考依据而评估房地产抵押价值。</v>
      </c>
    </row>
    <row r="12" spans="1:2" s="1591" customFormat="1">
      <c r="A12" s="1589" t="s">
        <v>1226</v>
      </c>
      <c r="B12" s="1590" t="str">
        <f>'预评函-1'!A15</f>
        <v>2018年3月6日（评估专业人员实地查勘之日）</v>
      </c>
    </row>
    <row r="13" spans="1:2" s="1591" customFormat="1">
      <c r="A13" s="1589" t="s">
        <v>1227</v>
      </c>
      <c r="B13" s="1590" t="str">
        <f>'预评函-1'!A18</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本次评估采用的主估价方法为比较法和假设开发法。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137232</v>
      </c>
    </row>
    <row r="21" spans="1:2" s="1591" customFormat="1">
      <c r="A21" s="1589" t="s">
        <v>1235</v>
      </c>
      <c r="B21" s="1590">
        <f ca="1">'预评函-2'!D7</f>
        <v>42949</v>
      </c>
    </row>
    <row r="22" spans="1:2" s="1591" customFormat="1">
      <c r="A22" s="1589" t="s">
        <v>1236</v>
      </c>
      <c r="B22" s="1590" t="str">
        <f ca="1">'预评函-2'!D6</f>
        <v>壹拾叁亿柒仟贰佰叁拾贰万元整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v>
      </c>
    </row>
    <row r="30" spans="1:2" s="1591" customFormat="1">
      <c r="A30" s="1589" t="s">
        <v>1292</v>
      </c>
      <c r="B30" s="1590" t="str">
        <f>'预评函-2'!D13</f>
        <v>——</v>
      </c>
    </row>
    <row r="31" spans="1:2" s="1591" customFormat="1">
      <c r="A31" s="1589" t="s">
        <v>1274</v>
      </c>
      <c r="B31" s="1590" t="e">
        <f>'预评函-2'!D15</f>
        <v>#VALUE!</v>
      </c>
    </row>
    <row r="32" spans="1:2" s="1591" customFormat="1">
      <c r="A32" s="1589" t="s">
        <v>1241</v>
      </c>
      <c r="B32" s="1590" t="e">
        <f>'预评函-2'!D14</f>
        <v>#VALUE!</v>
      </c>
    </row>
    <row r="33" spans="1:2" s="1591" customFormat="1">
      <c r="A33" s="1589" t="s">
        <v>1276</v>
      </c>
      <c r="B33" s="1590" t="str">
        <f>'预评函-2'!B16</f>
        <v>3.抵押担保权已注销时的房地产抵押价值</v>
      </c>
    </row>
    <row r="34" spans="1:2" s="1591" customFormat="1">
      <c r="A34" s="1589" t="s">
        <v>1294</v>
      </c>
      <c r="B34" s="1590">
        <f ca="1">'预评函-2'!D16</f>
        <v>137232</v>
      </c>
    </row>
    <row r="35" spans="1:2" s="1591" customFormat="1">
      <c r="A35" s="1589" t="s">
        <v>1275</v>
      </c>
      <c r="B35" s="1590">
        <f ca="1">'预评函-2'!D18</f>
        <v>42949</v>
      </c>
    </row>
    <row r="36" spans="1:2" s="1591" customFormat="1">
      <c r="A36" s="1589" t="s">
        <v>1242</v>
      </c>
      <c r="B36" s="1590" t="str">
        <f ca="1">'预评函-2'!D17</f>
        <v>壹拾叁亿柒仟贰佰叁拾贰万元整</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北京市大兴区黄村镇四街、五街、六街村项目DX00-0208-6001地块4、6-10号楼住宅、地下仓储、地下车库用房出让国有建设用地使用权及在建建筑物房地产</v>
      </c>
    </row>
    <row r="42" spans="1:2" s="1591" customFormat="1">
      <c r="A42" s="1589" t="s">
        <v>1288</v>
      </c>
      <c r="B42" s="1590" t="str">
        <f>'预评函-3'!B2</f>
        <v>建筑面积</v>
      </c>
    </row>
    <row r="43" spans="1:2" s="1591" customFormat="1">
      <c r="A43" s="1589" t="s">
        <v>1289</v>
      </c>
      <c r="B43" s="1590">
        <f>'预评函-3'!B4</f>
        <v>31952.659999999996</v>
      </c>
    </row>
    <row r="44" spans="1:2" s="1591" customFormat="1">
      <c r="A44" s="1589" t="s">
        <v>1273</v>
      </c>
      <c r="B44" s="1590" t="str">
        <f>'预评函-3'!C2</f>
        <v>(分摊)土地面积</v>
      </c>
    </row>
    <row r="45" spans="1:2" s="1591" customFormat="1">
      <c r="A45" s="1589" t="s">
        <v>1245</v>
      </c>
      <c r="B45" s="1590">
        <f>'预评函-3'!C4</f>
        <v>7892.1</v>
      </c>
    </row>
    <row r="46" spans="1:2" s="1591" customFormat="1">
      <c r="A46" s="1589" t="s">
        <v>1271</v>
      </c>
      <c r="B46" s="1590" t="str">
        <f>'预评函-3'!D2</f>
        <v>出让国有建设用地使用权价值</v>
      </c>
    </row>
    <row r="47" spans="1:2" s="1591" customFormat="1">
      <c r="A47" s="1589" t="s">
        <v>1246</v>
      </c>
      <c r="B47" s="1590">
        <f ca="1">'预评函-3'!D4</f>
        <v>137232</v>
      </c>
    </row>
    <row r="48" spans="1:2" s="1591" customFormat="1">
      <c r="A48" s="1589" t="s">
        <v>1247</v>
      </c>
      <c r="B48" s="1590">
        <f ca="1">'预评函-3'!E4</f>
        <v>42949</v>
      </c>
    </row>
    <row r="49" spans="1:2" s="1591" customFormat="1">
      <c r="A49" s="1589" t="s">
        <v>1248</v>
      </c>
      <c r="B49" s="1590" t="str">
        <f ca="1">'预评函-3'!D5</f>
        <v>壹拾叁亿柒仟贰佰叁拾贰万元整</v>
      </c>
    </row>
    <row r="50" spans="1:2" s="1591" customFormat="1">
      <c r="A50" s="1589" t="s">
        <v>1272</v>
      </c>
      <c r="B50" s="1590" t="str">
        <f>'预评函-3'!F2</f>
        <v>在建建筑物价值</v>
      </c>
    </row>
    <row r="51" spans="1:2" s="1591" customFormat="1">
      <c r="A51" s="1589" t="s">
        <v>1249</v>
      </c>
      <c r="B51" s="1590">
        <f ca="1">'预评函-3'!F4</f>
        <v>0</v>
      </c>
    </row>
    <row r="52" spans="1:2" s="1591" customFormat="1">
      <c r="A52" s="1589" t="s">
        <v>1250</v>
      </c>
      <c r="B52" s="1590">
        <f ca="1">'预评函-3'!G4</f>
        <v>0</v>
      </c>
    </row>
    <row r="53" spans="1:2" s="1591" customFormat="1">
      <c r="A53" s="1589" t="s">
        <v>1278</v>
      </c>
      <c r="B53" s="1590" t="str">
        <f ca="1">'预评函-3'!F5</f>
        <v>零元整</v>
      </c>
    </row>
    <row r="54" spans="1:2" s="1591" customFormat="1">
      <c r="A54" s="1589" t="s">
        <v>1296</v>
      </c>
      <c r="B54" s="1590" t="str">
        <f>'预评函-3'!A8</f>
        <v/>
      </c>
    </row>
    <row r="55" spans="1:2" s="1591" customFormat="1">
      <c r="A55" s="1589" t="s">
        <v>1279</v>
      </c>
      <c r="B55" s="1590" t="str">
        <f>'预评函-3'!A10</f>
        <v>抵押担保权已注销时的房地产抵押价值</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（1）根据估价对象《不动产权证书》复印件、，截至价值时点，估价对象已设定抵押。上述抵押权设定日期为，权利人为，权利范围为，权利价值为。</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欧红伟</v>
      </c>
    </row>
    <row r="71" spans="1:2">
      <c r="A71" s="1589" t="s">
        <v>1261</v>
      </c>
      <c r="B71" s="1590">
        <f ca="1">'预评函-4'!B4</f>
        <v>1120000080</v>
      </c>
    </row>
    <row r="72" spans="1:2">
      <c r="A72" s="1589" t="s">
        <v>1262</v>
      </c>
      <c r="B72" s="1598" t="str">
        <f>'预评函-4'!A5</f>
        <v>崔锴</v>
      </c>
    </row>
    <row r="73" spans="1:2" s="1585" customFormat="1" ht="15" thickBot="1">
      <c r="A73" s="1592" t="s">
        <v>1263</v>
      </c>
      <c r="B73" s="1593">
        <f ca="1">'预评函-4'!B5</f>
        <v>1120100036</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3229</v>
      </c>
      <c r="C17" s="2013"/>
    </row>
    <row r="18" spans="1:3">
      <c r="A18" s="2012" t="s">
        <v>1768</v>
      </c>
      <c r="B18" s="2012" t="s">
        <v>757</v>
      </c>
      <c r="C18" s="2013"/>
    </row>
    <row r="19" spans="1:3">
      <c r="A19" s="2012" t="s">
        <v>1769</v>
      </c>
      <c r="B19" s="2012" t="s">
        <v>757</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为估价委托人在向渤海银行股份有限公司北京市分行办理贷款手续过程中，确定房地产抵押贷款额度提供参考依据而评估房地产抵押价值。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绿地京翰房地产开发有限公司拟使用北京市大兴区黄村镇四街、五街、六街村项目DX00-0208-6001地块4、6-10号楼住宅、地下仓储、地下车库用房出让国有建设用地使用权及在建建筑物房地产作为抵押担保物，向渤海银行股份有限公司北京市分行办理贷款手续。渤海银行股份有限公司北京市分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5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3"/>
      <c r="B54" s="2020" t="s">
        <v>864</v>
      </c>
      <c r="C54" s="2017" t="s">
        <v>1281</v>
      </c>
    </row>
    <row r="55" spans="1:4">
      <c r="A55" s="3053"/>
      <c r="B55" s="2020" t="s">
        <v>865</v>
      </c>
      <c r="C55" s="2017" t="s">
        <v>1282</v>
      </c>
    </row>
    <row r="56" spans="1:4">
      <c r="A56" s="3053"/>
      <c r="B56" s="2020" t="s">
        <v>866</v>
      </c>
      <c r="C56" s="2017" t="s">
        <v>1286</v>
      </c>
    </row>
    <row r="57" spans="1:4">
      <c r="A57" s="305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23" sqref="D23"/>
    </sheetView>
  </sheetViews>
  <sheetFormatPr defaultColWidth="10" defaultRowHeight="18" customHeight="1"/>
  <cols>
    <col min="1" max="1" width="14.875" style="2030" customWidth="1"/>
    <col min="2" max="2" width="10" style="2030" customWidth="1"/>
    <col min="3" max="3" width="11.5" style="2030" customWidth="1"/>
    <col min="4" max="8" width="11" style="2030" customWidth="1"/>
    <col min="9" max="9" width="11.125" style="2151" customWidth="1"/>
    <col min="10" max="10" width="10" style="2030" customWidth="1"/>
    <col min="11" max="11" width="10" style="2152" customWidth="1"/>
    <col min="12" max="13" width="10" style="2153" customWidth="1"/>
    <col min="14" max="14" width="10" style="2030" customWidth="1"/>
    <col min="15" max="15" width="10" style="2151" customWidth="1"/>
    <col min="16" max="17" width="10" style="2030"/>
    <col min="18" max="18" width="10" style="2030" customWidth="1"/>
    <col min="19" max="16384" width="10" style="2030"/>
  </cols>
  <sheetData>
    <row r="1" spans="1:19" ht="38.25" customHeight="1" thickBot="1">
      <c r="A1" s="2023" t="s">
        <v>1777</v>
      </c>
      <c r="B1" s="3054" t="str">
        <f>IF(B10="北京市","北京市",C10)&amp;F10&amp;IF(结果表!G1="在建","出让国有建设用地使用权及在建建筑物",IF(结果表!G1="土地","出让国有建设用地使用权",))&amp;B9&amp;"预评估"</f>
        <v>北京市大兴区黄村镇四街、五街、六街村项目DX00-0208-6001地块4、6-10号楼住宅、地下仓储、地下车库用房出让国有建设用地使用权及在建建筑物房地产抵押价值预评估</v>
      </c>
      <c r="C1" s="3055"/>
      <c r="D1" s="3055"/>
      <c r="E1" s="3055"/>
      <c r="F1" s="3055"/>
      <c r="G1" s="3055"/>
      <c r="H1" s="3055"/>
      <c r="I1" s="305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北京市大兴区黄村镇四街、五街、六街村项目DX00-0208-6001地块4、6-10号楼住宅、地下仓储、地下车库用房出让国有建设用地使用权及在建建筑物房地产抵押价值</v>
      </c>
    </row>
    <row r="2" spans="1:19" ht="18" customHeight="1">
      <c r="A2" s="2024" t="s">
        <v>1778</v>
      </c>
      <c r="B2" s="1037" t="s">
        <v>3032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北京市大兴区黄村镇四街、五街、六街村项目DX00-0208-6001地块4、6-10号楼住宅、地下仓储、地下车库用房出让国有建设用地使用权及在建建筑物房地产</v>
      </c>
    </row>
    <row r="3" spans="1:19" ht="18" customHeight="1">
      <c r="A3" s="2033" t="s">
        <v>1779</v>
      </c>
      <c r="B3" s="2929">
        <v>43165</v>
      </c>
      <c r="C3" s="2035" t="s">
        <v>1780</v>
      </c>
      <c r="D3" s="2034">
        <f>B3</f>
        <v>43165</v>
      </c>
      <c r="E3" s="2024"/>
      <c r="F3" s="2024"/>
      <c r="G3" s="2024"/>
      <c r="H3" s="2024"/>
      <c r="I3" s="2024"/>
      <c r="J3" s="2024"/>
      <c r="K3" s="2025"/>
      <c r="L3" s="2026"/>
      <c r="M3" s="2026"/>
      <c r="N3" s="2027"/>
      <c r="O3" s="2028"/>
      <c r="P3" s="2027"/>
      <c r="Q3" s="2027"/>
      <c r="R3" s="2027"/>
      <c r="S3" s="2029"/>
    </row>
    <row r="4" spans="1:19" ht="18" customHeight="1" thickBot="1">
      <c r="A4" s="2036" t="s">
        <v>1781</v>
      </c>
      <c r="B4" s="2037" t="s">
        <v>3033</v>
      </c>
      <c r="C4" s="1035">
        <f ca="1">SUMIF(注册房地产估价师,B4,估价师及机构信息!B3:B24)</f>
        <v>1120000080</v>
      </c>
      <c r="D4" s="2037" t="s">
        <v>3034</v>
      </c>
      <c r="E4" s="1036">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30" t="s">
        <v>3035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31" t="s">
        <v>3036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北京绿地京翰房地产开发有限公司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3037</v>
      </c>
      <c r="C8" s="2052"/>
      <c r="D8" s="3057" t="s">
        <v>1786</v>
      </c>
      <c r="E8" s="2053" t="s">
        <v>3253</v>
      </c>
      <c r="F8" s="2054"/>
      <c r="G8" s="2024"/>
      <c r="H8" s="2024"/>
      <c r="I8" s="2024"/>
      <c r="J8" s="2040"/>
      <c r="K8" s="2041"/>
      <c r="L8" s="2026"/>
      <c r="M8" s="2026"/>
      <c r="N8" s="2027"/>
      <c r="O8" s="2028"/>
      <c r="P8" s="2027"/>
      <c r="Q8" s="2027"/>
      <c r="R8" s="2027"/>
    </row>
    <row r="9" spans="1:19" ht="18" customHeight="1" thickBot="1">
      <c r="A9" s="2038" t="s">
        <v>1787</v>
      </c>
      <c r="B9" s="2055" t="s">
        <v>3038</v>
      </c>
      <c r="C9" s="2056"/>
      <c r="D9" s="3058"/>
      <c r="E9" s="2055"/>
      <c r="F9" s="2057"/>
      <c r="G9" s="2058"/>
      <c r="H9" s="2058"/>
      <c r="I9" s="2058"/>
      <c r="J9" s="2040"/>
      <c r="K9" s="2050"/>
      <c r="L9" s="2026"/>
      <c r="M9" s="2026"/>
      <c r="N9" s="2027"/>
      <c r="O9" s="2028"/>
      <c r="P9" s="2027"/>
      <c r="Q9" s="2027"/>
      <c r="R9" s="2027"/>
    </row>
    <row r="10" spans="1:19" ht="18" customHeight="1" thickTop="1">
      <c r="A10" s="2059" t="s">
        <v>1788</v>
      </c>
      <c r="B10" s="2060" t="s">
        <v>3039</v>
      </c>
      <c r="C10" s="2061"/>
      <c r="D10" s="2044"/>
      <c r="E10" s="2062" t="s">
        <v>1789</v>
      </c>
      <c r="F10" s="2932" t="s">
        <v>3217</v>
      </c>
      <c r="G10" s="2063"/>
      <c r="H10" s="2064"/>
      <c r="I10" s="2044"/>
      <c r="J10" s="2040"/>
      <c r="K10" s="2050"/>
      <c r="L10" s="2026"/>
      <c r="M10" s="2026"/>
      <c r="N10" s="2027"/>
      <c r="O10" s="2028"/>
      <c r="P10" s="2027"/>
      <c r="Q10" s="2027"/>
      <c r="R10" s="2027"/>
    </row>
    <row r="11" spans="1:19" ht="18" customHeight="1">
      <c r="A11" s="2065" t="s">
        <v>1790</v>
      </c>
      <c r="B11" s="2066" t="s">
        <v>3040</v>
      </c>
      <c r="C11" s="2067"/>
      <c r="D11" s="2068"/>
      <c r="E11" s="2040"/>
      <c r="F11" s="2040"/>
      <c r="G11" s="2040"/>
      <c r="H11" s="2040"/>
      <c r="I11" s="2040"/>
      <c r="J11" s="2040"/>
      <c r="K11" s="2050"/>
      <c r="L11" s="2026"/>
      <c r="M11" s="2026"/>
      <c r="N11" s="2027"/>
      <c r="O11" s="2028"/>
      <c r="P11" s="2027"/>
      <c r="Q11" s="2027"/>
      <c r="R11" s="2027"/>
    </row>
    <row r="12" spans="1:19" ht="18" customHeight="1">
      <c r="A12" s="2069" t="s">
        <v>1791</v>
      </c>
      <c r="B12" s="2066" t="s">
        <v>3041</v>
      </c>
      <c r="C12" s="2070" t="s">
        <v>1792</v>
      </c>
      <c r="D12" s="2071" t="s">
        <v>1793</v>
      </c>
      <c r="E12" s="2071" t="s">
        <v>1794</v>
      </c>
      <c r="F12" s="2071" t="s">
        <v>1795</v>
      </c>
      <c r="G12" s="2071" t="s">
        <v>1796</v>
      </c>
      <c r="H12" s="2071" t="s">
        <v>1797</v>
      </c>
      <c r="I12" s="2071" t="s">
        <v>1798</v>
      </c>
      <c r="J12" s="2040"/>
      <c r="K12" s="2050"/>
      <c r="L12" s="2026"/>
      <c r="M12" s="2026"/>
      <c r="N12" s="2027"/>
      <c r="O12" s="2028"/>
      <c r="P12" s="2027"/>
      <c r="Q12" s="2027"/>
      <c r="R12" s="2027"/>
    </row>
    <row r="13" spans="1:19" ht="18" customHeight="1">
      <c r="A13" s="2072"/>
      <c r="B13" s="2073"/>
      <c r="C13" s="2074" t="s">
        <v>1799</v>
      </c>
      <c r="D13" s="2933">
        <v>68023</v>
      </c>
      <c r="E13" s="2933">
        <v>57066</v>
      </c>
      <c r="F13" s="2933">
        <v>60718</v>
      </c>
      <c r="G13" s="2933">
        <f>F13</f>
        <v>60718</v>
      </c>
      <c r="H13" s="2933">
        <f>G13</f>
        <v>60718</v>
      </c>
      <c r="I13" s="1045"/>
      <c r="J13" s="2040"/>
      <c r="K13" s="2050"/>
      <c r="L13" s="2026"/>
      <c r="M13" s="2026"/>
      <c r="N13" s="2027"/>
      <c r="O13" s="2028"/>
      <c r="P13" s="2027"/>
      <c r="Q13" s="2027"/>
      <c r="R13" s="2027"/>
    </row>
    <row r="14" spans="1:19" ht="18" customHeight="1">
      <c r="A14" s="2072"/>
      <c r="B14" s="2073"/>
      <c r="C14" s="2074" t="s">
        <v>1800</v>
      </c>
      <c r="D14" s="1048">
        <v>70</v>
      </c>
      <c r="E14" s="1048">
        <v>40</v>
      </c>
      <c r="F14" s="1048">
        <v>50</v>
      </c>
      <c r="G14" s="1048">
        <v>50</v>
      </c>
      <c r="H14" s="1048">
        <v>50</v>
      </c>
      <c r="I14" s="1048"/>
      <c r="J14" s="2040"/>
      <c r="K14" s="2075"/>
      <c r="L14" s="2026"/>
      <c r="M14" s="2026"/>
      <c r="N14" s="2027"/>
      <c r="O14" s="2028"/>
      <c r="P14" s="2027"/>
      <c r="Q14" s="2027"/>
      <c r="R14" s="2027"/>
    </row>
    <row r="15" spans="1:19" ht="18" customHeight="1">
      <c r="A15" s="2059"/>
      <c r="B15" s="2076"/>
      <c r="C15" s="2074" t="s">
        <v>1801</v>
      </c>
      <c r="D15" s="1047">
        <f>IF(B12="出让",IF(D13="","",ROUNDDOWN(MIN((D13-$D$3)/365,D14),2)),D14)</f>
        <v>68.099999999999994</v>
      </c>
      <c r="E15" s="1047">
        <f>IF(B12="出让",IF(E13="","",ROUNDDOWN(MIN((E13-$D$3)/365,E14),2)),E14)</f>
        <v>38.08</v>
      </c>
      <c r="F15" s="1047">
        <f>IF(B12="出让",IF(F13="","",ROUNDDOWN(MIN((F13-$D$3)/365,F14),2)),F14)</f>
        <v>48.09</v>
      </c>
      <c r="G15" s="1047">
        <f>IF(B12="出让",IF(G13="","",ROUNDDOWN(MIN((G13-$D$3)/365,G14),2)),G14)</f>
        <v>48.09</v>
      </c>
      <c r="H15" s="1047">
        <f>IF(B12="出让",IF(H13="","",ROUNDDOWN(MIN((H13-$D$3)/365,H14),2)),H14)</f>
        <v>48.09</v>
      </c>
      <c r="I15" s="1047" t="str">
        <f>IF(B12="出让",IF(I13="","",ROUNDDOWN(MIN((I13-$D$3)/365,I14),2)),I14)</f>
        <v/>
      </c>
      <c r="J15" s="2040"/>
      <c r="K15" s="2077"/>
      <c r="L15" s="2078"/>
      <c r="M15" s="2078"/>
      <c r="N15" s="2079"/>
      <c r="O15" s="2078"/>
      <c r="P15" s="2079"/>
      <c r="Q15" s="2027"/>
      <c r="R15" s="2027"/>
    </row>
    <row r="16" spans="1:19" ht="30.75" customHeight="1">
      <c r="A16" s="2062" t="s">
        <v>1802</v>
      </c>
      <c r="B16" s="3064"/>
      <c r="C16" s="3065"/>
      <c r="D16" s="3066"/>
      <c r="E16" s="2080" t="s">
        <v>1803</v>
      </c>
      <c r="F16" s="3067"/>
      <c r="G16" s="3068"/>
      <c r="H16" s="3068"/>
      <c r="I16" s="3069"/>
      <c r="J16" s="2027"/>
      <c r="K16" s="2077"/>
      <c r="L16" s="2078"/>
      <c r="M16" s="2078"/>
      <c r="N16" s="2079"/>
      <c r="O16" s="2078"/>
      <c r="P16" s="2079"/>
      <c r="Q16" s="2027"/>
      <c r="R16" s="2027"/>
    </row>
    <row r="17" spans="1:22" ht="18" customHeight="1">
      <c r="A17" s="2081" t="s">
        <v>1804</v>
      </c>
      <c r="B17" s="2033" t="s">
        <v>1805</v>
      </c>
      <c r="C17" s="1052">
        <f>'数据-汇总表'!E3</f>
        <v>31952.659999999996</v>
      </c>
      <c r="D17" s="2082" t="s">
        <v>1806</v>
      </c>
      <c r="E17" s="3070" t="s">
        <v>3043</v>
      </c>
      <c r="F17" s="3071"/>
      <c r="G17" s="3071"/>
      <c r="H17" s="3071"/>
      <c r="I17" s="3072"/>
      <c r="J17" s="2027"/>
      <c r="K17" s="2083"/>
      <c r="L17" s="2078"/>
      <c r="M17" s="2078"/>
      <c r="N17" s="2079"/>
      <c r="O17" s="2078"/>
      <c r="P17" s="2079"/>
      <c r="Q17" s="2027"/>
      <c r="R17" s="2027"/>
      <c r="S17" s="2027"/>
      <c r="T17" s="2027"/>
      <c r="U17" s="2027"/>
      <c r="V17" s="2027"/>
    </row>
    <row r="18" spans="1:22" ht="36" customHeight="1" thickBot="1">
      <c r="A18" s="2084" t="s">
        <v>70</v>
      </c>
      <c r="B18" s="2036" t="s">
        <v>1807</v>
      </c>
      <c r="C18" s="1442">
        <f>'数据-汇总表'!D3</f>
        <v>7892.1</v>
      </c>
      <c r="D18" s="2085" t="s">
        <v>1806</v>
      </c>
      <c r="E18" s="3073" t="s">
        <v>3044</v>
      </c>
      <c r="F18" s="3074"/>
      <c r="G18" s="3074"/>
      <c r="H18" s="3074"/>
      <c r="I18" s="3075"/>
      <c r="J18" s="2027"/>
      <c r="K18" s="2083"/>
      <c r="L18" s="2078"/>
      <c r="M18" s="2078"/>
      <c r="N18" s="2079"/>
      <c r="O18" s="2078"/>
      <c r="P18" s="2079"/>
      <c r="Q18" s="2027"/>
      <c r="R18" s="2027"/>
      <c r="S18" s="2027"/>
      <c r="T18" s="2027"/>
      <c r="U18" s="2027"/>
      <c r="V18" s="2027"/>
    </row>
    <row r="19" spans="1:22" ht="37.5" customHeight="1" thickTop="1" thickBot="1">
      <c r="A19" s="373" t="s">
        <v>1808</v>
      </c>
      <c r="B19" s="352" t="s">
        <v>1809</v>
      </c>
      <c r="C19" s="2086" t="s">
        <v>3045</v>
      </c>
      <c r="D19" s="2087" t="s">
        <v>1810</v>
      </c>
      <c r="E19" s="2088" t="s">
        <v>3045</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1811</v>
      </c>
      <c r="B20" s="3060" t="s">
        <v>1812</v>
      </c>
      <c r="C20" s="3061"/>
      <c r="D20" s="3062" t="s">
        <v>1813</v>
      </c>
      <c r="E20" s="3063"/>
      <c r="F20" s="2092" t="s">
        <v>1814</v>
      </c>
      <c r="G20" s="2040"/>
      <c r="H20" s="2040"/>
      <c r="I20" s="2040"/>
      <c r="J20" s="2040"/>
      <c r="K20" s="3059" t="s">
        <v>1815</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6"/>
      <c r="N20" s="2079"/>
      <c r="O20" s="2078"/>
      <c r="P20" s="2079"/>
      <c r="Q20" s="2027"/>
      <c r="R20" s="2027"/>
      <c r="S20" s="2027"/>
      <c r="T20" s="2027"/>
      <c r="U20" s="2027"/>
      <c r="V20" s="2027"/>
    </row>
    <row r="21" spans="1:22" ht="24.75" customHeight="1">
      <c r="A21" s="2091"/>
      <c r="B21" s="2934" t="s">
        <v>3042</v>
      </c>
      <c r="C21" s="2093" t="s">
        <v>3234</v>
      </c>
      <c r="D21" s="2094"/>
      <c r="E21" s="2095"/>
      <c r="F21" s="2096"/>
      <c r="G21" s="2040"/>
      <c r="H21" s="2040"/>
      <c r="I21" s="2040"/>
      <c r="J21" s="2040"/>
      <c r="K21" s="30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9"/>
      <c r="O21" s="2078"/>
      <c r="P21" s="2079"/>
      <c r="Q21" s="2027"/>
      <c r="R21" s="2027"/>
      <c r="S21" s="2027"/>
      <c r="T21" s="2027"/>
      <c r="U21" s="2027"/>
      <c r="V21" s="2027"/>
    </row>
    <row r="22" spans="1:22" ht="24.75" customHeight="1" thickBot="1">
      <c r="A22" s="2091"/>
      <c r="B22" s="2097"/>
      <c r="C22" s="2093"/>
      <c r="D22" s="2024"/>
      <c r="E22" s="2024"/>
      <c r="F22" s="2098"/>
      <c r="G22" s="2040"/>
      <c r="H22" s="2040"/>
      <c r="I22" s="2040"/>
      <c r="J22" s="2040"/>
      <c r="K22" s="305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099" t="s">
        <v>1816</v>
      </c>
      <c r="B23" s="183" t="s">
        <v>1817</v>
      </c>
      <c r="C23" s="2100"/>
      <c r="D23" s="2101" t="s">
        <v>1817</v>
      </c>
      <c r="E23" s="2102"/>
      <c r="F23" s="2098"/>
      <c r="G23" s="2040"/>
      <c r="H23" s="2040"/>
      <c r="I23" s="2040"/>
      <c r="J23" s="2040"/>
      <c r="K23" s="2103"/>
      <c r="L23" s="747"/>
      <c r="M23" s="2026"/>
      <c r="N23" s="2079"/>
      <c r="O23" s="2078"/>
      <c r="P23" s="2079"/>
      <c r="Q23" s="2027"/>
      <c r="R23" s="2027"/>
      <c r="S23" s="2027"/>
      <c r="T23" s="2027"/>
      <c r="U23" s="2027"/>
      <c r="V23" s="2027"/>
    </row>
    <row r="24" spans="1:22" ht="18" customHeight="1">
      <c r="A24" s="2104"/>
      <c r="B24" s="183" t="s">
        <v>1818</v>
      </c>
      <c r="C24" s="2105"/>
      <c r="D24" s="2099" t="s">
        <v>1818</v>
      </c>
      <c r="E24" s="2106"/>
      <c r="F24" s="2098"/>
      <c r="G24" s="2040"/>
      <c r="H24" s="2040"/>
      <c r="I24" s="2040"/>
      <c r="J24" s="2040"/>
      <c r="K24" s="2103"/>
      <c r="L24" s="747"/>
      <c r="M24" s="2026"/>
      <c r="N24" s="2079"/>
      <c r="O24" s="2078"/>
      <c r="P24" s="2079"/>
      <c r="Q24" s="2027"/>
      <c r="R24" s="2027"/>
      <c r="S24" s="2027"/>
      <c r="T24" s="2027"/>
      <c r="U24" s="2027"/>
      <c r="V24" s="2027"/>
    </row>
    <row r="25" spans="1:22" ht="18" customHeight="1">
      <c r="A25" s="2104"/>
      <c r="B25" s="183" t="s">
        <v>1819</v>
      </c>
      <c r="C25" s="2105"/>
      <c r="D25" s="2099" t="s">
        <v>1819</v>
      </c>
      <c r="E25" s="2106"/>
      <c r="F25" s="2098"/>
      <c r="G25" s="2040"/>
      <c r="H25" s="2040"/>
      <c r="I25" s="2040"/>
      <c r="J25" s="2040"/>
      <c r="K25" s="2050"/>
      <c r="L25" s="2026"/>
      <c r="M25" s="2026"/>
      <c r="N25" s="2079"/>
      <c r="O25" s="2078"/>
      <c r="P25" s="2079"/>
      <c r="Q25" s="2027"/>
      <c r="R25" s="2027"/>
      <c r="S25" s="2027"/>
      <c r="T25" s="2027"/>
      <c r="U25" s="2027"/>
      <c r="V25" s="2027"/>
    </row>
    <row r="26" spans="1:22" ht="18" customHeight="1" thickBot="1">
      <c r="A26" s="2107"/>
      <c r="B26" s="2108" t="s">
        <v>1820</v>
      </c>
      <c r="C26" s="2109"/>
      <c r="D26" s="2110" t="s">
        <v>1821</v>
      </c>
      <c r="E26" s="2111"/>
      <c r="F26" s="2112"/>
      <c r="G26" s="2058"/>
      <c r="H26" s="2058"/>
      <c r="I26" s="2058"/>
      <c r="J26" s="2040"/>
      <c r="K26" s="2050"/>
      <c r="L26" s="2026"/>
      <c r="M26" s="2026"/>
      <c r="N26" s="2079"/>
      <c r="O26" s="2078"/>
      <c r="P26" s="2079"/>
      <c r="Q26" s="2027"/>
      <c r="R26" s="2027"/>
      <c r="S26" s="2027"/>
      <c r="T26" s="2027"/>
      <c r="U26" s="2027"/>
      <c r="V26" s="2027"/>
    </row>
    <row r="27" spans="1:22" ht="18" customHeight="1" thickTop="1">
      <c r="A27" s="3077" t="s">
        <v>1822</v>
      </c>
      <c r="B27" s="2059" t="s">
        <v>1823</v>
      </c>
      <c r="C27" s="2113" t="s">
        <v>3046</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7"/>
      <c r="B28" s="2033" t="s">
        <v>1824</v>
      </c>
      <c r="C28" s="2115" t="s">
        <v>3049</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77"/>
      <c r="B29" s="2033" t="s">
        <v>1825</v>
      </c>
      <c r="C29" s="2118" t="s">
        <v>3047</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78"/>
      <c r="B30" s="2033" t="s">
        <v>1826</v>
      </c>
      <c r="C30" s="3079" t="s">
        <v>3048</v>
      </c>
      <c r="D30" s="3080"/>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81" t="s">
        <v>1827</v>
      </c>
      <c r="B31" s="2120" t="s">
        <v>3050</v>
      </c>
      <c r="C31" s="2121" t="str">
        <f>IF(B31="现房","成新及维护状况正常否",IF(B31="在建","工程状态是否正常",IF(B31="土地","是否闲置","-")))</f>
        <v>工程状态是否正常</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82"/>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82"/>
      <c r="B33" s="2124"/>
      <c r="C33" s="2065"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1828</v>
      </c>
      <c r="B34" s="2935" t="s">
        <v>3051</v>
      </c>
      <c r="C34" s="2935" t="s">
        <v>3052</v>
      </c>
      <c r="D34" s="2935" t="s">
        <v>3053</v>
      </c>
      <c r="E34" s="2935" t="s">
        <v>3054</v>
      </c>
      <c r="F34" s="2935" t="s">
        <v>3055</v>
      </c>
      <c r="G34" s="2936" t="s">
        <v>3056</v>
      </c>
      <c r="H34" s="2127"/>
      <c r="I34" s="2040"/>
      <c r="J34" s="2040"/>
      <c r="K34" s="1793">
        <f>COUNTIF(B34:H34,"——")</f>
        <v>0</v>
      </c>
      <c r="L34" s="2070" t="s">
        <v>1829</v>
      </c>
      <c r="M34" s="2070" t="s">
        <v>1830</v>
      </c>
      <c r="N34" s="2070" t="s">
        <v>1831</v>
      </c>
      <c r="O34" s="2070" t="s">
        <v>1832</v>
      </c>
      <c r="P34" s="2070" t="s">
        <v>1833</v>
      </c>
      <c r="Q34" s="2070" t="s">
        <v>1834</v>
      </c>
      <c r="R34" s="2070" t="s">
        <v>1835</v>
      </c>
      <c r="S34" s="3076" t="s">
        <v>1836</v>
      </c>
      <c r="T34" s="2128" t="str">
        <f>NUMBERSTRING(7-K34,1)&amp;"通"</f>
        <v>七通</v>
      </c>
      <c r="U34" s="2027"/>
      <c r="V34" s="2027"/>
    </row>
    <row r="35" spans="1:22" ht="18" customHeight="1">
      <c r="A35" s="2129"/>
      <c r="B35" s="3083" t="s">
        <v>1837</v>
      </c>
      <c r="C35" s="3083"/>
      <c r="D35" s="3083"/>
      <c r="E35" s="3083"/>
      <c r="F35" s="2130">
        <f>C10</f>
        <v>0</v>
      </c>
      <c r="G35" s="2040"/>
      <c r="H35" s="2040"/>
      <c r="I35" s="2040"/>
      <c r="J35" s="2040"/>
      <c r="K35" s="2070"/>
      <c r="L35" s="2070"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76"/>
      <c r="T35" s="48" t="str">
        <f>IF(T34="一通",L35,IF(T34="二通",M35,IF(T34="三通",N35,IF(T34="四通",O35,IF(T34="五通",P35,IF(T34="六通",Q35,R35))))))</f>
        <v>通路、通电、通上水、通下水、通讯、燃气、</v>
      </c>
      <c r="U35" s="2027"/>
      <c r="V35" s="2027"/>
    </row>
    <row r="36" spans="1:22" ht="18" customHeight="1">
      <c r="A36" s="2131"/>
      <c r="B36" s="2130" t="s">
        <v>1838</v>
      </c>
      <c r="C36" s="2130" t="s">
        <v>1839</v>
      </c>
      <c r="D36" s="2130" t="s">
        <v>1840</v>
      </c>
      <c r="E36" s="2130" t="s">
        <v>1841</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1842</v>
      </c>
      <c r="B37" s="2937" t="s">
        <v>528</v>
      </c>
      <c r="C37" s="2937" t="s">
        <v>528</v>
      </c>
      <c r="D37" s="2937" t="s">
        <v>528</v>
      </c>
      <c r="E37" s="2937" t="s">
        <v>528</v>
      </c>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4" t="s">
        <v>1843</v>
      </c>
      <c r="B38" s="2937" t="s">
        <v>3057</v>
      </c>
      <c r="C38" s="2937" t="s">
        <v>3057</v>
      </c>
      <c r="D38" s="2937" t="s">
        <v>3057</v>
      </c>
      <c r="E38" s="2938" t="s">
        <v>3057</v>
      </c>
      <c r="F38" s="2135"/>
      <c r="G38" s="2058"/>
      <c r="H38" s="2058"/>
      <c r="I38" s="2058"/>
      <c r="J38" s="2040"/>
      <c r="K38" s="2050"/>
      <c r="L38" s="2026"/>
      <c r="M38" s="2026"/>
      <c r="N38" s="2027"/>
      <c r="O38" s="2028"/>
      <c r="P38" s="2027"/>
      <c r="Q38" s="2027"/>
      <c r="R38" s="2027"/>
      <c r="S38" s="2027"/>
      <c r="T38" s="2027"/>
      <c r="U38" s="2027"/>
      <c r="V38" s="2027"/>
    </row>
    <row r="39" spans="1:22" s="2140" customFormat="1" ht="18" customHeight="1" thickTop="1" thickBot="1">
      <c r="A39" s="2136" t="s">
        <v>1844</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7"/>
      <c r="B40" s="2027"/>
      <c r="C40" s="2027"/>
      <c r="D40" s="2027"/>
      <c r="E40" s="2027"/>
      <c r="F40" s="2027"/>
      <c r="G40" s="2027"/>
      <c r="H40" s="2027"/>
      <c r="I40" s="2141"/>
      <c r="J40" s="2079"/>
      <c r="K40" s="665"/>
      <c r="L40" s="2078"/>
      <c r="M40" s="2078"/>
      <c r="N40" s="2079"/>
      <c r="O40" s="2078"/>
      <c r="P40" s="2027"/>
      <c r="Q40" s="2027"/>
      <c r="R40" s="2027"/>
      <c r="S40" s="2027"/>
      <c r="T40" s="2027"/>
      <c r="U40" s="2027"/>
      <c r="V40" s="2027"/>
    </row>
    <row r="41" spans="1:22" ht="18" customHeight="1">
      <c r="A41" s="8" t="s">
        <v>1845</v>
      </c>
      <c r="B41" s="2142"/>
      <c r="C41" s="2143"/>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70" t="s">
        <v>1846</v>
      </c>
      <c r="B42" s="1793" t="s">
        <v>1847</v>
      </c>
      <c r="C42" s="1793" t="s">
        <v>1848</v>
      </c>
      <c r="D42" s="1793" t="s">
        <v>1849</v>
      </c>
      <c r="E42" s="1793" t="s">
        <v>1850</v>
      </c>
      <c r="F42" s="1793" t="s">
        <v>1851</v>
      </c>
      <c r="G42" s="1793" t="s">
        <v>1852</v>
      </c>
      <c r="H42" s="1793" t="s">
        <v>1853</v>
      </c>
      <c r="I42" s="1793" t="s">
        <v>1854</v>
      </c>
      <c r="J42" s="2144" t="s">
        <v>1855</v>
      </c>
      <c r="K42" s="2071" t="s">
        <v>1856</v>
      </c>
      <c r="L42" s="2071" t="s">
        <v>1857</v>
      </c>
      <c r="M42" s="2071" t="s">
        <v>1858</v>
      </c>
      <c r="N42" s="1793" t="s">
        <v>1859</v>
      </c>
      <c r="O42" s="1793" t="s">
        <v>1860</v>
      </c>
      <c r="P42" s="1793" t="s">
        <v>1861</v>
      </c>
      <c r="Q42" s="2070" t="s">
        <v>1862</v>
      </c>
      <c r="R42" s="2070" t="s">
        <v>1863</v>
      </c>
      <c r="S42" s="2027"/>
      <c r="T42" s="2027"/>
      <c r="U42" s="2027"/>
      <c r="V42" s="2027"/>
    </row>
    <row r="43" spans="1:22" s="2149" customFormat="1" ht="18" customHeight="1">
      <c r="A43" s="2145"/>
      <c r="B43" s="1270"/>
      <c r="C43" s="1270"/>
      <c r="D43" s="1270"/>
      <c r="E43" s="1270"/>
      <c r="F43" s="1270"/>
      <c r="G43" s="1270"/>
      <c r="H43" s="9"/>
      <c r="I43" s="9"/>
      <c r="J43" s="2146"/>
      <c r="K43" s="2147"/>
      <c r="L43" s="2147"/>
      <c r="M43" s="9"/>
      <c r="N43" s="1270"/>
      <c r="O43" s="9"/>
      <c r="P43" s="1270"/>
      <c r="Q43" s="1270"/>
      <c r="R43" s="1270"/>
      <c r="S43" s="2148"/>
      <c r="T43" s="2148"/>
      <c r="U43" s="2148"/>
      <c r="V43" s="2148"/>
    </row>
    <row r="44" spans="1:22" s="2149" customFormat="1" ht="18" customHeight="1">
      <c r="A44" s="2145"/>
      <c r="B44" s="2145"/>
      <c r="C44" s="1270"/>
      <c r="D44" s="1270"/>
      <c r="E44" s="1270"/>
      <c r="F44" s="1270"/>
      <c r="G44" s="1270"/>
      <c r="H44" s="9"/>
      <c r="I44" s="9"/>
      <c r="J44" s="2146"/>
      <c r="K44" s="2147"/>
      <c r="L44" s="2147"/>
      <c r="M44" s="9"/>
      <c r="N44" s="1270"/>
      <c r="O44" s="9"/>
      <c r="P44" s="1270"/>
      <c r="Q44" s="1270"/>
      <c r="R44" s="1270"/>
      <c r="S44" s="2148"/>
      <c r="T44" s="2148"/>
      <c r="U44" s="2148"/>
      <c r="V44" s="2148"/>
    </row>
    <row r="45" spans="1:22" s="2149" customFormat="1" ht="18" customHeight="1">
      <c r="A45" s="2145"/>
      <c r="B45" s="2145"/>
      <c r="C45" s="1270"/>
      <c r="D45" s="1270"/>
      <c r="E45" s="1270"/>
      <c r="F45" s="1270"/>
      <c r="G45" s="1270"/>
      <c r="H45" s="9"/>
      <c r="I45" s="9"/>
      <c r="J45" s="2146"/>
      <c r="K45" s="2147"/>
      <c r="L45" s="2147"/>
      <c r="M45" s="9"/>
      <c r="N45" s="1270"/>
      <c r="O45" s="9"/>
      <c r="P45" s="1270"/>
      <c r="Q45" s="1270"/>
      <c r="R45" s="1270"/>
      <c r="S45" s="2148"/>
      <c r="T45" s="2148"/>
      <c r="U45" s="2148"/>
      <c r="V45" s="2148"/>
    </row>
    <row r="46" spans="1:22" s="2149" customFormat="1" ht="18" customHeight="1">
      <c r="A46" s="2145"/>
      <c r="B46" s="2145"/>
      <c r="C46" s="1270"/>
      <c r="D46" s="1270"/>
      <c r="E46" s="1270"/>
      <c r="F46" s="1270"/>
      <c r="G46" s="1270"/>
      <c r="H46" s="9"/>
      <c r="I46" s="9"/>
      <c r="J46" s="2146"/>
      <c r="K46" s="2147"/>
      <c r="L46" s="2147"/>
      <c r="M46" s="9"/>
      <c r="N46" s="1270"/>
      <c r="O46" s="9"/>
      <c r="P46" s="1270"/>
      <c r="Q46" s="1270"/>
      <c r="R46" s="1270"/>
      <c r="S46" s="2148"/>
      <c r="T46" s="2148"/>
      <c r="U46" s="2148"/>
      <c r="V46" s="2148"/>
    </row>
    <row r="47" spans="1:22" s="2149" customFormat="1" ht="18" customHeight="1">
      <c r="A47" s="2145"/>
      <c r="B47" s="2145"/>
      <c r="C47" s="1270"/>
      <c r="D47" s="1270"/>
      <c r="E47" s="1270"/>
      <c r="F47" s="1270"/>
      <c r="G47" s="1270"/>
      <c r="H47" s="9"/>
      <c r="I47" s="9"/>
      <c r="J47" s="2146"/>
      <c r="K47" s="2147"/>
      <c r="L47" s="2147"/>
      <c r="M47" s="9"/>
      <c r="N47" s="1270"/>
      <c r="O47" s="9"/>
      <c r="P47" s="1270"/>
      <c r="Q47" s="1270"/>
      <c r="R47" s="1270"/>
      <c r="S47" s="2148"/>
      <c r="T47" s="2148"/>
      <c r="U47" s="2148"/>
      <c r="V47" s="2148"/>
    </row>
    <row r="48" spans="1:22" s="2149" customFormat="1" ht="18" customHeight="1">
      <c r="A48" s="2145"/>
      <c r="B48" s="2145"/>
      <c r="C48" s="1270"/>
      <c r="D48" s="1270"/>
      <c r="E48" s="1270"/>
      <c r="F48" s="1270"/>
      <c r="G48" s="1270"/>
      <c r="H48" s="9"/>
      <c r="I48" s="9"/>
      <c r="J48" s="2146"/>
      <c r="K48" s="2147"/>
      <c r="L48" s="2147"/>
      <c r="M48" s="9"/>
      <c r="N48" s="1270"/>
      <c r="O48" s="9"/>
      <c r="P48" s="1270"/>
      <c r="Q48" s="1270"/>
      <c r="R48" s="1270"/>
      <c r="S48" s="2148"/>
      <c r="T48" s="2148"/>
      <c r="U48" s="2148"/>
      <c r="V48" s="2148"/>
    </row>
    <row r="49" spans="1:22" s="2149" customFormat="1" ht="18" customHeight="1">
      <c r="A49" s="2145"/>
      <c r="B49" s="2145"/>
      <c r="C49" s="1270"/>
      <c r="D49" s="1270"/>
      <c r="E49" s="1270"/>
      <c r="F49" s="1270"/>
      <c r="G49" s="1270"/>
      <c r="H49" s="9"/>
      <c r="I49" s="9"/>
      <c r="J49" s="2146"/>
      <c r="K49" s="2147"/>
      <c r="L49" s="2147"/>
      <c r="M49" s="9"/>
      <c r="N49" s="1270"/>
      <c r="O49" s="9"/>
      <c r="P49" s="1270"/>
      <c r="Q49" s="1270"/>
      <c r="R49" s="1270"/>
      <c r="S49" s="2148"/>
      <c r="T49" s="2148"/>
      <c r="U49" s="2148"/>
      <c r="V49" s="2148"/>
    </row>
    <row r="50" spans="1:22" s="2149" customFormat="1" ht="18" customHeight="1">
      <c r="A50" s="2145"/>
      <c r="B50" s="2145"/>
      <c r="C50" s="1270"/>
      <c r="D50" s="1270"/>
      <c r="E50" s="1270"/>
      <c r="F50" s="1270"/>
      <c r="G50" s="1270"/>
      <c r="H50" s="9"/>
      <c r="I50" s="9"/>
      <c r="J50" s="2146"/>
      <c r="K50" s="2147"/>
      <c r="L50" s="2147"/>
      <c r="M50" s="9"/>
      <c r="N50" s="1270"/>
      <c r="O50" s="9"/>
      <c r="P50" s="1270"/>
      <c r="Q50" s="1270"/>
      <c r="R50" s="1270"/>
      <c r="S50" s="2148"/>
      <c r="T50" s="2148"/>
      <c r="U50" s="2148"/>
      <c r="V50" s="2148"/>
    </row>
    <row r="51" spans="1:22" s="2149" customFormat="1" ht="18" customHeight="1">
      <c r="A51" s="2145"/>
      <c r="B51" s="2145"/>
      <c r="C51" s="1270"/>
      <c r="D51" s="1270"/>
      <c r="E51" s="1270"/>
      <c r="F51" s="1270"/>
      <c r="G51" s="1270"/>
      <c r="H51" s="9"/>
      <c r="I51" s="9"/>
      <c r="J51" s="2146"/>
      <c r="K51" s="2147"/>
      <c r="L51" s="2147"/>
      <c r="M51" s="9"/>
      <c r="N51" s="1270"/>
      <c r="O51" s="9"/>
      <c r="P51" s="1270"/>
      <c r="Q51" s="1270"/>
      <c r="R51" s="1270"/>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2"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5"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59" customFormat="1" ht="24">
      <c r="A2" s="11" t="s">
        <v>1866</v>
      </c>
      <c r="B2" s="11" t="s">
        <v>1867</v>
      </c>
      <c r="C2" s="11" t="s">
        <v>1868</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7" t="s">
        <v>1869</v>
      </c>
      <c r="AZ2" s="1268" t="s">
        <v>1870</v>
      </c>
      <c r="BA2" s="11" t="s">
        <v>1871</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32834.559999999998</v>
      </c>
      <c r="B3" s="14">
        <f>IF(C3="否",G5-AT5,G5)</f>
        <v>31964.659999999996</v>
      </c>
      <c r="C3" s="2987" t="s">
        <v>3245</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9">
        <f>ROUND('数据-汇总表'!E3/A15*A3,2)</f>
        <v>7892.1</v>
      </c>
      <c r="AZ3" s="1270"/>
      <c r="BA3" s="1271"/>
      <c r="BB3" s="2156"/>
      <c r="BC3" s="2156"/>
      <c r="BD3" s="2156"/>
      <c r="BE3" s="2156"/>
      <c r="BF3" s="2156"/>
      <c r="BG3" s="2156"/>
      <c r="BH3" s="2156"/>
      <c r="BI3" s="2156"/>
      <c r="BJ3" s="2156"/>
      <c r="BK3" s="2156"/>
      <c r="BL3" s="2156"/>
      <c r="BM3" s="2156"/>
      <c r="BN3" s="2156"/>
      <c r="BO3" s="2156"/>
      <c r="BP3" s="2156"/>
      <c r="BQ3" s="2156"/>
      <c r="BR3" s="2156"/>
      <c r="BS3" s="2156"/>
      <c r="BT3" s="2156"/>
    </row>
    <row r="4" spans="1:72" s="2164" customFormat="1" ht="13.5" thickBot="1">
      <c r="A4" s="2160"/>
      <c r="B4" s="2161"/>
      <c r="C4" s="2162"/>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3"/>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1872</v>
      </c>
      <c r="B5" s="1801"/>
      <c r="C5" s="1801"/>
      <c r="D5" s="1804"/>
      <c r="E5" s="16" t="s">
        <v>1</v>
      </c>
      <c r="F5" s="16">
        <f>SUM(F13:F587)</f>
        <v>0</v>
      </c>
      <c r="G5" s="16">
        <f>SUM(G13:G587)</f>
        <v>31964.659999999996</v>
      </c>
      <c r="H5" s="16">
        <f t="shared" ref="H5:AT5" si="0">SUM(H13:H656)</f>
        <v>31749.659999999996</v>
      </c>
      <c r="I5" s="16">
        <f t="shared" si="0"/>
        <v>0</v>
      </c>
      <c r="J5" s="16">
        <f t="shared" si="0"/>
        <v>0</v>
      </c>
      <c r="K5" s="16">
        <f t="shared" si="0"/>
        <v>31749.659999999996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203</v>
      </c>
      <c r="AM5" s="16">
        <f t="shared" si="0"/>
        <v>0</v>
      </c>
      <c r="AN5" s="16">
        <f t="shared" si="0"/>
        <v>0</v>
      </c>
      <c r="AO5" s="16">
        <f t="shared" si="0"/>
        <v>0</v>
      </c>
      <c r="AP5" s="16">
        <f t="shared" si="0"/>
        <v>0</v>
      </c>
      <c r="AQ5" s="16">
        <f t="shared" si="0"/>
        <v>0</v>
      </c>
      <c r="AR5" s="16">
        <f t="shared" si="0"/>
        <v>0</v>
      </c>
      <c r="AS5" s="16">
        <f t="shared" si="0"/>
        <v>0</v>
      </c>
      <c r="AT5" s="16">
        <f t="shared" si="0"/>
        <v>12</v>
      </c>
      <c r="AU5" s="1800"/>
      <c r="AV5" s="15" t="s">
        <v>1872</v>
      </c>
      <c r="AW5" s="1801"/>
      <c r="AX5" s="1801"/>
      <c r="AY5" s="17" t="s">
        <v>3</v>
      </c>
      <c r="AZ5" s="18">
        <f t="shared" ref="AZ5:BT5" si="1">SUM(AZ13:AZ656)</f>
        <v>31952.659999999996</v>
      </c>
      <c r="BA5" s="18">
        <f t="shared" si="1"/>
        <v>31749.659999999996</v>
      </c>
      <c r="BB5" s="18">
        <f t="shared" si="1"/>
        <v>0</v>
      </c>
      <c r="BC5" s="18">
        <f t="shared" si="1"/>
        <v>31749.659999999996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203</v>
      </c>
      <c r="BM5" s="18">
        <f t="shared" si="1"/>
        <v>0</v>
      </c>
      <c r="BN5" s="18">
        <f t="shared" si="1"/>
        <v>0</v>
      </c>
      <c r="BO5" s="18">
        <f t="shared" si="1"/>
        <v>0</v>
      </c>
      <c r="BP5" s="18">
        <f t="shared" si="1"/>
        <v>0</v>
      </c>
      <c r="BQ5" s="18">
        <f t="shared" si="1"/>
        <v>203</v>
      </c>
      <c r="BR5" s="18">
        <f t="shared" si="1"/>
        <v>0</v>
      </c>
      <c r="BS5" s="18">
        <f t="shared" si="1"/>
        <v>0</v>
      </c>
      <c r="BT5" s="19">
        <f t="shared" si="1"/>
        <v>0</v>
      </c>
    </row>
    <row r="6" spans="1:72" s="2168" customFormat="1" ht="12.75">
      <c r="A6" s="15" t="s">
        <v>1873</v>
      </c>
      <c r="B6" s="2165"/>
      <c r="C6" s="2165"/>
      <c r="D6" s="2166"/>
      <c r="E6" s="16">
        <f>H6+AC6+AT6</f>
        <v>32834.559999999998</v>
      </c>
      <c r="F6" s="16" t="s">
        <v>1</v>
      </c>
      <c r="G6" s="16" t="s">
        <v>2</v>
      </c>
      <c r="H6" s="20">
        <f>SUMIF(I$12:AB$12,"总值",I6:AB6)</f>
        <v>32613.71</v>
      </c>
      <c r="I6" s="16">
        <f t="shared" ref="I6:AB6" si="2">ROUND($A$3*I5/$B$3,2)</f>
        <v>0</v>
      </c>
      <c r="J6" s="16">
        <f t="shared" si="2"/>
        <v>0</v>
      </c>
      <c r="K6" s="16">
        <f t="shared" si="2"/>
        <v>32613.71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208.52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208.52</v>
      </c>
      <c r="AM6" s="16">
        <f t="shared" si="3"/>
        <v>0</v>
      </c>
      <c r="AN6" s="16">
        <f t="shared" si="3"/>
        <v>0</v>
      </c>
      <c r="AO6" s="16">
        <f t="shared" si="3"/>
        <v>0</v>
      </c>
      <c r="AP6" s="16">
        <f t="shared" si="3"/>
        <v>0</v>
      </c>
      <c r="AQ6" s="16">
        <f t="shared" si="3"/>
        <v>0</v>
      </c>
      <c r="AR6" s="16">
        <f t="shared" si="3"/>
        <v>0</v>
      </c>
      <c r="AS6" s="16">
        <f t="shared" si="3"/>
        <v>0</v>
      </c>
      <c r="AT6" s="20">
        <f>IF(C3="是",ROUND($A$3*AT5/$B$3,2),0)</f>
        <v>12.33</v>
      </c>
      <c r="AU6" s="2167"/>
      <c r="AV6" s="15" t="s">
        <v>1873</v>
      </c>
      <c r="AW6" s="2165"/>
      <c r="AX6" s="2165"/>
      <c r="AY6" s="21">
        <f>IF(AY3&gt;0,AY3,ROUND($A$3*AZ5/$B$3,2))</f>
        <v>7892.1</v>
      </c>
      <c r="AZ6" s="16" t="s">
        <v>3</v>
      </c>
      <c r="BA6" s="16">
        <f>ROUND($AY$6*BA5/$AZ$5,2)</f>
        <v>7841.96</v>
      </c>
      <c r="BB6" s="16">
        <f>ROUND($AY$6*BB5/$AZ$5,2)</f>
        <v>0</v>
      </c>
      <c r="BC6" s="16">
        <f t="shared" ref="BC6:BH6" si="4">ROUND($AY$6*BC5/$AZ$5,2)</f>
        <v>7841.96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50.14</v>
      </c>
      <c r="BM6" s="16">
        <f t="shared" si="5"/>
        <v>0</v>
      </c>
      <c r="BN6" s="16">
        <f t="shared" si="5"/>
        <v>0</v>
      </c>
      <c r="BO6" s="16">
        <f t="shared" si="5"/>
        <v>0</v>
      </c>
      <c r="BP6" s="16">
        <f t="shared" si="5"/>
        <v>0</v>
      </c>
      <c r="BQ6" s="16">
        <f t="shared" si="5"/>
        <v>50.14</v>
      </c>
      <c r="BR6" s="16">
        <f t="shared" si="5"/>
        <v>0</v>
      </c>
      <c r="BS6" s="16">
        <f t="shared" si="5"/>
        <v>0</v>
      </c>
      <c r="BT6" s="22">
        <f t="shared" si="5"/>
        <v>0</v>
      </c>
    </row>
    <row r="7" spans="1:72" s="2159" customFormat="1" ht="24.75">
      <c r="A7" s="2103" t="s">
        <v>1874</v>
      </c>
      <c r="B7" s="2103" t="s">
        <v>1875</v>
      </c>
      <c r="C7" s="2103" t="s">
        <v>1876</v>
      </c>
      <c r="D7" s="2103" t="s">
        <v>1877</v>
      </c>
      <c r="E7" s="2103" t="s">
        <v>1878</v>
      </c>
      <c r="F7" s="2103" t="s">
        <v>1879</v>
      </c>
      <c r="G7" s="2169" t="s">
        <v>1880</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4"/>
      <c r="AU7" s="2170" t="s">
        <v>1881</v>
      </c>
      <c r="AV7" s="23" t="s">
        <v>1882</v>
      </c>
      <c r="AW7" s="2158" t="s">
        <v>1883</v>
      </c>
      <c r="AX7" s="23" t="s">
        <v>1876</v>
      </c>
      <c r="AY7" s="1801" t="s">
        <v>1884</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1885</v>
      </c>
      <c r="H8" s="2175" t="s">
        <v>1886</v>
      </c>
      <c r="I8" s="2176"/>
      <c r="J8" s="1816"/>
      <c r="K8" s="1816"/>
      <c r="L8" s="1816"/>
      <c r="M8" s="1816"/>
      <c r="N8" s="1816"/>
      <c r="O8" s="1816"/>
      <c r="P8" s="1816"/>
      <c r="Q8" s="1816"/>
      <c r="R8" s="1816"/>
      <c r="S8" s="1816"/>
      <c r="T8" s="1816"/>
      <c r="U8" s="1816"/>
      <c r="V8" s="2177"/>
      <c r="W8" s="1816"/>
      <c r="X8" s="1816"/>
      <c r="Y8" s="1816"/>
      <c r="Z8" s="1816"/>
      <c r="AA8" s="2177"/>
      <c r="AB8" s="2178"/>
      <c r="AC8" s="979" t="s">
        <v>1887</v>
      </c>
      <c r="AD8" s="2179"/>
      <c r="AE8" s="2171"/>
      <c r="AF8" s="1816"/>
      <c r="AG8" s="1816"/>
      <c r="AH8" s="1816"/>
      <c r="AI8" s="1816"/>
      <c r="AJ8" s="1816"/>
      <c r="AK8" s="1816"/>
      <c r="AL8" s="1816"/>
      <c r="AM8" s="1816"/>
      <c r="AN8" s="1816"/>
      <c r="AO8" s="1816"/>
      <c r="AP8" s="1816"/>
      <c r="AQ8" s="1816"/>
      <c r="AR8" s="1816"/>
      <c r="AS8" s="1816"/>
      <c r="AT8" s="1290" t="s">
        <v>1888</v>
      </c>
      <c r="AU8" s="2173" t="s">
        <v>1889</v>
      </c>
      <c r="AV8" s="1290"/>
      <c r="AW8" s="2157"/>
      <c r="AX8" s="1290"/>
      <c r="AY8" s="2158"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0" customFormat="1" ht="12.75">
      <c r="A9" s="2173"/>
      <c r="B9" s="2173"/>
      <c r="C9" s="2173"/>
      <c r="D9" s="2173"/>
      <c r="E9" s="2173"/>
      <c r="F9" s="2173"/>
      <c r="G9" s="1290"/>
      <c r="H9" s="2181" t="s">
        <v>1892</v>
      </c>
      <c r="I9" s="2941" t="s">
        <v>3058</v>
      </c>
      <c r="J9" s="979"/>
      <c r="K9" s="2941" t="s">
        <v>3058</v>
      </c>
      <c r="L9" s="979"/>
      <c r="M9" s="2941" t="s">
        <v>3061</v>
      </c>
      <c r="N9" s="979"/>
      <c r="O9" s="2941" t="s">
        <v>3061</v>
      </c>
      <c r="P9" s="979"/>
      <c r="Q9" s="2182"/>
      <c r="R9" s="979"/>
      <c r="S9" s="2182"/>
      <c r="T9" s="979"/>
      <c r="U9" s="2182"/>
      <c r="V9" s="979"/>
      <c r="W9" s="2182"/>
      <c r="X9" s="2183"/>
      <c r="Y9" s="2182"/>
      <c r="Z9" s="979"/>
      <c r="AA9" s="2182"/>
      <c r="AB9" s="979"/>
      <c r="AC9" s="2174"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4"/>
      <c r="AT9" s="2173"/>
      <c r="AU9" s="2173" t="s">
        <v>1895</v>
      </c>
      <c r="AV9" s="1290"/>
      <c r="AW9" s="2157"/>
      <c r="AX9" s="1290"/>
      <c r="AY9" s="28"/>
      <c r="AZ9" s="28" t="s">
        <v>1885</v>
      </c>
      <c r="BA9" s="2185" t="s">
        <v>1896</v>
      </c>
      <c r="BB9" s="2186"/>
      <c r="BC9" s="1336"/>
      <c r="BD9" s="1336"/>
      <c r="BE9" s="1336"/>
      <c r="BF9" s="1336"/>
      <c r="BG9" s="1336"/>
      <c r="BH9" s="1336"/>
      <c r="BI9" s="1336"/>
      <c r="BJ9" s="1336"/>
      <c r="BK9" s="2187"/>
      <c r="BL9" s="15" t="s">
        <v>1897</v>
      </c>
      <c r="BM9" s="1816"/>
      <c r="BN9" s="2176"/>
      <c r="BO9" s="1816"/>
      <c r="BP9" s="1816"/>
      <c r="BQ9" s="1816"/>
      <c r="BR9" s="1816"/>
      <c r="BS9" s="1816"/>
      <c r="BT9" s="26"/>
    </row>
    <row r="10" spans="1:72" s="2180" customFormat="1" ht="12.75">
      <c r="A10" s="2173"/>
      <c r="B10" s="2173"/>
      <c r="C10" s="2173"/>
      <c r="D10" s="2173"/>
      <c r="E10" s="2173"/>
      <c r="F10" s="2173"/>
      <c r="G10" s="1290"/>
      <c r="H10" s="28"/>
      <c r="I10" s="2941" t="s">
        <v>3059</v>
      </c>
      <c r="J10" s="979"/>
      <c r="K10" s="2943" t="s">
        <v>3059</v>
      </c>
      <c r="L10" s="979"/>
      <c r="M10" s="2943" t="s">
        <v>3062</v>
      </c>
      <c r="N10" s="979"/>
      <c r="O10" s="2943" t="s">
        <v>3226</v>
      </c>
      <c r="P10" s="979"/>
      <c r="Q10" s="2188"/>
      <c r="R10" s="979"/>
      <c r="S10" s="2188"/>
      <c r="T10" s="979"/>
      <c r="U10" s="2188"/>
      <c r="V10" s="979"/>
      <c r="W10" s="2188"/>
      <c r="X10" s="979"/>
      <c r="Y10" s="2188"/>
      <c r="Z10" s="979"/>
      <c r="AA10" s="2188"/>
      <c r="AB10" s="979"/>
      <c r="AC10" s="1290"/>
      <c r="AD10" s="15" t="s">
        <v>1898</v>
      </c>
      <c r="AE10" s="2189"/>
      <c r="AF10" s="15" t="s">
        <v>1898</v>
      </c>
      <c r="AG10" s="2189"/>
      <c r="AH10" s="15" t="s">
        <v>1899</v>
      </c>
      <c r="AI10" s="2189"/>
      <c r="AJ10" s="15" t="s">
        <v>1899</v>
      </c>
      <c r="AK10" s="2189"/>
      <c r="AL10" s="15" t="s">
        <v>1900</v>
      </c>
      <c r="AM10" s="1296"/>
      <c r="AN10" s="15" t="s">
        <v>1900</v>
      </c>
      <c r="AO10" s="1296"/>
      <c r="AP10" s="15" t="s">
        <v>1901</v>
      </c>
      <c r="AQ10" s="1296"/>
      <c r="AR10" s="15" t="s">
        <v>1901</v>
      </c>
      <c r="AS10" s="1296"/>
      <c r="AT10" s="2173"/>
      <c r="AU10" s="2173"/>
      <c r="AV10" s="1290"/>
      <c r="AW10" s="2157"/>
      <c r="AX10" s="1290"/>
      <c r="AY10" s="28"/>
      <c r="AZ10" s="28"/>
      <c r="BA10" s="2190" t="s">
        <v>1892</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2" t="str">
        <f>AR9</f>
        <v>地下</v>
      </c>
    </row>
    <row r="11" spans="1:72" s="2180" customFormat="1" ht="12.75">
      <c r="A11" s="2173"/>
      <c r="B11" s="2173"/>
      <c r="C11" s="2173"/>
      <c r="D11" s="2173"/>
      <c r="E11" s="2173"/>
      <c r="F11" s="2173"/>
      <c r="G11" s="1290"/>
      <c r="H11" s="2190"/>
      <c r="I11" s="2942" t="s">
        <v>36</v>
      </c>
      <c r="J11" s="2194"/>
      <c r="K11" s="2942" t="s">
        <v>3060</v>
      </c>
      <c r="L11" s="2194"/>
      <c r="M11" s="2942" t="s">
        <v>3062</v>
      </c>
      <c r="N11" s="2194"/>
      <c r="O11" s="2942" t="s">
        <v>3227</v>
      </c>
      <c r="P11" s="2194"/>
      <c r="Q11" s="2193"/>
      <c r="R11" s="2194"/>
      <c r="S11" s="2193"/>
      <c r="T11" s="2194"/>
      <c r="U11" s="2193"/>
      <c r="V11" s="2194"/>
      <c r="W11" s="2193"/>
      <c r="X11" s="2194"/>
      <c r="Y11" s="2193"/>
      <c r="Z11" s="2194"/>
      <c r="AA11" s="2193"/>
      <c r="AB11" s="2194"/>
      <c r="AC11" s="1290"/>
      <c r="AD11" s="2195" t="s">
        <v>1902</v>
      </c>
      <c r="AE11" s="1817"/>
      <c r="AF11" s="2195" t="s">
        <v>1902</v>
      </c>
      <c r="AG11" s="1817"/>
      <c r="AH11" s="2195" t="s">
        <v>1903</v>
      </c>
      <c r="AI11" s="2196"/>
      <c r="AJ11" s="2195" t="s">
        <v>1903</v>
      </c>
      <c r="AK11" s="1817"/>
      <c r="AL11" s="1815"/>
      <c r="AM11" s="1817"/>
      <c r="AN11" s="1815"/>
      <c r="AO11" s="1817"/>
      <c r="AP11" s="1815"/>
      <c r="AQ11" s="1817"/>
      <c r="AR11" s="1815"/>
      <c r="AS11" s="1817"/>
      <c r="AT11" s="2157"/>
      <c r="AU11" s="2173"/>
      <c r="AV11" s="1290"/>
      <c r="AW11" s="2157"/>
      <c r="AX11" s="1290"/>
      <c r="AY11" s="28"/>
      <c r="AZ11" s="28"/>
      <c r="BA11" s="28"/>
      <c r="BB11" s="2178" t="str">
        <f>I10</f>
        <v>住宅</v>
      </c>
      <c r="BC11" s="2178" t="str">
        <f>K10</f>
        <v>住宅</v>
      </c>
      <c r="BD11" s="2178" t="str">
        <f>M10</f>
        <v>车库</v>
      </c>
      <c r="BE11" s="2178" t="str">
        <f>O10</f>
        <v>仓储</v>
      </c>
      <c r="BF11" s="2178">
        <f>Q10</f>
        <v>0</v>
      </c>
      <c r="BG11" s="2178">
        <f>S10</f>
        <v>0</v>
      </c>
      <c r="BH11" s="2178">
        <f>U10</f>
        <v>0</v>
      </c>
      <c r="BI11" s="2178">
        <f>W10</f>
        <v>0</v>
      </c>
      <c r="BJ11" s="2178">
        <f>Y10</f>
        <v>0</v>
      </c>
      <c r="BK11" s="2178">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9" customFormat="1" ht="12.75">
      <c r="A12" s="2198"/>
      <c r="B12" s="2198"/>
      <c r="C12" s="2198"/>
      <c r="D12" s="2198"/>
      <c r="E12" s="2198"/>
      <c r="F12" s="2198"/>
      <c r="G12" s="30"/>
      <c r="H12" s="2199"/>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0"/>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8" t="s">
        <v>1905</v>
      </c>
      <c r="AT12" s="2201"/>
      <c r="AU12" s="2198"/>
      <c r="AV12" s="31"/>
      <c r="AW12" s="2158"/>
      <c r="AX12" s="31"/>
      <c r="AY12" s="2202"/>
      <c r="AZ12" s="28"/>
      <c r="BA12" s="2190"/>
      <c r="BB12" s="24" t="str">
        <f>I11</f>
        <v>自住商品房</v>
      </c>
      <c r="BC12" s="2203" t="str">
        <f>K11</f>
        <v>平层住宅</v>
      </c>
      <c r="BD12" s="2203" t="str">
        <f>M11</f>
        <v>车库</v>
      </c>
      <c r="BE12" s="2178" t="str">
        <f>O11</f>
        <v>戊类库房</v>
      </c>
      <c r="BF12" s="2178">
        <f>Q11</f>
        <v>0</v>
      </c>
      <c r="BG12" s="2178">
        <f>S11</f>
        <v>0</v>
      </c>
      <c r="BH12" s="2178">
        <f>U11</f>
        <v>0</v>
      </c>
      <c r="BI12" s="2178">
        <f>W11</f>
        <v>0</v>
      </c>
      <c r="BJ12" s="2178">
        <f>Y11</f>
        <v>0</v>
      </c>
      <c r="BK12" s="2178">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7">
        <f>AR11</f>
        <v>0</v>
      </c>
    </row>
    <row r="13" spans="1:72" s="2159" customFormat="1" ht="12.75">
      <c r="A13" s="1270"/>
      <c r="B13" s="1270"/>
      <c r="C13" s="2973" t="s">
        <v>3218</v>
      </c>
      <c r="D13" s="2939" t="s">
        <v>3045</v>
      </c>
      <c r="E13" s="16">
        <f>IF($C$3="是",ROUND($A$3*G13/$B$3,2),ROUND($A$3*(G13-AT13)/$B$3,2))</f>
        <v>9151.08</v>
      </c>
      <c r="F13" s="32"/>
      <c r="G13" s="33">
        <f>H13+AC13+AT13</f>
        <v>8908.64</v>
      </c>
      <c r="H13" s="20">
        <f>SUMIF(I$12:AB$12,"总值",I13:AB13)</f>
        <v>8908.64</v>
      </c>
      <c r="I13" s="2204"/>
      <c r="J13" s="2204"/>
      <c r="K13" s="2978">
        <v>8908.64</v>
      </c>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4#商品房</v>
      </c>
      <c r="AY13" s="1804">
        <f>ROUND($AY$6*AZ13/$AZ$5,2)</f>
        <v>2200.38</v>
      </c>
      <c r="AZ13" s="16">
        <f>BA13+BL13</f>
        <v>8908.64</v>
      </c>
      <c r="BA13" s="16">
        <f>SUM(BB13:BK13)</f>
        <v>8908.64</v>
      </c>
      <c r="BB13" s="16">
        <f>IF($D13="是",I13-J13,0)</f>
        <v>0</v>
      </c>
      <c r="BC13" s="16">
        <f>IF($D13="是",K13-L13,0)</f>
        <v>8908.64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0"/>
      <c r="B14" s="1270"/>
      <c r="C14" s="2940" t="s">
        <v>3219</v>
      </c>
      <c r="D14" s="2939" t="s">
        <v>3045</v>
      </c>
      <c r="E14" s="16">
        <f>IF($C$3="是",ROUND($A$3*G14/$B$3,2),ROUND($A$3*(G14-AT14)/$B$3,2))</f>
        <v>6212.78</v>
      </c>
      <c r="F14" s="32"/>
      <c r="G14" s="33">
        <f>H14+AC14+AT14</f>
        <v>6048.18</v>
      </c>
      <c r="H14" s="20">
        <f>SUMIF(I$12:AB$12,"总值",I14:AB14)</f>
        <v>6004.18</v>
      </c>
      <c r="I14" s="2204"/>
      <c r="J14" s="2204"/>
      <c r="K14" s="2978">
        <v>6004.18</v>
      </c>
      <c r="L14" s="2204"/>
      <c r="M14" s="2204"/>
      <c r="N14" s="2204"/>
      <c r="O14" s="2204"/>
      <c r="P14" s="2204"/>
      <c r="Q14" s="2204"/>
      <c r="R14" s="2204"/>
      <c r="S14" s="2204"/>
      <c r="T14" s="2204"/>
      <c r="U14" s="2204"/>
      <c r="V14" s="2204"/>
      <c r="W14" s="2204"/>
      <c r="X14" s="2204"/>
      <c r="Y14" s="2204"/>
      <c r="Z14" s="2204"/>
      <c r="AA14" s="2204"/>
      <c r="AB14" s="2204"/>
      <c r="AC14" s="16">
        <f>SUMIF(AD$12:AS$12,"总值",AD14:AS14)</f>
        <v>32</v>
      </c>
      <c r="AD14" s="2205"/>
      <c r="AE14" s="2205"/>
      <c r="AF14" s="2205"/>
      <c r="AG14" s="2205"/>
      <c r="AH14" s="2205"/>
      <c r="AI14" s="2205"/>
      <c r="AJ14" s="2205"/>
      <c r="AK14" s="2205"/>
      <c r="AL14" s="2205">
        <f>44-12</f>
        <v>32</v>
      </c>
      <c r="AM14" s="2205"/>
      <c r="AN14" s="2205"/>
      <c r="AO14" s="2205"/>
      <c r="AP14" s="2205"/>
      <c r="AQ14" s="2205"/>
      <c r="AR14" s="2205"/>
      <c r="AS14" s="2205"/>
      <c r="AT14" s="2206">
        <v>12</v>
      </c>
      <c r="AU14" s="2207"/>
      <c r="AV14" s="11">
        <f t="shared" si="6"/>
        <v>0</v>
      </c>
      <c r="AW14" s="11">
        <f t="shared" si="6"/>
        <v>0</v>
      </c>
      <c r="AX14" s="11" t="str">
        <f t="shared" si="6"/>
        <v>6#商品房</v>
      </c>
      <c r="AY14" s="1804">
        <f>ROUND($AY$6*AZ14/$AZ$5,2)</f>
        <v>1490.9</v>
      </c>
      <c r="AZ14" s="16">
        <f>BA14+BL14</f>
        <v>6036.18</v>
      </c>
      <c r="BA14" s="16">
        <f>SUM(BB14:BK14)</f>
        <v>6004.18</v>
      </c>
      <c r="BB14" s="16">
        <f>IF($D14="是",I14-J14,0)</f>
        <v>0</v>
      </c>
      <c r="BC14" s="16">
        <f>IF($D14="是",K14-L14,0)</f>
        <v>6004.18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v>
      </c>
      <c r="BM14" s="16">
        <f>IF($D14="是",AD14-AE14,0)</f>
        <v>0</v>
      </c>
      <c r="BN14" s="16">
        <f>IF($D14="是",AF14-AG14,0)</f>
        <v>0</v>
      </c>
      <c r="BO14" s="16">
        <f>IF($D14="是",AH14-AI14,0)</f>
        <v>0</v>
      </c>
      <c r="BP14" s="16">
        <f>IF($D14="是",AJ14-AK14,0)</f>
        <v>0</v>
      </c>
      <c r="BQ14" s="16">
        <f>IF($D14="是",AL14-AM14,0)</f>
        <v>32</v>
      </c>
      <c r="BR14" s="16">
        <f>IF($D14="是",AN14-AO14,0)</f>
        <v>0</v>
      </c>
      <c r="BS14" s="16">
        <f>IF($D14="是",AP14-AQ14,0)</f>
        <v>0</v>
      </c>
      <c r="BT14" s="22">
        <f>IF($D14="是",AR14-AS14,0)</f>
        <v>0</v>
      </c>
    </row>
    <row r="15" spans="1:72" s="2159" customFormat="1" ht="12.75">
      <c r="A15" s="2976">
        <f>A16+A17</f>
        <v>132937</v>
      </c>
      <c r="B15" s="2977" t="s">
        <v>3244</v>
      </c>
      <c r="C15" s="2965" t="s">
        <v>3220</v>
      </c>
      <c r="D15" s="2939" t="s">
        <v>3210</v>
      </c>
      <c r="E15" s="16">
        <f>IF($C$3="是",ROUND($A$3*G15/$B$3,2),ROUND($A$3*(G15-AT15)/$B$3,2))</f>
        <v>0</v>
      </c>
      <c r="F15" s="32"/>
      <c r="G15" s="33">
        <f>H15+AC15+AT15</f>
        <v>0</v>
      </c>
      <c r="H15" s="20">
        <f>SUMIF(I$12:AB$12,"总值",I15:AB15)</f>
        <v>0</v>
      </c>
      <c r="I15" s="2204"/>
      <c r="J15" s="2204"/>
      <c r="K15" s="2978"/>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132937</v>
      </c>
      <c r="AW15" s="11" t="str">
        <f t="shared" si="6"/>
        <v>总建筑面积</v>
      </c>
      <c r="AX15" s="11" t="str">
        <f t="shared" si="6"/>
        <v>7#商品房</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0">
        <v>53487.8</v>
      </c>
      <c r="B16" s="2988" t="s">
        <v>3246</v>
      </c>
      <c r="C16" s="2940" t="s">
        <v>3221</v>
      </c>
      <c r="D16" s="2939" t="s">
        <v>3045</v>
      </c>
      <c r="E16" s="16">
        <f>IF($C$3="是",ROUND($A$3*G16/$B$3,2),ROUND($A$3*(G16-AT16)/$B$3,2))</f>
        <v>6057.35</v>
      </c>
      <c r="F16" s="32"/>
      <c r="G16" s="33">
        <f>H16+AC16+AT16</f>
        <v>5896.87</v>
      </c>
      <c r="H16" s="20">
        <f>SUMIF(I$12:AB$12,"总值",I16:AB16)</f>
        <v>5865.87</v>
      </c>
      <c r="I16" s="2204"/>
      <c r="J16" s="2204"/>
      <c r="K16" s="2978">
        <v>5865.87</v>
      </c>
      <c r="L16" s="2204"/>
      <c r="M16" s="2204"/>
      <c r="N16" s="2204"/>
      <c r="O16" s="2204"/>
      <c r="P16" s="2204"/>
      <c r="Q16" s="2204"/>
      <c r="R16" s="2204"/>
      <c r="S16" s="2204"/>
      <c r="T16" s="2204"/>
      <c r="U16" s="2204"/>
      <c r="V16" s="2204"/>
      <c r="W16" s="2204"/>
      <c r="X16" s="2204"/>
      <c r="Y16" s="2204"/>
      <c r="Z16" s="2204"/>
      <c r="AA16" s="2204"/>
      <c r="AB16" s="2204"/>
      <c r="AC16" s="16">
        <f>SUMIF(AD$12:AS$12,"总值",AD16:AS16)</f>
        <v>31</v>
      </c>
      <c r="AD16" s="2205"/>
      <c r="AE16" s="2205"/>
      <c r="AF16" s="2205"/>
      <c r="AG16" s="2205"/>
      <c r="AH16" s="2205"/>
      <c r="AI16" s="2205"/>
      <c r="AJ16" s="2205"/>
      <c r="AK16" s="2205"/>
      <c r="AL16" s="2205">
        <v>31</v>
      </c>
      <c r="AM16" s="2205"/>
      <c r="AN16" s="2205"/>
      <c r="AO16" s="2205"/>
      <c r="AP16" s="2205"/>
      <c r="AQ16" s="2205"/>
      <c r="AR16" s="2205"/>
      <c r="AS16" s="2205"/>
      <c r="AT16" s="2206"/>
      <c r="AU16" s="2207"/>
      <c r="AV16" s="11">
        <f t="shared" si="6"/>
        <v>53487.8</v>
      </c>
      <c r="AW16" s="11" t="str">
        <f t="shared" si="6"/>
        <v>规证依据</v>
      </c>
      <c r="AX16" s="11" t="str">
        <f t="shared" si="6"/>
        <v>8#商品房</v>
      </c>
      <c r="AY16" s="1804">
        <f>ROUND($AY$6*AZ16/$AZ$5,2)</f>
        <v>1456.49</v>
      </c>
      <c r="AZ16" s="16">
        <f>BA16+BL16</f>
        <v>5896.87</v>
      </c>
      <c r="BA16" s="16">
        <f>SUM(BB16:BK16)</f>
        <v>5865.87</v>
      </c>
      <c r="BB16" s="16">
        <f>IF($D16="是",I16-J16,0)</f>
        <v>0</v>
      </c>
      <c r="BC16" s="16">
        <f>IF($D16="是",K16-L16,0)</f>
        <v>5865.87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31</v>
      </c>
      <c r="BM16" s="16">
        <f>IF($D16="是",AD16-AE16,0)</f>
        <v>0</v>
      </c>
      <c r="BN16" s="16">
        <f>IF($D16="是",AF16-AG16,0)</f>
        <v>0</v>
      </c>
      <c r="BO16" s="16">
        <f>IF($D16="是",AH16-AI16,0)</f>
        <v>0</v>
      </c>
      <c r="BP16" s="16">
        <f>IF($D16="是",AJ16-AK16,0)</f>
        <v>0</v>
      </c>
      <c r="BQ16" s="16">
        <f>IF($D16="是",AL16-AM16,0)</f>
        <v>31</v>
      </c>
      <c r="BR16" s="16">
        <f>IF($D16="是",AN16-AO16,0)</f>
        <v>0</v>
      </c>
      <c r="BS16" s="16">
        <f>IF($D16="是",AP16-AQ16,0)</f>
        <v>0</v>
      </c>
      <c r="BT16" s="22">
        <f>IF($D16="是",AR16-AS16,0)</f>
        <v>0</v>
      </c>
    </row>
    <row r="17" spans="1:72" s="2159" customFormat="1" ht="12.75">
      <c r="A17" s="1270">
        <v>79449.2</v>
      </c>
      <c r="B17" s="1270"/>
      <c r="C17" s="2940" t="s">
        <v>3222</v>
      </c>
      <c r="D17" s="2939" t="s">
        <v>3045</v>
      </c>
      <c r="E17" s="16">
        <f>IF($C$3="是",ROUND($A$3*G17/$B$3,2),ROUND($A$3*(G17-AT17)/$B$3,2))</f>
        <v>11413.35</v>
      </c>
      <c r="F17" s="32"/>
      <c r="G17" s="33">
        <f>H17+AC17+AT17</f>
        <v>11110.97</v>
      </c>
      <c r="H17" s="20">
        <f>SUMIF(I$12:AB$12,"总值",I17:AB17)</f>
        <v>10970.97</v>
      </c>
      <c r="I17" s="2204"/>
      <c r="J17" s="2204"/>
      <c r="K17" s="2978">
        <v>10970.97</v>
      </c>
      <c r="L17" s="2204"/>
      <c r="M17" s="2204"/>
      <c r="N17" s="2204"/>
      <c r="O17" s="2204"/>
      <c r="P17" s="2204"/>
      <c r="Q17" s="2204"/>
      <c r="R17" s="2204"/>
      <c r="S17" s="2204"/>
      <c r="T17" s="2204"/>
      <c r="U17" s="2204"/>
      <c r="V17" s="2204"/>
      <c r="W17" s="2204"/>
      <c r="X17" s="2204"/>
      <c r="Y17" s="2204"/>
      <c r="Z17" s="2204"/>
      <c r="AA17" s="2204"/>
      <c r="AB17" s="2204"/>
      <c r="AC17" s="16">
        <f>SUMIF(AD$12:AS$12,"总值",AD17:AS17)</f>
        <v>140</v>
      </c>
      <c r="AD17" s="2205"/>
      <c r="AE17" s="2205"/>
      <c r="AF17" s="2205"/>
      <c r="AG17" s="2205"/>
      <c r="AH17" s="2205"/>
      <c r="AI17" s="2205"/>
      <c r="AJ17" s="2205"/>
      <c r="AK17" s="2205"/>
      <c r="AL17" s="2205">
        <v>140</v>
      </c>
      <c r="AM17" s="2205"/>
      <c r="AN17" s="2205"/>
      <c r="AO17" s="2205"/>
      <c r="AP17" s="2205"/>
      <c r="AQ17" s="2205"/>
      <c r="AR17" s="2205"/>
      <c r="AS17" s="2205"/>
      <c r="AT17" s="2206"/>
      <c r="AU17" s="2207"/>
      <c r="AV17" s="11">
        <f t="shared" si="6"/>
        <v>79449.2</v>
      </c>
      <c r="AW17" s="11">
        <f t="shared" si="6"/>
        <v>0</v>
      </c>
      <c r="AX17" s="11" t="str">
        <f t="shared" si="6"/>
        <v>9#商品房</v>
      </c>
      <c r="AY17" s="1804">
        <f>ROUND($AY$6*AZ17/$AZ$5,2)</f>
        <v>2744.34</v>
      </c>
      <c r="AZ17" s="16">
        <f>BA17+BL17</f>
        <v>11110.97</v>
      </c>
      <c r="BA17" s="16">
        <f>SUM(BB17:BK17)</f>
        <v>10970.97</v>
      </c>
      <c r="BB17" s="16">
        <f>IF($D17="是",I17-J17,0)</f>
        <v>0</v>
      </c>
      <c r="BC17" s="16">
        <f>IF($D17="是",K17-L17,0)</f>
        <v>10970.97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140</v>
      </c>
      <c r="BM17" s="16">
        <f>IF($D17="是",AD17-AE17,0)</f>
        <v>0</v>
      </c>
      <c r="BN17" s="16">
        <f>IF($D17="是",AF17-AG17,0)</f>
        <v>0</v>
      </c>
      <c r="BO17" s="16">
        <f>IF($D17="是",AH17-AI17,0)</f>
        <v>0</v>
      </c>
      <c r="BP17" s="16">
        <f>IF($D17="是",AJ17-AK17,0)</f>
        <v>0</v>
      </c>
      <c r="BQ17" s="16">
        <f>IF($D17="是",AL17-AM17,0)</f>
        <v>140</v>
      </c>
      <c r="BR17" s="16">
        <f>IF($D17="是",AN17-AO17,0)</f>
        <v>0</v>
      </c>
      <c r="BS17" s="16">
        <f>IF($D17="是",AP17-AQ17,0)</f>
        <v>0</v>
      </c>
      <c r="BT17" s="22">
        <f>IF($D17="是",AR17-AS17,0)</f>
        <v>0</v>
      </c>
    </row>
    <row r="18" spans="1:72" ht="28.5">
      <c r="A18" s="9"/>
      <c r="B18" s="34"/>
      <c r="C18" s="2964" t="s">
        <v>3223</v>
      </c>
      <c r="D18" s="2208" t="s">
        <v>3210</v>
      </c>
      <c r="E18" s="35">
        <f t="shared" ref="E18:E112" si="7">IF($C$3="是",ROUND($A$3*G18/$B$3,2),ROUND($A$3*(G18-AT18)/$B$3,2))</f>
        <v>0</v>
      </c>
      <c r="F18" s="36"/>
      <c r="G18" s="37">
        <f t="shared" ref="G18:G109" si="8">H18+AC18+AT18</f>
        <v>0</v>
      </c>
      <c r="H18" s="38">
        <f t="shared" ref="H18:H109" si="9">SUMIF(I$12:AB$12,"总值",I18:AB18)</f>
        <v>0</v>
      </c>
      <c r="I18" s="39"/>
      <c r="J18" s="39"/>
      <c r="K18" s="297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4"/>
      <c r="AM18" s="44"/>
      <c r="AN18" s="44"/>
      <c r="AO18" s="40"/>
      <c r="AP18" s="40"/>
      <c r="AQ18" s="40"/>
      <c r="AR18" s="40"/>
      <c r="AS18" s="40"/>
      <c r="AT18" s="41"/>
      <c r="AU18" s="2209"/>
      <c r="AV18" s="1793">
        <f t="shared" ref="AV18:AV112" si="11">A18</f>
        <v>0</v>
      </c>
      <c r="AW18" s="1793">
        <f t="shared" ref="AW18:AW112" si="12">B18</f>
        <v>0</v>
      </c>
      <c r="AX18" s="1793" t="str">
        <f t="shared" ref="AX18:AX112" si="13">C18</f>
        <v>10#商品房及配套</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s="3006" customFormat="1">
      <c r="A19" s="2994"/>
      <c r="B19" s="2995"/>
      <c r="C19" s="2995" t="s">
        <v>3224</v>
      </c>
      <c r="D19" s="2995" t="s">
        <v>3210</v>
      </c>
      <c r="E19" s="2996">
        <f t="shared" si="7"/>
        <v>0</v>
      </c>
      <c r="F19" s="2997"/>
      <c r="G19" s="2998">
        <f t="shared" si="8"/>
        <v>0</v>
      </c>
      <c r="H19" s="2999">
        <f t="shared" si="9"/>
        <v>0</v>
      </c>
      <c r="I19" s="3000"/>
      <c r="J19" s="3000"/>
      <c r="K19" s="3000"/>
      <c r="L19" s="3000"/>
      <c r="M19" s="3000"/>
      <c r="N19" s="3000"/>
      <c r="O19" s="3000"/>
      <c r="P19" s="3000"/>
      <c r="Q19" s="3000"/>
      <c r="R19" s="3000"/>
      <c r="S19" s="3000"/>
      <c r="T19" s="3000"/>
      <c r="U19" s="3000"/>
      <c r="V19" s="3000"/>
      <c r="W19" s="3000"/>
      <c r="X19" s="3000"/>
      <c r="Y19" s="3000"/>
      <c r="Z19" s="3000"/>
      <c r="AA19" s="3000"/>
      <c r="AB19" s="3000"/>
      <c r="AC19" s="2996">
        <f t="shared" si="10"/>
        <v>0</v>
      </c>
      <c r="AD19" s="3001"/>
      <c r="AE19" s="3001"/>
      <c r="AF19" s="3001"/>
      <c r="AG19" s="3001"/>
      <c r="AH19" s="3001"/>
      <c r="AI19" s="3001"/>
      <c r="AJ19" s="3001"/>
      <c r="AK19" s="3001"/>
      <c r="AL19" s="3001">
        <v>0</v>
      </c>
      <c r="AM19" s="3001"/>
      <c r="AN19" s="3001"/>
      <c r="AO19" s="3001"/>
      <c r="AP19" s="3001"/>
      <c r="AQ19" s="3001"/>
      <c r="AR19" s="3001"/>
      <c r="AS19" s="3001"/>
      <c r="AT19" s="2997"/>
      <c r="AU19" s="3002"/>
      <c r="AV19" s="3003">
        <f t="shared" si="11"/>
        <v>0</v>
      </c>
      <c r="AW19" s="3003">
        <f t="shared" si="12"/>
        <v>0</v>
      </c>
      <c r="AX19" s="3003" t="str">
        <f t="shared" si="13"/>
        <v>配电室</v>
      </c>
      <c r="AY19" s="3004">
        <f t="shared" si="14"/>
        <v>0</v>
      </c>
      <c r="AZ19" s="2996">
        <f t="shared" si="15"/>
        <v>0</v>
      </c>
      <c r="BA19" s="2996">
        <f t="shared" si="16"/>
        <v>0</v>
      </c>
      <c r="BB19" s="2996">
        <f t="shared" si="17"/>
        <v>0</v>
      </c>
      <c r="BC19" s="2996">
        <f t="shared" si="18"/>
        <v>0</v>
      </c>
      <c r="BD19" s="2996">
        <f t="shared" si="19"/>
        <v>0</v>
      </c>
      <c r="BE19" s="2996">
        <f t="shared" si="20"/>
        <v>0</v>
      </c>
      <c r="BF19" s="2996">
        <f t="shared" si="21"/>
        <v>0</v>
      </c>
      <c r="BG19" s="2996">
        <f t="shared" si="22"/>
        <v>0</v>
      </c>
      <c r="BH19" s="2996">
        <f t="shared" si="23"/>
        <v>0</v>
      </c>
      <c r="BI19" s="2996">
        <f t="shared" si="24"/>
        <v>0</v>
      </c>
      <c r="BJ19" s="2996">
        <f t="shared" si="25"/>
        <v>0</v>
      </c>
      <c r="BK19" s="2996">
        <f t="shared" si="26"/>
        <v>0</v>
      </c>
      <c r="BL19" s="2996">
        <f t="shared" si="27"/>
        <v>0</v>
      </c>
      <c r="BM19" s="2996">
        <f t="shared" si="28"/>
        <v>0</v>
      </c>
      <c r="BN19" s="2996">
        <f t="shared" si="29"/>
        <v>0</v>
      </c>
      <c r="BO19" s="2996">
        <f t="shared" si="30"/>
        <v>0</v>
      </c>
      <c r="BP19" s="2996">
        <f t="shared" si="31"/>
        <v>0</v>
      </c>
      <c r="BQ19" s="2996">
        <f t="shared" si="32"/>
        <v>0</v>
      </c>
      <c r="BR19" s="2996">
        <f t="shared" si="33"/>
        <v>0</v>
      </c>
      <c r="BS19" s="2996">
        <f t="shared" si="34"/>
        <v>0</v>
      </c>
      <c r="BT19" s="3005">
        <f t="shared" si="35"/>
        <v>0</v>
      </c>
    </row>
    <row r="20" spans="1:72" ht="28.5">
      <c r="A20" s="9"/>
      <c r="B20" s="34"/>
      <c r="C20" s="34" t="s">
        <v>3225</v>
      </c>
      <c r="D20" s="2208" t="s">
        <v>3210</v>
      </c>
      <c r="E20" s="35">
        <f t="shared" si="7"/>
        <v>0</v>
      </c>
      <c r="F20" s="36"/>
      <c r="G20" s="37">
        <f t="shared" si="8"/>
        <v>0</v>
      </c>
      <c r="H20" s="38">
        <f t="shared" si="9"/>
        <v>0</v>
      </c>
      <c r="I20" s="39"/>
      <c r="J20" s="39"/>
      <c r="K20" s="39"/>
      <c r="L20" s="39"/>
      <c r="M20" s="2985"/>
      <c r="N20" s="39"/>
      <c r="O20" s="297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4"/>
      <c r="AM20" s="44"/>
      <c r="AN20" s="44"/>
      <c r="AO20" s="40"/>
      <c r="AP20" s="40"/>
      <c r="AQ20" s="40"/>
      <c r="AR20" s="40"/>
      <c r="AS20" s="40"/>
      <c r="AT20" s="36"/>
      <c r="AU20" s="2209"/>
      <c r="AV20" s="1793">
        <f t="shared" si="11"/>
        <v>0</v>
      </c>
      <c r="AW20" s="1793">
        <f t="shared" si="12"/>
        <v>0</v>
      </c>
      <c r="AX20" s="1793" t="str">
        <f t="shared" si="13"/>
        <v>地下车库（北区）</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1931</v>
      </c>
      <c r="B1" s="1390"/>
      <c r="C1" s="1390"/>
      <c r="D1" s="1390"/>
      <c r="E1" s="1390"/>
      <c r="F1" s="1390"/>
      <c r="G1" s="1390"/>
      <c r="H1" s="1390"/>
      <c r="I1" s="1390"/>
      <c r="J1" s="1390"/>
      <c r="K1" s="1390"/>
      <c r="L1" s="1390"/>
      <c r="M1" s="1390"/>
      <c r="N1" s="1390"/>
      <c r="O1" s="1390"/>
      <c r="P1" s="1390"/>
    </row>
    <row r="2" spans="1:16" ht="15">
      <c r="A2" s="3095" t="s">
        <v>1932</v>
      </c>
      <c r="B2" s="3095"/>
      <c r="C2" s="3095"/>
      <c r="D2" s="965" t="s">
        <v>1908</v>
      </c>
      <c r="E2" s="2217" t="s">
        <v>1909</v>
      </c>
      <c r="F2" s="1390"/>
      <c r="G2" s="2218"/>
      <c r="H2" s="2219"/>
      <c r="I2" s="2220" t="s">
        <v>1933</v>
      </c>
      <c r="J2" s="1390"/>
      <c r="K2" s="1390"/>
      <c r="L2" s="1390"/>
      <c r="M2" s="1390"/>
      <c r="N2" s="1425"/>
      <c r="O2" s="1390"/>
      <c r="P2" s="1390"/>
    </row>
    <row r="3" spans="1:16" ht="15.75" thickBot="1">
      <c r="A3" s="3096" t="s">
        <v>1906</v>
      </c>
      <c r="B3" s="3096"/>
      <c r="C3" s="3096"/>
      <c r="D3" s="46">
        <f>'数据-基础表'!AY6</f>
        <v>7892.1</v>
      </c>
      <c r="E3" s="46">
        <f>'数据-基础表'!AZ5</f>
        <v>31952.659999999996</v>
      </c>
      <c r="F3" s="1390"/>
      <c r="G3" s="1397"/>
      <c r="H3" s="1245" t="s">
        <v>1907</v>
      </c>
      <c r="I3" s="55">
        <f>ROUND('数据-基础表'!B3/'数据-基础表'!A3,2)</f>
        <v>0.97</v>
      </c>
      <c r="J3" s="1390"/>
      <c r="K3" s="1390"/>
      <c r="L3" s="1390"/>
      <c r="M3" s="1390"/>
      <c r="N3" s="1425"/>
      <c r="O3" s="1390"/>
      <c r="P3" s="1390"/>
    </row>
    <row r="4" spans="1:16" ht="15">
      <c r="A4" s="3097"/>
      <c r="B4" s="3098"/>
      <c r="C4" s="3099"/>
      <c r="D4" s="2221" t="s">
        <v>1908</v>
      </c>
      <c r="E4" s="2222" t="s">
        <v>1909</v>
      </c>
      <c r="F4" s="1390"/>
      <c r="G4" s="2223" t="s">
        <v>1934</v>
      </c>
      <c r="H4" s="1245" t="s">
        <v>1914</v>
      </c>
      <c r="I4" s="55">
        <f>ROUND(SUMIF('数据-基础表'!I9:AS9,"地上",'数据-基础表'!I5:AS5)/'数据-基础表'!A3,2)</f>
        <v>0.97</v>
      </c>
      <c r="J4" s="1390"/>
      <c r="K4" s="1390"/>
      <c r="L4" s="1390"/>
      <c r="M4" s="1390"/>
      <c r="N4" s="1425"/>
      <c r="O4" s="1390"/>
      <c r="P4" s="1390"/>
    </row>
    <row r="5" spans="1:16">
      <c r="A5" s="47" t="s">
        <v>1910</v>
      </c>
      <c r="B5" s="3100" t="s">
        <v>1911</v>
      </c>
      <c r="C5" s="3100"/>
      <c r="D5" s="48">
        <f>ROUND($D$3*E5/$E$3,2)</f>
        <v>7841.96</v>
      </c>
      <c r="E5" s="49">
        <f>SUMIF('数据-基础表'!$11:$11,"住宅",'数据-基础表'!$5:$5)</f>
        <v>31749.659999999996</v>
      </c>
      <c r="F5" s="1390"/>
      <c r="G5" s="1397"/>
      <c r="H5" s="1245" t="s">
        <v>1907</v>
      </c>
      <c r="I5" s="55">
        <f>ROUND(E31/D31,2)</f>
        <v>4.05</v>
      </c>
      <c r="J5" s="1390"/>
      <c r="K5" s="1390"/>
      <c r="L5" s="1390"/>
      <c r="M5" s="1390"/>
      <c r="N5" s="1390"/>
      <c r="O5" s="1390"/>
      <c r="P5" s="1390"/>
    </row>
    <row r="6" spans="1:16" ht="15" thickBot="1">
      <c r="A6" s="2224"/>
      <c r="B6" s="3100" t="s">
        <v>1912</v>
      </c>
      <c r="C6" s="3100"/>
      <c r="D6" s="48">
        <f>ROUND($D$3*E6/$E$3,2)</f>
        <v>50.14</v>
      </c>
      <c r="E6" s="49">
        <f>E3-E5</f>
        <v>203</v>
      </c>
      <c r="F6" s="1390"/>
      <c r="G6" s="2225" t="s">
        <v>1913</v>
      </c>
      <c r="H6" s="1397" t="s">
        <v>1914</v>
      </c>
      <c r="I6" s="937">
        <f>ROUND(F31/D31,2)</f>
        <v>4.05</v>
      </c>
      <c r="J6" s="1390"/>
      <c r="K6" s="1390"/>
      <c r="L6" s="1390"/>
      <c r="M6" s="1390"/>
      <c r="N6" s="1390"/>
      <c r="O6" s="1390"/>
      <c r="P6" s="1390"/>
    </row>
    <row r="7" spans="1:16" ht="15">
      <c r="A7" s="3092"/>
      <c r="B7" s="3093"/>
      <c r="C7" s="3094"/>
      <c r="D7" s="2221" t="s">
        <v>1908</v>
      </c>
      <c r="E7" s="2226" t="s">
        <v>1915</v>
      </c>
      <c r="F7" s="1390"/>
      <c r="G7" s="2218" t="s">
        <v>1916</v>
      </c>
      <c r="H7" s="64"/>
      <c r="I7" s="420">
        <v>2.8</v>
      </c>
      <c r="J7" s="1390"/>
      <c r="K7" s="1390"/>
      <c r="L7" s="1390"/>
      <c r="M7" s="1390"/>
      <c r="N7" s="1390"/>
      <c r="O7" s="1390"/>
      <c r="P7" s="1390"/>
    </row>
    <row r="8" spans="1:16">
      <c r="A8" s="47" t="s">
        <v>1917</v>
      </c>
      <c r="B8" s="50" t="s">
        <v>1918</v>
      </c>
      <c r="C8" s="48" t="s">
        <v>1919</v>
      </c>
      <c r="D8" s="48">
        <f t="shared" ref="D8:D15" si="0">ROUND($D$3*E8/$E$3,2)</f>
        <v>7841.96</v>
      </c>
      <c r="E8" s="51">
        <f>SUMIF('数据-基础表'!BB10:BK10,"地上",'数据-基础表'!BB5:BK5)</f>
        <v>31749.659999999996</v>
      </c>
      <c r="F8" s="1390"/>
      <c r="G8" s="2227"/>
      <c r="H8" s="2227"/>
      <c r="I8" s="1390"/>
      <c r="J8" s="1390"/>
      <c r="K8" s="1390"/>
      <c r="L8" s="1390"/>
      <c r="M8" s="1390"/>
      <c r="N8" s="1390"/>
      <c r="O8" s="1390"/>
      <c r="P8" s="1390"/>
    </row>
    <row r="9" spans="1:16">
      <c r="A9" s="2228"/>
      <c r="B9" s="2229"/>
      <c r="C9" s="48" t="s">
        <v>1920</v>
      </c>
      <c r="D9" s="48">
        <f t="shared" si="0"/>
        <v>0</v>
      </c>
      <c r="E9" s="52">
        <f>'数据-基础表'!AH13</f>
        <v>0</v>
      </c>
      <c r="F9" s="1390"/>
      <c r="G9" s="2227"/>
      <c r="H9" s="2227"/>
      <c r="I9" s="1390"/>
      <c r="J9" s="1390"/>
      <c r="K9" s="1390"/>
      <c r="L9" s="1390"/>
      <c r="M9" s="1390"/>
      <c r="N9" s="1390"/>
      <c r="O9" s="1390"/>
      <c r="P9" s="1390"/>
    </row>
    <row r="10" spans="1:16">
      <c r="A10" s="2228"/>
      <c r="B10" s="2229"/>
      <c r="C10" s="48" t="s">
        <v>1929</v>
      </c>
      <c r="D10" s="48">
        <f t="shared" si="0"/>
        <v>0</v>
      </c>
      <c r="E10" s="51">
        <f>SUMPRODUCT(('数据-基础表'!BB10:BK10="地下")*('数据-基础表'!BB11:BK11="商业")*('数据-基础表'!BB5:BK5))</f>
        <v>0</v>
      </c>
      <c r="F10" s="1390"/>
      <c r="G10" s="2227"/>
      <c r="H10" s="2227"/>
      <c r="I10" s="1390"/>
      <c r="J10" s="1390"/>
      <c r="K10" s="1390"/>
      <c r="L10" s="1390"/>
      <c r="M10" s="1390"/>
      <c r="N10" s="1390"/>
      <c r="O10" s="1390"/>
      <c r="P10" s="1390"/>
    </row>
    <row r="11" spans="1:16">
      <c r="A11" s="2228"/>
      <c r="B11" s="2229"/>
      <c r="C11" s="48" t="s">
        <v>1921</v>
      </c>
      <c r="D11" s="48">
        <f t="shared" si="0"/>
        <v>0</v>
      </c>
      <c r="E11" s="51">
        <f>SUMPRODUCT(('数据-基础表'!BB10:BK10="地下")*('数据-基础表'!BB11:BK11="办公")*('数据-基础表'!BB5:BK5))+'数据-基础表'!BP5</f>
        <v>0</v>
      </c>
      <c r="F11" s="1390"/>
      <c r="G11" s="2227"/>
      <c r="H11" s="2227"/>
      <c r="I11" s="1390"/>
      <c r="J11" s="1390"/>
      <c r="K11" s="1390"/>
      <c r="L11" s="1390"/>
      <c r="M11" s="1390"/>
      <c r="N11" s="1390"/>
      <c r="O11" s="1390"/>
      <c r="P11" s="1390"/>
    </row>
    <row r="12" spans="1:16">
      <c r="A12" s="2228"/>
      <c r="B12" s="2229"/>
      <c r="C12" s="48" t="s">
        <v>1922</v>
      </c>
      <c r="D12" s="48">
        <f t="shared" si="0"/>
        <v>0</v>
      </c>
      <c r="E12" s="51">
        <f>SUMPRODUCT(('数据-基础表'!BB10:BK10="地下")*('数据-基础表'!BB11:BK11="仓储")*('数据-基础表'!BB5:BK5))</f>
        <v>0</v>
      </c>
      <c r="F12" s="1390"/>
      <c r="G12" s="2227"/>
      <c r="H12" s="2227"/>
      <c r="I12" s="1390"/>
      <c r="J12" s="1390"/>
      <c r="K12" s="1390"/>
      <c r="L12" s="1390"/>
      <c r="M12" s="1390"/>
      <c r="N12" s="1390"/>
      <c r="O12" s="1390"/>
      <c r="P12" s="1390"/>
    </row>
    <row r="13" spans="1:16">
      <c r="A13" s="2228"/>
      <c r="B13" s="2229"/>
      <c r="C13" s="48" t="s">
        <v>1923</v>
      </c>
      <c r="D13" s="48">
        <f t="shared" si="0"/>
        <v>0</v>
      </c>
      <c r="E13" s="51">
        <f>SUMPRODUCT(('数据-基础表'!BB10:BK10="地下")*('数据-基础表'!BB11:BK11="车库")*('数据-基础表'!BB5:BK5))</f>
        <v>0</v>
      </c>
      <c r="F13" s="1390"/>
      <c r="G13" s="2227"/>
      <c r="H13" s="2227"/>
      <c r="I13" s="1390"/>
      <c r="J13" s="1390"/>
      <c r="K13" s="1390"/>
      <c r="L13" s="1390"/>
      <c r="M13" s="1390"/>
      <c r="N13" s="1390"/>
      <c r="O13" s="1390"/>
      <c r="P13" s="1390"/>
    </row>
    <row r="14" spans="1:16">
      <c r="A14" s="2228"/>
      <c r="B14" s="2229"/>
      <c r="C14" s="48" t="s">
        <v>1935</v>
      </c>
      <c r="D14" s="48">
        <f t="shared" si="0"/>
        <v>0</v>
      </c>
      <c r="E14" s="51">
        <f>SUMPRODUCT(('数据-基础表'!BB10:BK10="地下")*('数据-基础表'!BB11:BK11="车库—商业")*('数据-基础表'!BB5:BK5))</f>
        <v>0</v>
      </c>
      <c r="F14" s="1390"/>
      <c r="G14" s="2227"/>
      <c r="H14" s="2227"/>
      <c r="I14" s="1390"/>
      <c r="J14" s="1390"/>
      <c r="K14" s="1390"/>
      <c r="L14" s="1390"/>
      <c r="M14" s="1390"/>
      <c r="N14" s="1390"/>
      <c r="O14" s="1390"/>
      <c r="P14" s="1390"/>
    </row>
    <row r="15" spans="1:16" ht="15" thickBot="1">
      <c r="A15" s="2228"/>
      <c r="B15" s="2229"/>
      <c r="C15" s="48" t="s">
        <v>1930</v>
      </c>
      <c r="D15" s="48">
        <f t="shared" si="0"/>
        <v>0</v>
      </c>
      <c r="E15" s="51">
        <f>SUMPRODUCT(('数据-基础表'!BB10:BK10="地下")*('数据-基础表'!BB11:BK11="车库—办公")*('数据-基础表'!BB5:BK5))</f>
        <v>0</v>
      </c>
      <c r="F15" s="1390"/>
      <c r="G15" s="2227"/>
      <c r="H15" s="2227"/>
      <c r="I15" s="1390"/>
      <c r="J15" s="1390"/>
      <c r="K15" s="1390"/>
      <c r="L15" s="1390"/>
      <c r="M15" s="1390"/>
      <c r="N15" s="1390"/>
      <c r="O15" s="1390"/>
      <c r="P15" s="1390"/>
    </row>
    <row r="16" spans="1:16" ht="15.75" thickBot="1">
      <c r="A16" s="2224"/>
      <c r="B16" s="2229"/>
      <c r="C16" s="50" t="s">
        <v>1924</v>
      </c>
      <c r="D16" s="50">
        <f>SUM(D8:D15)</f>
        <v>7841.96</v>
      </c>
      <c r="E16" s="53">
        <f>SUM(E8:E15)</f>
        <v>31749.659999999996</v>
      </c>
      <c r="F16" s="1390"/>
      <c r="G16" s="2227"/>
      <c r="H16" s="2230" t="s">
        <v>1936</v>
      </c>
      <c r="I16" s="2231"/>
      <c r="J16" s="1390"/>
      <c r="K16" s="3089" t="s">
        <v>1936</v>
      </c>
      <c r="L16" s="3090"/>
      <c r="M16" s="3090"/>
      <c r="N16" s="3090"/>
      <c r="O16" s="3090"/>
      <c r="P16" s="3091"/>
    </row>
    <row r="17" spans="1:19" ht="15">
      <c r="A17" s="2232" t="s">
        <v>1937</v>
      </c>
      <c r="B17" s="2233" t="s">
        <v>1938</v>
      </c>
      <c r="C17" s="2234" t="s">
        <v>1939</v>
      </c>
      <c r="D17" s="2235" t="s">
        <v>1927</v>
      </c>
      <c r="E17" s="2236" t="s">
        <v>1928</v>
      </c>
      <c r="F17" s="2237"/>
      <c r="G17" s="2238"/>
      <c r="H17" s="2239" t="s">
        <v>1940</v>
      </c>
      <c r="I17" s="2240" t="s">
        <v>1925</v>
      </c>
      <c r="J17" s="1390"/>
      <c r="K17" s="3086" t="s">
        <v>1941</v>
      </c>
      <c r="L17" s="3087"/>
      <c r="M17" s="3088"/>
      <c r="N17" s="3086" t="s">
        <v>1942</v>
      </c>
      <c r="O17" s="3087"/>
      <c r="P17" s="3088"/>
      <c r="R17" s="2218" t="s">
        <v>1943</v>
      </c>
      <c r="S17" s="64"/>
    </row>
    <row r="18" spans="1:19" ht="15">
      <c r="A18" s="2228"/>
      <c r="B18" s="2241"/>
      <c r="C18" s="2242"/>
      <c r="D18" s="2243"/>
      <c r="E18" s="2244" t="s">
        <v>1944</v>
      </c>
      <c r="F18" s="2245" t="s">
        <v>1945</v>
      </c>
      <c r="G18" s="2246" t="s">
        <v>1946</v>
      </c>
      <c r="H18" s="1260" t="s">
        <v>1947</v>
      </c>
      <c r="I18" s="2247" t="s">
        <v>1948</v>
      </c>
      <c r="J18" s="1390"/>
      <c r="K18" s="1260" t="s">
        <v>1949</v>
      </c>
      <c r="L18" s="2248" t="s">
        <v>1950</v>
      </c>
      <c r="M18" s="1044" t="s">
        <v>1951</v>
      </c>
      <c r="N18" s="1260" t="s">
        <v>1949</v>
      </c>
      <c r="O18" s="2248" t="s">
        <v>1950</v>
      </c>
      <c r="P18" s="1044" t="s">
        <v>1951</v>
      </c>
      <c r="R18" s="1245" t="s">
        <v>1952</v>
      </c>
      <c r="S18" s="1245" t="s">
        <v>1953</v>
      </c>
    </row>
    <row r="19" spans="1:19">
      <c r="A19" s="2249"/>
      <c r="B19" s="50" t="s">
        <v>1926</v>
      </c>
      <c r="C19" s="2250" t="s">
        <v>3063</v>
      </c>
      <c r="D19" s="48">
        <f>ROUND($D$3*E19/$E$3,2)</f>
        <v>7841.96</v>
      </c>
      <c r="E19" s="56">
        <f t="shared" ref="E19:E26" si="1">SUM(F19:G19)</f>
        <v>31749.659999999996</v>
      </c>
      <c r="F19" s="57">
        <f>'数据-基础表'!K5</f>
        <v>31749.659999999996</v>
      </c>
      <c r="G19" s="58"/>
      <c r="H19" s="722">
        <f>ROUND($D$3*I19/$E$3,2)</f>
        <v>50.14</v>
      </c>
      <c r="I19" s="51">
        <f t="shared" ref="I19:I26" si="2">IF($I$17="自定义",P19,M19)</f>
        <v>203</v>
      </c>
      <c r="J19" s="1390"/>
      <c r="K19" s="1389">
        <f t="shared" ref="K19:K26" si="3">ROUND(E$28*E19/E$27,2)</f>
        <v>203</v>
      </c>
      <c r="L19" s="1245">
        <f t="shared" ref="L19:L26" si="4">ROUND(IF(COUNTIF(C19,"*住宅*")&gt;0,E$29*E19/E$32,0),2)</f>
        <v>0</v>
      </c>
      <c r="M19" s="1401">
        <f>K19+L19</f>
        <v>203</v>
      </c>
      <c r="N19" s="2251"/>
      <c r="O19" s="2252"/>
      <c r="P19" s="1401">
        <f>N19+O19</f>
        <v>0</v>
      </c>
      <c r="R19" s="1245">
        <f t="shared" ref="R19:S26" si="5">D19+H19</f>
        <v>7892.1</v>
      </c>
      <c r="S19" s="1246">
        <f t="shared" si="5"/>
        <v>31952.659999999996</v>
      </c>
    </row>
    <row r="20" spans="1:19">
      <c r="A20" s="2253"/>
      <c r="B20" s="50" t="s">
        <v>1954</v>
      </c>
      <c r="C20" s="2961"/>
      <c r="D20" s="48">
        <f t="shared" ref="D20:D26" si="6">ROUND($D$3*E20/$E$3,2)</f>
        <v>0</v>
      </c>
      <c r="E20" s="56">
        <f t="shared" si="1"/>
        <v>0</v>
      </c>
      <c r="F20" s="57"/>
      <c r="G20" s="62"/>
      <c r="H20" s="722">
        <f t="shared" ref="H20:H26" si="7">ROUND($D$3*I20/$E$3,2)</f>
        <v>0</v>
      </c>
      <c r="I20" s="51">
        <f t="shared" si="2"/>
        <v>0</v>
      </c>
      <c r="J20" s="1390"/>
      <c r="K20" s="1389">
        <f t="shared" si="3"/>
        <v>0</v>
      </c>
      <c r="L20" s="1245">
        <f t="shared" si="4"/>
        <v>0</v>
      </c>
      <c r="M20" s="1401">
        <f t="shared" ref="M20:M26" si="8">K20+L20</f>
        <v>0</v>
      </c>
      <c r="N20" s="2251"/>
      <c r="O20" s="2252"/>
      <c r="P20" s="1401">
        <f t="shared" ref="P20:P26" si="9">N20+O20</f>
        <v>0</v>
      </c>
      <c r="R20" s="1245">
        <f t="shared" si="5"/>
        <v>0</v>
      </c>
      <c r="S20" s="1246">
        <f t="shared" si="5"/>
        <v>0</v>
      </c>
    </row>
    <row r="21" spans="1:19">
      <c r="A21" s="2253"/>
      <c r="B21" s="50" t="s">
        <v>1954</v>
      </c>
      <c r="C21" s="2961"/>
      <c r="D21" s="48">
        <f t="shared" si="6"/>
        <v>0</v>
      </c>
      <c r="E21" s="56">
        <f t="shared" si="1"/>
        <v>0</v>
      </c>
      <c r="F21" s="61"/>
      <c r="G21" s="62"/>
      <c r="H21" s="722">
        <f t="shared" si="7"/>
        <v>0</v>
      </c>
      <c r="I21" s="51">
        <f t="shared" si="2"/>
        <v>0</v>
      </c>
      <c r="J21" s="1390"/>
      <c r="K21" s="1389">
        <f t="shared" si="3"/>
        <v>0</v>
      </c>
      <c r="L21" s="1245">
        <f t="shared" si="4"/>
        <v>0</v>
      </c>
      <c r="M21" s="1401">
        <f t="shared" si="8"/>
        <v>0</v>
      </c>
      <c r="N21" s="2251"/>
      <c r="O21" s="2252"/>
      <c r="P21" s="1401">
        <f t="shared" si="9"/>
        <v>0</v>
      </c>
      <c r="R21" s="1245">
        <f t="shared" si="5"/>
        <v>0</v>
      </c>
      <c r="S21" s="1246">
        <f t="shared" si="5"/>
        <v>0</v>
      </c>
    </row>
    <row r="22" spans="1:19">
      <c r="A22" s="2253"/>
      <c r="B22" s="50" t="s">
        <v>1954</v>
      </c>
      <c r="C22" s="2961"/>
      <c r="D22" s="48">
        <f t="shared" si="6"/>
        <v>0</v>
      </c>
      <c r="E22" s="56">
        <f t="shared" si="1"/>
        <v>0</v>
      </c>
      <c r="F22" s="61"/>
      <c r="G22" s="62"/>
      <c r="H22" s="722">
        <f t="shared" si="7"/>
        <v>0</v>
      </c>
      <c r="I22" s="51">
        <f t="shared" si="2"/>
        <v>0</v>
      </c>
      <c r="J22" s="1390"/>
      <c r="K22" s="1389">
        <f t="shared" si="3"/>
        <v>0</v>
      </c>
      <c r="L22" s="1245">
        <f t="shared" si="4"/>
        <v>0</v>
      </c>
      <c r="M22" s="1401">
        <f t="shared" si="8"/>
        <v>0</v>
      </c>
      <c r="N22" s="2251"/>
      <c r="O22" s="2252"/>
      <c r="P22" s="1401">
        <f t="shared" si="9"/>
        <v>0</v>
      </c>
      <c r="R22" s="1245">
        <f t="shared" si="5"/>
        <v>0</v>
      </c>
      <c r="S22" s="1246">
        <f t="shared" si="5"/>
        <v>0</v>
      </c>
    </row>
    <row r="23" spans="1:19">
      <c r="A23" s="2253"/>
      <c r="B23" s="50" t="s">
        <v>1954</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1"/>
      <c r="O23" s="2252"/>
      <c r="P23" s="1401">
        <f t="shared" si="9"/>
        <v>0</v>
      </c>
      <c r="R23" s="1245">
        <f t="shared" si="5"/>
        <v>0</v>
      </c>
      <c r="S23" s="1246">
        <f t="shared" si="5"/>
        <v>0</v>
      </c>
    </row>
    <row r="24" spans="1:19">
      <c r="A24" s="2253"/>
      <c r="B24" s="50" t="s">
        <v>1954</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1"/>
      <c r="O24" s="2252"/>
      <c r="P24" s="1401">
        <f t="shared" si="9"/>
        <v>0</v>
      </c>
      <c r="R24" s="1245">
        <f t="shared" si="5"/>
        <v>0</v>
      </c>
      <c r="S24" s="1246">
        <f t="shared" si="5"/>
        <v>0</v>
      </c>
    </row>
    <row r="25" spans="1:19">
      <c r="A25" s="2253"/>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1"/>
      <c r="O25" s="2252"/>
      <c r="P25" s="1401">
        <f t="shared" si="9"/>
        <v>0</v>
      </c>
      <c r="R25" s="1245">
        <f t="shared" si="5"/>
        <v>0</v>
      </c>
      <c r="S25" s="1246">
        <f t="shared" si="5"/>
        <v>0</v>
      </c>
    </row>
    <row r="26" spans="1:19">
      <c r="A26" s="2253"/>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4"/>
      <c r="O26" s="2255"/>
      <c r="P26" s="67">
        <f t="shared" si="9"/>
        <v>0</v>
      </c>
      <c r="R26" s="1245">
        <f t="shared" si="5"/>
        <v>0</v>
      </c>
      <c r="S26" s="1246">
        <f t="shared" si="5"/>
        <v>0</v>
      </c>
    </row>
    <row r="27" spans="1:19" ht="15.75" thickBot="1">
      <c r="A27" s="2253"/>
      <c r="B27" s="48"/>
      <c r="C27" s="2256" t="s">
        <v>1955</v>
      </c>
      <c r="D27" s="1391">
        <f>SUM(D19:D26)</f>
        <v>7841.96</v>
      </c>
      <c r="E27" s="1392">
        <f>IF(SUM(E19:E26)='数据-基础表'!BA5,SUM(E19:E26),IF(F27="地上面积有误","面积有误","地下面积有误"))</f>
        <v>31749.659999999996</v>
      </c>
      <c r="F27" s="1391">
        <f>IF(SUM(F19:F26)=E8,SUM(F19:F26),"地上面积有误")</f>
        <v>31749.659999999996</v>
      </c>
      <c r="G27" s="1393">
        <f>SUM(G19:G26)</f>
        <v>0</v>
      </c>
      <c r="H27" s="1394">
        <f>SUM(H19:H26)</f>
        <v>50.14</v>
      </c>
      <c r="I27" s="1395">
        <f>SUM(I19:I26)</f>
        <v>203</v>
      </c>
      <c r="J27" s="1390"/>
      <c r="K27" s="1398">
        <f t="shared" ref="K27:P27" si="10">SUM(K19:K26)</f>
        <v>203</v>
      </c>
      <c r="L27" s="1399">
        <f t="shared" si="10"/>
        <v>0</v>
      </c>
      <c r="M27" s="1402">
        <f t="shared" si="10"/>
        <v>203</v>
      </c>
      <c r="N27" s="1398">
        <f t="shared" si="10"/>
        <v>0</v>
      </c>
      <c r="O27" s="1399">
        <f t="shared" si="10"/>
        <v>0</v>
      </c>
      <c r="P27" s="1400">
        <f t="shared" si="10"/>
        <v>0</v>
      </c>
      <c r="R27" s="1247">
        <f>IF(SUM(R19:R26)=$D$3,SUM(R19:R26),SUM(R19:R26)&amp;"误差"&amp;ROUND(SUM(R19:R26)-$D$3,2))</f>
        <v>7892.1</v>
      </c>
      <c r="S27" s="1245">
        <f>IF(SUM(S19:S26)=$E$3,SUM(S19:S26),SUM(S19:S26)&amp;"误差"&amp;ROUND(SUM(S19:S26)-E3,2))</f>
        <v>31952.659999999996</v>
      </c>
    </row>
    <row r="28" spans="1:19">
      <c r="A28" s="2253"/>
      <c r="B28" s="50" t="s">
        <v>1956</v>
      </c>
      <c r="C28" s="1257" t="s">
        <v>1957</v>
      </c>
      <c r="D28" s="48">
        <f>ROUND($D$3*E28/$E$3,2)</f>
        <v>50.14</v>
      </c>
      <c r="E28" s="56">
        <f>SUM(F28:G28)</f>
        <v>203</v>
      </c>
      <c r="F28" s="64">
        <f>'数据-基础表'!BQ5+'数据-基础表'!BS5</f>
        <v>203</v>
      </c>
      <c r="G28" s="65">
        <f>'数据-基础表'!BR5+'数据-基础表'!BT5</f>
        <v>0</v>
      </c>
      <c r="H28" s="1390"/>
      <c r="I28" s="1390"/>
      <c r="J28" s="1390"/>
      <c r="K28" s="1390"/>
      <c r="L28" s="1390"/>
      <c r="M28" s="1390"/>
      <c r="N28" s="1390"/>
      <c r="O28" s="1390"/>
      <c r="P28" s="1390"/>
    </row>
    <row r="29" spans="1:19">
      <c r="A29" s="2253"/>
      <c r="B29" s="50" t="s">
        <v>1956</v>
      </c>
      <c r="C29" s="2257"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3"/>
      <c r="B30" s="50"/>
      <c r="C30" s="2258" t="s">
        <v>1955</v>
      </c>
      <c r="D30" s="1391">
        <f>SUM(D28:D29)</f>
        <v>50.14</v>
      </c>
      <c r="E30" s="1391">
        <f>SUM(E28:E29)</f>
        <v>203</v>
      </c>
      <c r="F30" s="1391">
        <f>SUM(F28:F29)</f>
        <v>203</v>
      </c>
      <c r="G30" s="1393">
        <f>SUM(G28:G29)</f>
        <v>0</v>
      </c>
      <c r="H30" s="1390"/>
      <c r="I30" s="1390"/>
      <c r="J30" s="1390"/>
      <c r="K30" s="1390"/>
      <c r="L30" s="1390"/>
      <c r="M30" s="1390"/>
      <c r="N30" s="1390"/>
      <c r="O30" s="1390"/>
      <c r="P30" s="1390"/>
    </row>
    <row r="31" spans="1:19" ht="15.75" thickBot="1">
      <c r="A31" s="2259"/>
      <c r="B31" s="2260"/>
      <c r="C31" s="1005" t="s">
        <v>1959</v>
      </c>
      <c r="D31" s="728">
        <f>D27+D30</f>
        <v>7892.1</v>
      </c>
      <c r="E31" s="728">
        <f>E27+E30</f>
        <v>31952.659999999996</v>
      </c>
      <c r="F31" s="729">
        <f>F27+F30</f>
        <v>31952.659999999996</v>
      </c>
      <c r="G31" s="730">
        <f>G27+G30</f>
        <v>0</v>
      </c>
      <c r="H31" s="1390"/>
      <c r="I31" s="1390"/>
      <c r="J31" s="1390"/>
      <c r="K31" s="1390"/>
      <c r="L31" s="1390"/>
      <c r="M31" s="1390"/>
      <c r="N31" s="1390"/>
      <c r="O31" s="1390"/>
      <c r="P31" s="1390"/>
    </row>
    <row r="32" spans="1:19">
      <c r="A32" s="2223"/>
      <c r="B32" s="2223" t="s">
        <v>1960</v>
      </c>
      <c r="C32" s="2223"/>
      <c r="D32" s="2223"/>
      <c r="E32" s="1272">
        <f>SUMIF(C19:C26,"*住宅*",E19:E26)</f>
        <v>0</v>
      </c>
      <c r="F32" s="2223"/>
      <c r="G32" s="2223"/>
      <c r="H32" s="1390"/>
      <c r="I32" s="1390"/>
      <c r="J32" s="1390"/>
      <c r="K32" s="1390"/>
      <c r="L32" s="1390"/>
      <c r="M32" s="1390"/>
      <c r="N32" s="1390"/>
      <c r="O32" s="1390"/>
      <c r="P32" s="1390"/>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1961</v>
      </c>
      <c r="B1" s="731"/>
      <c r="C1" s="1579"/>
      <c r="D1" s="2263"/>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6" t="s">
        <v>1962</v>
      </c>
      <c r="B2" s="1264">
        <f>项目基本情况!D3</f>
        <v>43165</v>
      </c>
      <c r="C2" s="2267"/>
      <c r="D2" s="2268"/>
      <c r="E2" s="2267"/>
      <c r="F2" s="2267"/>
      <c r="G2" s="2267"/>
      <c r="H2" s="2267"/>
      <c r="I2" s="2267"/>
      <c r="J2" s="2267"/>
      <c r="K2" s="1425"/>
      <c r="L2" s="1425"/>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9" customFormat="1" ht="15" thickBot="1">
      <c r="A3" s="2027"/>
      <c r="B3" s="2270"/>
      <c r="C3" s="2267"/>
      <c r="D3" s="2268"/>
      <c r="E3" s="2267"/>
      <c r="F3" s="2267"/>
      <c r="G3" s="2267"/>
      <c r="H3" s="2267"/>
      <c r="I3" s="2267"/>
      <c r="J3" s="2267"/>
      <c r="K3" s="1425"/>
      <c r="L3" s="1425"/>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9" customFormat="1" ht="15" thickBot="1">
      <c r="A4" s="68" t="s">
        <v>1963</v>
      </c>
      <c r="B4" s="2271"/>
      <c r="C4" s="2272"/>
      <c r="D4" s="2273"/>
      <c r="E4" s="2272" t="s">
        <v>1964</v>
      </c>
      <c r="F4" s="2272"/>
      <c r="G4" s="2272"/>
      <c r="H4" s="2272"/>
      <c r="I4" s="2272"/>
      <c r="J4" s="2274"/>
      <c r="K4" s="2275"/>
      <c r="L4" s="2276"/>
      <c r="M4" s="2272"/>
      <c r="N4" s="2272" t="s">
        <v>1965</v>
      </c>
      <c r="O4" s="2272"/>
      <c r="P4" s="2272"/>
      <c r="Q4" s="2272"/>
      <c r="R4" s="2272"/>
      <c r="S4" s="2274"/>
      <c r="T4" s="2277" t="str">
        <f>'数据-汇总表'!I17</f>
        <v>按面积比例</v>
      </c>
      <c r="U4" s="2271" t="s">
        <v>1966</v>
      </c>
      <c r="V4" s="2272"/>
      <c r="W4" s="2272"/>
      <c r="X4" s="2272"/>
      <c r="Y4" s="2274"/>
      <c r="Z4" s="2234" t="s">
        <v>1967</v>
      </c>
      <c r="AA4" s="2234"/>
      <c r="AB4" s="2234"/>
      <c r="AC4" s="2234"/>
      <c r="AD4" s="2234"/>
      <c r="AE4" s="2232" t="s">
        <v>1968</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30" customFormat="1" ht="42">
      <c r="A5" s="2279" t="s">
        <v>1969</v>
      </c>
      <c r="B5" s="2280" t="s">
        <v>1970</v>
      </c>
      <c r="C5" s="2281" t="s">
        <v>1971</v>
      </c>
      <c r="D5" s="2282" t="s">
        <v>1972</v>
      </c>
      <c r="E5" s="1266" t="s">
        <v>1973</v>
      </c>
      <c r="F5" s="2283" t="s">
        <v>1974</v>
      </c>
      <c r="G5" s="1266" t="s">
        <v>1975</v>
      </c>
      <c r="H5" s="1266" t="s">
        <v>1976</v>
      </c>
      <c r="I5" s="1266" t="s">
        <v>1977</v>
      </c>
      <c r="J5" s="2284" t="s">
        <v>1978</v>
      </c>
      <c r="K5" s="2285" t="s">
        <v>1979</v>
      </c>
      <c r="L5" s="2286" t="s">
        <v>1980</v>
      </c>
      <c r="M5" s="2287" t="s">
        <v>1981</v>
      </c>
      <c r="N5" s="2288" t="s">
        <v>1982</v>
      </c>
      <c r="O5" s="2286" t="s">
        <v>1983</v>
      </c>
      <c r="P5" s="2289" t="s">
        <v>1984</v>
      </c>
      <c r="Q5" s="69" t="s">
        <v>1985</v>
      </c>
      <c r="R5" s="2290" t="s">
        <v>1986</v>
      </c>
      <c r="S5" s="2291" t="s">
        <v>1987</v>
      </c>
      <c r="T5" s="2292" t="s">
        <v>1988</v>
      </c>
      <c r="U5" s="1265" t="s">
        <v>1989</v>
      </c>
      <c r="V5" s="1266" t="s">
        <v>1990</v>
      </c>
      <c r="W5" s="1266" t="s">
        <v>1991</v>
      </c>
      <c r="X5" s="71"/>
      <c r="Y5" s="70" t="s">
        <v>1992</v>
      </c>
      <c r="Z5" s="2293" t="s">
        <v>1989</v>
      </c>
      <c r="AA5" s="1266" t="s">
        <v>1990</v>
      </c>
      <c r="AB5" s="1266" t="s">
        <v>1991</v>
      </c>
      <c r="AC5" s="71"/>
      <c r="AD5" s="71" t="s">
        <v>1992</v>
      </c>
      <c r="AE5" s="1265" t="s">
        <v>1993</v>
      </c>
      <c r="AF5" s="1266" t="s">
        <v>1994</v>
      </c>
      <c r="AG5" s="70" t="s">
        <v>1995</v>
      </c>
      <c r="AH5" s="1265" t="s">
        <v>1996</v>
      </c>
      <c r="AI5" s="2293" t="s">
        <v>1997</v>
      </c>
      <c r="AJ5" s="2293" t="s">
        <v>1998</v>
      </c>
      <c r="AK5" s="1266" t="s">
        <v>1999</v>
      </c>
      <c r="AL5" s="1266" t="s">
        <v>2000</v>
      </c>
      <c r="AM5" s="70" t="s">
        <v>2001</v>
      </c>
      <c r="AN5" s="2294" t="s">
        <v>2002</v>
      </c>
      <c r="AO5" s="2070" t="s">
        <v>2003</v>
      </c>
      <c r="AP5" s="1247" t="s">
        <v>2004</v>
      </c>
      <c r="AQ5" s="2295" t="s">
        <v>2005</v>
      </c>
      <c r="AR5" s="2295" t="s">
        <v>2006</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9" customFormat="1" ht="14.25">
      <c r="A6" s="2296" t="str">
        <f>'数据-汇总表'!C19</f>
        <v>普通商品住房</v>
      </c>
      <c r="B6" s="2297" t="str">
        <f>IF(A6=0,"","经营性")</f>
        <v>经营性</v>
      </c>
      <c r="C6" s="2944" t="s">
        <v>3228</v>
      </c>
      <c r="D6" s="1049">
        <f>SUMIF(项目基本情况!D$12:I$12,C6,项目基本情况!D$14:I$14)</f>
        <v>70</v>
      </c>
      <c r="E6" s="1046">
        <f>IF(B6="","",SUMIF(项目基本情况!D$12:I$12,C6,项目基本情况!D$13:I$13))</f>
        <v>68023</v>
      </c>
      <c r="F6" s="72">
        <f>SUMIF(项目基本情况!D$12:I$12,C6,项目基本情况!D$15:I$15)</f>
        <v>68.099999999999994</v>
      </c>
      <c r="G6" s="73">
        <f t="shared" ref="G6:G13" si="0">IF(ISERROR(ROUND(POWER(1+H6,D6-F6)*(POWER(1+H6,F6)-1)/(POWER(1+H6,D6)-1),3)),0,ROUND(POWER(1+H6,D6-F6)*(POWER(1+H6,F6)-1)/(POWER(1+H6,D6)-1),3))</f>
        <v>0.995</v>
      </c>
      <c r="H6" s="2962">
        <v>0.04</v>
      </c>
      <c r="I6" s="2962">
        <v>0.09</v>
      </c>
      <c r="J6" s="74"/>
      <c r="K6" s="1249">
        <f>SUMIF('数据-汇总表'!C$19:C$33,A6,'数据-汇总表'!E$19:E$33)</f>
        <v>31749.659999999996</v>
      </c>
      <c r="L6" s="801">
        <v>7500</v>
      </c>
      <c r="M6" s="75">
        <f t="shared" ref="M6:M14" si="1">ROUND(K6*L6/10000,0)</f>
        <v>23812</v>
      </c>
      <c r="N6" s="800">
        <v>0</v>
      </c>
      <c r="O6" s="75">
        <f>IF($N$5="成新度","——",ROUND(M6*N6,0))</f>
        <v>0</v>
      </c>
      <c r="P6" s="76">
        <f>IF($N$5="成新度","——",M6-O6)</f>
        <v>23812</v>
      </c>
      <c r="Q6" s="802">
        <v>0.15</v>
      </c>
      <c r="R6" s="77">
        <f ca="1">SUMIF('数据-汇总表'!C$19:C$33,A6,'数据-汇总表'!R$19:R$27)</f>
        <v>7892.1</v>
      </c>
      <c r="S6" s="54">
        <f>IF('数据-汇总表'!$I$17="按面积比例",SUMIF('数据-汇总表'!C$19:C$33,A6,'数据-汇总表'!K$19:K$33),SUMIF('数据-汇总表'!C$19:C$33,A6,'数据-汇总表'!N$19:N$33))</f>
        <v>203</v>
      </c>
      <c r="T6" s="1441">
        <f>ROUND($L$14*S6/10000,0)</f>
        <v>61</v>
      </c>
      <c r="U6" s="78"/>
      <c r="V6" s="79"/>
      <c r="W6" s="79"/>
      <c r="X6" s="1259"/>
      <c r="Y6" s="80"/>
      <c r="Z6" s="81"/>
      <c r="AA6" s="74"/>
      <c r="AB6" s="74"/>
      <c r="AC6" s="1259"/>
      <c r="AD6" s="82"/>
      <c r="AE6" s="1260">
        <f ca="1">IF(AN6="",0,SUMIF(INDIRECT("'"&amp;AN6&amp;"'"&amp;"!E:E"),$AE$5,INDIRECT("'"&amp;AN6&amp;"'"&amp;"!F:F")))</f>
        <v>0</v>
      </c>
      <c r="AF6" s="1802"/>
      <c r="AG6" s="147">
        <f>IF(AF6="",0,AE6-AF6)</f>
        <v>0</v>
      </c>
      <c r="AH6" s="83"/>
      <c r="AI6" s="85"/>
      <c r="AJ6" s="86"/>
      <c r="AK6" s="87"/>
      <c r="AL6" s="88"/>
      <c r="AM6" s="2960"/>
      <c r="AN6" s="2963"/>
      <c r="AO6" s="55" t="e">
        <f ca="1">SUMIF(INDIRECT("'"&amp;AN6&amp;"'"&amp;"!A:A"),"总价",INDIRECT("'"&amp;AN6&amp;"'"&amp;"!B:B"))</f>
        <v>#REF!</v>
      </c>
      <c r="AP6" s="2300">
        <f>IF(C6="住宅",K6*L6,0)</f>
        <v>238122449.99999997</v>
      </c>
      <c r="AQ6" s="55">
        <f>ROUND($L$14*$N$14*S6/10000,0)</f>
        <v>0</v>
      </c>
      <c r="AR6" s="55">
        <f>ROUND($L$14*(1-$N$14)*S6/10000,0)</f>
        <v>61</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9" customFormat="1" ht="14.25">
      <c r="A7" s="2296">
        <f>'数据-汇总表'!C20</f>
        <v>0</v>
      </c>
      <c r="B7" s="2297" t="str">
        <f t="shared" ref="B7:B13" si="2">IF(A7=0,"","经营性")</f>
        <v/>
      </c>
      <c r="C7" s="2944"/>
      <c r="D7" s="1049">
        <f>SUMIF(项目基本情况!D$12:I$12,C7,项目基本情况!D$14:I$14)</f>
        <v>0</v>
      </c>
      <c r="E7" s="1046" t="str">
        <f>IF(B7="","",SUMIF(项目基本情况!D$12:I$12,C7,项目基本情况!D$13:I$13))</f>
        <v/>
      </c>
      <c r="F7" s="72">
        <f>SUMIF(项目基本情况!D$12:I$12,C7,项目基本情况!D$15:I$15)</f>
        <v>0</v>
      </c>
      <c r="G7" s="73">
        <f t="shared" si="0"/>
        <v>0</v>
      </c>
      <c r="H7" s="2962"/>
      <c r="I7" s="2962"/>
      <c r="J7" s="74"/>
      <c r="K7" s="1249">
        <f>SUMIF('数据-汇总表'!C$19:C$33,A7,'数据-汇总表'!E$19:E$33)</f>
        <v>0</v>
      </c>
      <c r="L7" s="801"/>
      <c r="M7" s="75">
        <f t="shared" si="1"/>
        <v>0</v>
      </c>
      <c r="N7" s="800"/>
      <c r="O7" s="75">
        <f t="shared" ref="O7:O14" si="3">IF($N$5="成新度","——",ROUND(M7*N7,0))</f>
        <v>0</v>
      </c>
      <c r="P7" s="76">
        <f t="shared" ref="P7:P14" si="4">IF($N$5="成新度","——",M7-O7)</f>
        <v>0</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94"/>
      <c r="AL7" s="95"/>
      <c r="AM7" s="2960"/>
      <c r="AN7" s="2963"/>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9" customFormat="1" ht="14.25">
      <c r="A8" s="2296">
        <f>'数据-汇总表'!C21</f>
        <v>0</v>
      </c>
      <c r="B8" s="2297" t="str">
        <f t="shared" si="2"/>
        <v/>
      </c>
      <c r="C8" s="2944"/>
      <c r="D8" s="1049">
        <f>SUMIF(项目基本情况!D$12:I$12,C8,项目基本情况!D$14:I$14)</f>
        <v>0</v>
      </c>
      <c r="E8" s="1046" t="str">
        <f>IF(B8="","",SUMIF(项目基本情况!D$12:I$12,C8,项目基本情况!D$13:I$13))</f>
        <v/>
      </c>
      <c r="F8" s="72">
        <f>SUMIF(项目基本情况!D$12:I$12,C8,项目基本情况!D$15:I$15)</f>
        <v>0</v>
      </c>
      <c r="G8" s="73">
        <f t="shared" si="0"/>
        <v>0</v>
      </c>
      <c r="H8" s="2962"/>
      <c r="I8" s="2962"/>
      <c r="J8" s="74"/>
      <c r="K8" s="1249">
        <f>SUMIF('数据-汇总表'!C$19:C$33,A8,'数据-汇总表'!E$19:E$33)</f>
        <v>0</v>
      </c>
      <c r="L8" s="801"/>
      <c r="M8" s="75">
        <f>ROUND(K8*L8/10000,0)</f>
        <v>0</v>
      </c>
      <c r="N8" s="800"/>
      <c r="O8" s="75">
        <f t="shared" si="3"/>
        <v>0</v>
      </c>
      <c r="P8" s="76">
        <f t="shared" si="4"/>
        <v>0</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7"/>
      <c r="AL8" s="88"/>
      <c r="AM8" s="2960"/>
      <c r="AN8" s="2963"/>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9" customFormat="1" ht="14.25">
      <c r="A9" s="2296">
        <f>'数据-汇总表'!C22</f>
        <v>0</v>
      </c>
      <c r="B9" s="2297" t="str">
        <f t="shared" si="2"/>
        <v/>
      </c>
      <c r="C9" s="2298"/>
      <c r="D9" s="1049">
        <f>SUMIF(项目基本情况!D$12:I$12,C9,项目基本情况!D$14:I$14)</f>
        <v>0</v>
      </c>
      <c r="E9" s="1046" t="str">
        <f>IF(B9="","",SUMIF(项目基本情况!D$12:I$12,C9,项目基本情况!D$13:I$13))</f>
        <v/>
      </c>
      <c r="F9" s="72">
        <f>SUMIF(项目基本情况!D$12:I$12,C9,项目基本情况!D$15:I$15)</f>
        <v>0</v>
      </c>
      <c r="G9" s="73">
        <f t="shared" si="0"/>
        <v>0</v>
      </c>
      <c r="H9" s="74"/>
      <c r="I9" s="74"/>
      <c r="J9" s="74"/>
      <c r="K9" s="1249">
        <f>SUMIF('数据-汇总表'!C$19:C$33,A9,'数据-汇总表'!E$19:E$33)</f>
        <v>0</v>
      </c>
      <c r="L9" s="801"/>
      <c r="M9" s="75">
        <f t="shared" si="1"/>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9" customFormat="1" ht="14.25">
      <c r="A10" s="2296">
        <f>'数据-汇总表'!C23</f>
        <v>0</v>
      </c>
      <c r="B10" s="2297" t="str">
        <f t="shared" si="2"/>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0"/>
        <v>0</v>
      </c>
      <c r="H10" s="74"/>
      <c r="I10" s="74"/>
      <c r="J10" s="74"/>
      <c r="K10" s="1249">
        <f>SUMIF('数据-汇总表'!C$19:C$33,A10,'数据-汇总表'!E$19:E$33)</f>
        <v>0</v>
      </c>
      <c r="L10" s="801"/>
      <c r="M10" s="75">
        <f t="shared" si="1"/>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9" customFormat="1" ht="14.25">
      <c r="A11" s="2296">
        <f>'数据-汇总表'!C24</f>
        <v>0</v>
      </c>
      <c r="B11" s="2297" t="str">
        <f t="shared" si="2"/>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0"/>
        <v>0</v>
      </c>
      <c r="H11" s="74"/>
      <c r="I11" s="74"/>
      <c r="J11" s="74"/>
      <c r="K11" s="1249">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9" customFormat="1" ht="14.25">
      <c r="A12" s="2296">
        <f>'数据-汇总表'!C25</f>
        <v>0</v>
      </c>
      <c r="B12" s="2297" t="str">
        <f t="shared" si="2"/>
        <v/>
      </c>
      <c r="C12" s="2298"/>
      <c r="D12" s="1049">
        <f>SUMIF(项目基本情况!D$12:I$12,C12,项目基本情况!D$14:I$14)</f>
        <v>0</v>
      </c>
      <c r="E12" s="1046" t="str">
        <f>IF(B12="","",SUMIF(项目基本情况!D$12:I$12,C12,项目基本情况!D$13:I$13))</f>
        <v/>
      </c>
      <c r="F12" s="72">
        <f>SUMIF(项目基本情况!D$12:I$12,C12,项目基本情况!D$15:I$15)</f>
        <v>0</v>
      </c>
      <c r="G12" s="73">
        <f t="shared" si="0"/>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9" customFormat="1" ht="14.25">
      <c r="A13" s="2296">
        <f>'数据-汇总表'!C26</f>
        <v>0</v>
      </c>
      <c r="B13" s="2297" t="str">
        <f t="shared" si="2"/>
        <v/>
      </c>
      <c r="C13" s="2298"/>
      <c r="D13" s="1049">
        <f>SUMIF(项目基本情况!D$12:I$12,C13,项目基本情况!D$14:I$14)</f>
        <v>0</v>
      </c>
      <c r="E13" s="1046" t="str">
        <f>IF(B13="","",SUMIF(项目基本情况!D$12:I$12,C13,项目基本情况!D$13:I$13))</f>
        <v/>
      </c>
      <c r="F13" s="72">
        <f>SUMIF(项目基本情况!D$12:I$12,C13,项目基本情况!D$15:I$15)</f>
        <v>0</v>
      </c>
      <c r="G13" s="73">
        <f t="shared" si="0"/>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9" customFormat="1" ht="14.25">
      <c r="A14" s="2301" t="s">
        <v>2007</v>
      </c>
      <c r="B14" s="2297" t="s">
        <v>2008</v>
      </c>
      <c r="C14" s="2302" t="s">
        <v>2007</v>
      </c>
      <c r="D14" s="1049"/>
      <c r="E14" s="1046"/>
      <c r="F14" s="72"/>
      <c r="G14" s="73"/>
      <c r="H14" s="1248"/>
      <c r="I14" s="1248"/>
      <c r="J14" s="1248"/>
      <c r="K14" s="1249">
        <f>SUMIF('数据-汇总表'!C$19:C$33,A14,'数据-汇总表'!E$19:E$33)</f>
        <v>203</v>
      </c>
      <c r="L14" s="91">
        <v>3000</v>
      </c>
      <c r="M14" s="75">
        <f t="shared" si="1"/>
        <v>61</v>
      </c>
      <c r="N14" s="92">
        <v>0</v>
      </c>
      <c r="O14" s="75">
        <f t="shared" si="3"/>
        <v>0</v>
      </c>
      <c r="P14" s="76">
        <f t="shared" si="4"/>
        <v>61</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9" customFormat="1" ht="27">
      <c r="A15" s="2301" t="s">
        <v>2009</v>
      </c>
      <c r="B15" s="2297" t="s">
        <v>2008</v>
      </c>
      <c r="C15" s="2302" t="s">
        <v>2010</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9" customFormat="1" ht="15.75" thickBot="1">
      <c r="A16" s="2303" t="s">
        <v>2011</v>
      </c>
      <c r="B16" s="97"/>
      <c r="C16" s="1003"/>
      <c r="D16" s="2304"/>
      <c r="E16" s="97"/>
      <c r="F16" s="97"/>
      <c r="G16" s="98">
        <f>ROUND(SUMPRODUCT(G6:G13,K6:K13)/SUMPRODUCT((G6:G13&gt;0)*(K6:K13)),3)</f>
        <v>0.995</v>
      </c>
      <c r="H16" s="99">
        <f>ROUND(SUMPRODUCT(H6:H13,K6:K13)/SUMPRODUCT((H6:H13&gt;0)*(K6:K13)),3)</f>
        <v>0.04</v>
      </c>
      <c r="I16" s="100"/>
      <c r="J16" s="100"/>
      <c r="K16" s="101">
        <f>SUM(K6:K15)</f>
        <v>31952.659999999996</v>
      </c>
      <c r="L16" s="102">
        <f>ROUND(M16*10000/SUM(K6:K14),0)</f>
        <v>7471</v>
      </c>
      <c r="M16" s="102">
        <f>SUM(M6:M14)</f>
        <v>23873</v>
      </c>
      <c r="N16" s="103">
        <f>ROUND(SUMPRODUCT(M6:M14,N6:N14)/M16,3)</f>
        <v>0</v>
      </c>
      <c r="O16" s="102">
        <f>SUM(O6:O14)</f>
        <v>0</v>
      </c>
      <c r="P16" s="102">
        <f>SUM(P6:P14)</f>
        <v>23873</v>
      </c>
      <c r="Q16" s="104">
        <f>ROUND(SUMPRODUCT(Q6:Q13,K6:K13)/SUMPRODUCT((Q6:Q13&gt;0)*(K6:K13)),2)</f>
        <v>0.15</v>
      </c>
      <c r="R16" s="1253">
        <f ca="1">SUM(R6:R13)</f>
        <v>7892.1</v>
      </c>
      <c r="S16" s="105">
        <f>SUM(S6:S13)</f>
        <v>203</v>
      </c>
      <c r="T16" s="106">
        <f>IF(SUMIF(T6:T13,"&lt;9E307")=M14,SUMIF(T6:T13,"&lt;9E307"),"有误，请检查")</f>
        <v>61</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9"/>
      <c r="D17" s="2263"/>
      <c r="E17" s="2263"/>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2012</v>
      </c>
      <c r="B18" s="2270"/>
      <c r="C18" s="2267"/>
      <c r="D18" s="2268"/>
      <c r="E18" s="2267"/>
      <c r="F18" s="2267"/>
      <c r="G18" s="2267"/>
      <c r="H18" s="2267"/>
      <c r="I18" s="2267"/>
      <c r="J18" s="2267"/>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6" t="s">
        <v>2013</v>
      </c>
      <c r="B19" s="112">
        <v>0</v>
      </c>
      <c r="C19" s="2267" t="s">
        <v>2014</v>
      </c>
      <c r="D19" s="2268"/>
      <c r="E19" s="2267"/>
      <c r="F19" s="2267"/>
      <c r="G19" s="2267"/>
      <c r="H19" s="2267"/>
      <c r="I19" s="2267"/>
      <c r="J19" s="2267"/>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7" t="s">
        <v>2015</v>
      </c>
      <c r="B20" s="113">
        <v>2</v>
      </c>
      <c r="C20" s="2267" t="s">
        <v>2016</v>
      </c>
      <c r="D20" s="2268"/>
      <c r="E20" s="2267"/>
      <c r="F20" s="2267"/>
      <c r="G20" s="2267"/>
      <c r="H20" s="2267"/>
      <c r="I20" s="2267"/>
      <c r="J20" s="2267"/>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8" t="s">
        <v>2017</v>
      </c>
      <c r="B21" s="113">
        <v>0</v>
      </c>
      <c r="C21" s="2267"/>
      <c r="D21" s="2268"/>
      <c r="E21" s="2267"/>
      <c r="F21" s="2267"/>
      <c r="G21" s="2267"/>
      <c r="H21" s="2267"/>
      <c r="I21" s="2267"/>
      <c r="J21" s="2267"/>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7" t="s">
        <v>2018</v>
      </c>
      <c r="B22" s="114">
        <f>B19+B20</f>
        <v>2</v>
      </c>
      <c r="C22" s="2267"/>
      <c r="D22" s="2268"/>
      <c r="E22" s="2267"/>
      <c r="F22" s="2267"/>
      <c r="G22" s="2267"/>
      <c r="H22" s="2267"/>
      <c r="I22" s="2267"/>
      <c r="J22" s="2267"/>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8" t="s">
        <v>2019</v>
      </c>
      <c r="B23" s="114">
        <f>B19+B21</f>
        <v>0</v>
      </c>
      <c r="C23" s="2267"/>
      <c r="D23" s="2268"/>
      <c r="E23" s="2267"/>
      <c r="F23" s="2267"/>
      <c r="G23" s="2267"/>
      <c r="H23" s="2267"/>
      <c r="I23" s="2267"/>
      <c r="J23" s="2267"/>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9" t="s">
        <v>2020</v>
      </c>
      <c r="B24" s="115">
        <f>B20-B21</f>
        <v>2</v>
      </c>
      <c r="C24" s="2267"/>
      <c r="D24" s="2268"/>
      <c r="E24" s="2267"/>
      <c r="F24" s="2267"/>
      <c r="G24" s="2267"/>
      <c r="H24" s="2267"/>
      <c r="I24" s="2267"/>
      <c r="J24" s="2267"/>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0"/>
      <c r="C25" s="2267"/>
      <c r="D25" s="2268"/>
      <c r="E25" s="2267"/>
      <c r="F25" s="2267"/>
      <c r="G25" s="2267"/>
      <c r="H25" s="2267"/>
      <c r="I25" s="2267"/>
      <c r="J25" s="2267"/>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6" t="s">
        <v>2021</v>
      </c>
      <c r="B26" s="2310" t="s">
        <v>2022</v>
      </c>
      <c r="C26" s="2311" t="s">
        <v>2023</v>
      </c>
      <c r="D26" s="2268"/>
      <c r="E26" s="2267"/>
      <c r="F26" s="2267"/>
      <c r="G26" s="2267"/>
      <c r="H26" s="2267"/>
      <c r="I26" s="2267"/>
      <c r="J26" s="2267"/>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4" customFormat="1" ht="27.75">
      <c r="A27" s="2312" t="s">
        <v>2024</v>
      </c>
      <c r="B27" s="116">
        <v>160</v>
      </c>
      <c r="C27" s="1762" t="s">
        <v>2025</v>
      </c>
      <c r="D27" s="2313"/>
      <c r="E27" s="1425"/>
      <c r="F27" s="1425"/>
      <c r="G27" s="2267"/>
      <c r="H27" s="2267"/>
      <c r="I27" s="2267"/>
      <c r="J27" s="2267"/>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4" customFormat="1" ht="27.75">
      <c r="A28" s="2315" t="s">
        <v>2026</v>
      </c>
      <c r="B28" s="119">
        <v>200</v>
      </c>
      <c r="C28" s="2316"/>
      <c r="D28" s="2313"/>
      <c r="E28" s="1425"/>
      <c r="F28" s="1425"/>
      <c r="G28" s="2267"/>
      <c r="H28" s="2267"/>
      <c r="I28" s="2267"/>
      <c r="J28" s="2267"/>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4" customFormat="1" ht="28.5" thickBot="1">
      <c r="A29" s="2317" t="s">
        <v>2027</v>
      </c>
      <c r="B29" s="121">
        <f ca="1">假设开发法!C19+假设开发法!C20</f>
        <v>512</v>
      </c>
      <c r="C29" s="1762" t="s">
        <v>2028</v>
      </c>
      <c r="D29" s="2313"/>
      <c r="E29" s="1425"/>
      <c r="F29" s="1425"/>
      <c r="G29" s="2267"/>
      <c r="H29" s="2267"/>
      <c r="I29" s="2267"/>
      <c r="J29" s="2267"/>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4" customFormat="1" ht="27">
      <c r="A30" s="2318" t="s">
        <v>2029</v>
      </c>
      <c r="B30" s="723">
        <v>200</v>
      </c>
      <c r="C30" s="2316"/>
      <c r="D30" s="2313"/>
      <c r="E30" s="1425"/>
      <c r="F30" s="1425"/>
      <c r="G30" s="2267"/>
      <c r="H30" s="2267"/>
      <c r="I30" s="2267"/>
      <c r="J30" s="2267"/>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4" customFormat="1" ht="27">
      <c r="A31" s="2315" t="s">
        <v>2030</v>
      </c>
      <c r="B31" s="120">
        <f>B30-B32</f>
        <v>200</v>
      </c>
      <c r="C31" s="1762"/>
      <c r="D31" s="2313"/>
      <c r="E31" s="1425"/>
      <c r="F31" s="1425"/>
      <c r="G31" s="2267"/>
      <c r="H31" s="2267"/>
      <c r="I31" s="2267"/>
      <c r="J31" s="2267"/>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4" customFormat="1" ht="27.75" thickBot="1">
      <c r="A32" s="2319" t="s">
        <v>2031</v>
      </c>
      <c r="B32" s="724">
        <v>0</v>
      </c>
      <c r="C32" s="2316"/>
      <c r="D32" s="2268"/>
      <c r="E32" s="2267"/>
      <c r="F32" s="2267"/>
      <c r="G32" s="2267"/>
      <c r="H32" s="2267"/>
      <c r="I32" s="2267"/>
      <c r="J32" s="2267"/>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4" customFormat="1" ht="14.25">
      <c r="A33" s="2312" t="s">
        <v>2032</v>
      </c>
      <c r="B33" s="725">
        <v>0.03</v>
      </c>
      <c r="C33" s="1761" t="s">
        <v>2033</v>
      </c>
      <c r="D33" s="2268"/>
      <c r="E33" s="2267"/>
      <c r="F33" s="2267"/>
      <c r="G33" s="2267"/>
      <c r="H33" s="2267"/>
      <c r="I33" s="2267"/>
      <c r="J33" s="2267"/>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4" customFormat="1" ht="14.25">
      <c r="A34" s="2315" t="s">
        <v>2034</v>
      </c>
      <c r="B34" s="2980">
        <v>0.03</v>
      </c>
      <c r="C34" s="1761" t="s">
        <v>2035</v>
      </c>
      <c r="D34" s="2268" t="s">
        <v>2036</v>
      </c>
      <c r="E34" s="731"/>
      <c r="F34" s="2267"/>
      <c r="G34" s="2267"/>
      <c r="H34" s="2267"/>
      <c r="I34" s="2267"/>
      <c r="J34" s="2267"/>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4" customFormat="1" ht="14.25">
      <c r="A35" s="2315" t="s">
        <v>2037</v>
      </c>
      <c r="B35" s="119">
        <v>200</v>
      </c>
      <c r="C35" s="1761" t="s">
        <v>2038</v>
      </c>
      <c r="D35" s="2313"/>
      <c r="E35" s="1425"/>
      <c r="F35" s="1425"/>
      <c r="G35" s="2267"/>
      <c r="H35" s="2267"/>
      <c r="I35" s="2267"/>
      <c r="J35" s="2267"/>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7" t="s">
        <v>2039</v>
      </c>
      <c r="B36" s="123">
        <v>1.4999999999999999E-2</v>
      </c>
      <c r="C36" s="1761" t="s">
        <v>2040</v>
      </c>
      <c r="D36" s="2268"/>
      <c r="E36" s="2267"/>
      <c r="F36" s="2267"/>
      <c r="G36" s="2267"/>
      <c r="H36" s="2267"/>
      <c r="I36" s="2267"/>
      <c r="J36" s="2267"/>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8" t="s">
        <v>2041</v>
      </c>
      <c r="B37" s="124">
        <v>0.01</v>
      </c>
      <c r="C37" s="1761" t="s">
        <v>2042</v>
      </c>
      <c r="D37" s="2268"/>
      <c r="E37" s="2267"/>
      <c r="F37" s="2267"/>
      <c r="G37" s="2267"/>
      <c r="H37" s="2267"/>
      <c r="I37" s="2267"/>
      <c r="J37" s="2267"/>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5" t="s">
        <v>2043</v>
      </c>
      <c r="B38" s="122">
        <v>0.01</v>
      </c>
      <c r="C38" s="1761" t="s">
        <v>2042</v>
      </c>
      <c r="D38" s="2268"/>
      <c r="E38" s="2267"/>
      <c r="F38" s="2267"/>
      <c r="G38" s="2267"/>
      <c r="H38" s="2267"/>
      <c r="I38" s="2267"/>
      <c r="J38" s="2267"/>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9" t="s">
        <v>2044</v>
      </c>
      <c r="B39" s="362">
        <f ca="1">存贷款利率!I1</f>
        <v>1.4999999999999999E-2</v>
      </c>
      <c r="C39" s="1761"/>
      <c r="D39" s="2268"/>
      <c r="E39" s="2267"/>
      <c r="F39" s="2267"/>
      <c r="G39" s="2267"/>
      <c r="H39" s="2267"/>
      <c r="I39" s="2267"/>
      <c r="J39" s="2267"/>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9" t="s">
        <v>2045</v>
      </c>
      <c r="B40" s="1298">
        <f ca="1">存贷款利率!G1</f>
        <v>4.7500000000000001E-2</v>
      </c>
      <c r="C40" s="1761" t="s">
        <v>2046</v>
      </c>
      <c r="D40" s="1579"/>
      <c r="E40" s="2268"/>
      <c r="F40" s="2267"/>
      <c r="G40" s="2267"/>
      <c r="H40" s="2267"/>
      <c r="I40" s="2267"/>
      <c r="J40" s="2267"/>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2" t="s">
        <v>2047</v>
      </c>
      <c r="B41" s="125">
        <f>B42+B43</f>
        <v>5.5000000000000007E-2</v>
      </c>
      <c r="C41" s="1762"/>
      <c r="D41" s="1579"/>
      <c r="E41" s="2268"/>
      <c r="F41" s="2267"/>
      <c r="G41" s="2267"/>
      <c r="H41" s="2267"/>
      <c r="I41" s="2267"/>
      <c r="J41" s="2267"/>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0" t="s">
        <v>2048</v>
      </c>
      <c r="B42" s="126">
        <v>0.05</v>
      </c>
      <c r="C42" s="2321">
        <f>IF(B2&lt;DATE(2016,5,1),0,B42)</f>
        <v>0.05</v>
      </c>
      <c r="D42" s="2268"/>
      <c r="E42" s="2267"/>
      <c r="F42" s="2267"/>
      <c r="G42" s="2267"/>
      <c r="H42" s="2267"/>
      <c r="I42" s="2267"/>
      <c r="J42" s="2267"/>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0" t="s">
        <v>2049</v>
      </c>
      <c r="B43" s="127">
        <f>B42*(B44+B45+B46)+B47</f>
        <v>5.000000000000001E-3</v>
      </c>
      <c r="C43" s="1762"/>
      <c r="D43" s="2268"/>
      <c r="E43" s="2267"/>
      <c r="F43" s="2267"/>
      <c r="G43" s="2267"/>
      <c r="H43" s="2267"/>
      <c r="I43" s="2267"/>
      <c r="J43" s="2267"/>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2" t="s">
        <v>2050</v>
      </c>
      <c r="B44" s="128">
        <v>0.05</v>
      </c>
      <c r="C44" s="1761" t="s">
        <v>2051</v>
      </c>
      <c r="D44" s="2268"/>
      <c r="E44" s="2267"/>
      <c r="F44" s="2267"/>
      <c r="G44" s="2267"/>
      <c r="H44" s="2267"/>
      <c r="I44" s="2267"/>
      <c r="J44" s="2267"/>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2" t="s">
        <v>2052</v>
      </c>
      <c r="B45" s="126">
        <v>0.03</v>
      </c>
      <c r="C45" s="1762" t="s">
        <v>2053</v>
      </c>
      <c r="D45" s="2268"/>
      <c r="E45" s="2267"/>
      <c r="F45" s="2267"/>
      <c r="G45" s="2267"/>
      <c r="H45" s="2267"/>
      <c r="I45" s="2267"/>
      <c r="J45" s="2267"/>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2" t="s">
        <v>2054</v>
      </c>
      <c r="B46" s="126">
        <v>0.02</v>
      </c>
      <c r="C46" s="1762" t="s">
        <v>2055</v>
      </c>
      <c r="D46" s="2268"/>
      <c r="E46" s="2267"/>
      <c r="F46" s="2267"/>
      <c r="G46" s="2267"/>
      <c r="H46" s="2267"/>
      <c r="I46" s="2267"/>
      <c r="J46" s="2267"/>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3" t="s">
        <v>2056</v>
      </c>
      <c r="B47" s="129">
        <v>0</v>
      </c>
      <c r="C47" s="1762" t="s">
        <v>2057</v>
      </c>
      <c r="D47" s="2268"/>
      <c r="E47" s="2267"/>
      <c r="F47" s="2267"/>
      <c r="G47" s="2267"/>
      <c r="H47" s="2267"/>
      <c r="I47" s="2267"/>
      <c r="J47" s="2267"/>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4" t="s">
        <v>2058</v>
      </c>
      <c r="B48" s="130">
        <v>0.03</v>
      </c>
      <c r="C48" s="1769" t="s">
        <v>2059</v>
      </c>
      <c r="D48" s="2268"/>
      <c r="E48" s="2267"/>
      <c r="F48" s="2267"/>
      <c r="G48" s="2267"/>
      <c r="H48" s="2267"/>
      <c r="I48" s="2267"/>
      <c r="J48" s="2267"/>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9" t="s">
        <v>2060</v>
      </c>
      <c r="B49" s="126">
        <v>5.0000000000000001E-4</v>
      </c>
      <c r="C49" s="1769" t="s">
        <v>2061</v>
      </c>
      <c r="D49" s="2268"/>
      <c r="E49" s="2267"/>
      <c r="F49" s="2267"/>
      <c r="G49" s="2267"/>
      <c r="H49" s="2267"/>
      <c r="I49" s="2267"/>
      <c r="J49" s="2267"/>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5" t="s">
        <v>2062</v>
      </c>
      <c r="B50" s="131">
        <v>1.2E-2</v>
      </c>
      <c r="C50" s="1425"/>
      <c r="D50" s="2268"/>
      <c r="E50" s="2267"/>
      <c r="F50" s="2267"/>
      <c r="G50" s="2267"/>
      <c r="H50" s="2267"/>
      <c r="I50" s="2267"/>
      <c r="J50" s="2267"/>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7" t="s">
        <v>2063</v>
      </c>
      <c r="B51" s="132">
        <v>0.12</v>
      </c>
      <c r="C51" s="1425"/>
      <c r="D51" s="2268"/>
      <c r="E51" s="2267"/>
      <c r="F51" s="2267"/>
      <c r="G51" s="2267"/>
      <c r="H51" s="2267"/>
      <c r="I51" s="2267"/>
      <c r="J51" s="2267"/>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5" t="s">
        <v>2064</v>
      </c>
      <c r="B52" s="133">
        <f>SUMIF(A54:A63,B53,B54:B63)</f>
        <v>1.5</v>
      </c>
      <c r="C52" s="1425"/>
      <c r="D52" s="2268"/>
      <c r="E52" s="2267"/>
      <c r="F52" s="2267"/>
      <c r="G52" s="2267"/>
      <c r="H52" s="2267"/>
      <c r="I52" s="2267"/>
      <c r="J52" s="2267"/>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5" t="s">
        <v>2065</v>
      </c>
      <c r="B53" s="2326" t="s">
        <v>56</v>
      </c>
      <c r="C53" s="1425" t="s">
        <v>2066</v>
      </c>
      <c r="D53" s="2327" t="s">
        <v>2067</v>
      </c>
      <c r="E53" s="2267"/>
      <c r="F53" s="2267"/>
      <c r="G53" s="2267"/>
      <c r="H53" s="2267"/>
      <c r="I53" s="2267"/>
      <c r="J53" s="2267"/>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8" t="s">
        <v>2068</v>
      </c>
      <c r="B54" s="84">
        <v>30</v>
      </c>
      <c r="C54" s="1425">
        <v>30</v>
      </c>
      <c r="D54" s="2268"/>
      <c r="E54" s="2267"/>
      <c r="F54" s="2267"/>
      <c r="G54" s="2267"/>
      <c r="H54" s="2267"/>
      <c r="I54" s="2267"/>
      <c r="J54" s="2267"/>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8" t="s">
        <v>2069</v>
      </c>
      <c r="B55" s="84">
        <v>24</v>
      </c>
      <c r="C55" s="1425">
        <v>24</v>
      </c>
      <c r="D55" s="2268"/>
      <c r="E55" s="2267"/>
      <c r="F55" s="2267"/>
      <c r="G55" s="2267"/>
      <c r="H55" s="2267"/>
      <c r="I55" s="2329"/>
      <c r="J55" s="2267"/>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8" t="s">
        <v>2070</v>
      </c>
      <c r="B56" s="84">
        <v>18</v>
      </c>
      <c r="C56" s="1425">
        <v>18</v>
      </c>
      <c r="D56" s="2268"/>
      <c r="E56" s="2267"/>
      <c r="F56" s="2267"/>
      <c r="G56" s="2267"/>
      <c r="H56" s="2267"/>
      <c r="I56" s="2267"/>
      <c r="J56" s="2267"/>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8" t="s">
        <v>2071</v>
      </c>
      <c r="B57" s="84">
        <v>12</v>
      </c>
      <c r="C57" s="1425">
        <v>12</v>
      </c>
      <c r="D57" s="2268"/>
      <c r="E57" s="2267"/>
      <c r="F57" s="2267"/>
      <c r="G57" s="2267"/>
      <c r="H57" s="2267"/>
      <c r="I57" s="2267"/>
      <c r="J57" s="2267"/>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8" t="s">
        <v>2072</v>
      </c>
      <c r="B58" s="84">
        <v>3</v>
      </c>
      <c r="C58" s="1425">
        <v>3</v>
      </c>
      <c r="D58" s="2268"/>
      <c r="E58" s="2267"/>
      <c r="F58" s="2267"/>
      <c r="G58" s="2267"/>
      <c r="H58" s="2267"/>
      <c r="I58" s="2267"/>
      <c r="J58" s="2267"/>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8" t="s">
        <v>2073</v>
      </c>
      <c r="B59" s="84">
        <v>1.5</v>
      </c>
      <c r="C59" s="1425">
        <v>1.5</v>
      </c>
      <c r="D59" s="2268"/>
      <c r="E59" s="2267"/>
      <c r="F59" s="2267"/>
      <c r="G59" s="2267"/>
      <c r="H59" s="2267"/>
      <c r="I59" s="2267"/>
      <c r="J59" s="2267"/>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8" t="s">
        <v>2074</v>
      </c>
      <c r="B60" s="84"/>
      <c r="C60" s="2267"/>
      <c r="D60" s="2268"/>
      <c r="E60" s="2267"/>
      <c r="F60" s="2267"/>
      <c r="G60" s="2267"/>
      <c r="H60" s="2267"/>
      <c r="I60" s="2267"/>
      <c r="J60" s="2267"/>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8" t="s">
        <v>2075</v>
      </c>
      <c r="B61" s="84"/>
      <c r="C61" s="2267"/>
      <c r="D61" s="2268"/>
      <c r="E61" s="2267"/>
      <c r="F61" s="2267"/>
      <c r="G61" s="2267"/>
      <c r="H61" s="2267"/>
      <c r="I61" s="2267"/>
      <c r="J61" s="2267"/>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8" t="s">
        <v>2076</v>
      </c>
      <c r="B62" s="84"/>
      <c r="C62" s="2267"/>
      <c r="D62" s="2268"/>
      <c r="E62" s="2267"/>
      <c r="F62" s="2267"/>
      <c r="G62" s="2267"/>
      <c r="H62" s="2267"/>
      <c r="I62" s="2267"/>
      <c r="J62" s="2267"/>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0" t="s">
        <v>2077</v>
      </c>
      <c r="B63" s="134"/>
      <c r="C63" s="2267"/>
      <c r="D63" s="2268"/>
      <c r="E63" s="2267"/>
      <c r="F63" s="2267"/>
      <c r="G63" s="2267"/>
      <c r="H63" s="2267"/>
      <c r="I63" s="2267"/>
      <c r="J63" s="2267"/>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1"/>
      <c r="D64" s="2332"/>
      <c r="K64" s="797"/>
      <c r="L64" s="797"/>
    </row>
    <row r="65" spans="1:12" s="962" customFormat="1">
      <c r="A65" s="2331"/>
      <c r="D65" s="2332"/>
      <c r="K65" s="797"/>
      <c r="L65" s="797"/>
    </row>
    <row r="66" spans="1:12" s="962" customFormat="1">
      <c r="A66" s="2331"/>
      <c r="D66" s="2332"/>
      <c r="K66" s="797"/>
      <c r="L66" s="797"/>
    </row>
    <row r="67" spans="1:12" s="962" customFormat="1">
      <c r="A67" s="2331"/>
      <c r="D67" s="2332"/>
      <c r="K67" s="797"/>
      <c r="L67" s="797"/>
    </row>
    <row r="68" spans="1:12" s="962" customFormat="1">
      <c r="A68" s="2331"/>
      <c r="D68" s="2332"/>
      <c r="K68" s="797"/>
      <c r="L68" s="797"/>
    </row>
    <row r="69" spans="1:12" s="962" customFormat="1">
      <c r="A69" s="2331"/>
      <c r="D69" s="2332"/>
      <c r="K69" s="797"/>
      <c r="L69" s="797"/>
    </row>
    <row r="70" spans="1:12" s="962" customFormat="1">
      <c r="A70" s="2331"/>
      <c r="D70" s="2332"/>
      <c r="K70" s="797"/>
      <c r="L70" s="797"/>
    </row>
    <row r="71" spans="1:12" s="962" customFormat="1">
      <c r="A71" s="2331"/>
      <c r="D71" s="2332"/>
      <c r="K71" s="797"/>
      <c r="L71" s="797"/>
    </row>
    <row r="72" spans="1:12" s="962" customFormat="1">
      <c r="A72" s="2331"/>
      <c r="D72" s="2332"/>
      <c r="K72" s="797"/>
      <c r="L72" s="797"/>
    </row>
    <row r="73" spans="1:12" s="962" customFormat="1">
      <c r="A73" s="2331"/>
      <c r="D73" s="2332"/>
      <c r="K73" s="797"/>
      <c r="L73" s="797"/>
    </row>
    <row r="74" spans="1:12" s="962" customFormat="1">
      <c r="A74" s="2331"/>
      <c r="D74" s="2332"/>
      <c r="K74" s="797"/>
      <c r="L74" s="797"/>
    </row>
    <row r="75" spans="1:12" s="962" customFormat="1">
      <c r="A75" s="2331"/>
      <c r="D75" s="2332"/>
      <c r="K75" s="797"/>
      <c r="L75" s="797"/>
    </row>
    <row r="76" spans="1:12" s="962" customFormat="1">
      <c r="A76" s="2331"/>
      <c r="D76" s="2332"/>
      <c r="K76" s="797"/>
      <c r="L76" s="797"/>
    </row>
    <row r="77" spans="1:12" s="962" customFormat="1">
      <c r="A77" s="2331"/>
      <c r="D77" s="2332"/>
      <c r="K77" s="797"/>
      <c r="L77" s="797"/>
    </row>
    <row r="78" spans="1:12" s="962" customFormat="1">
      <c r="A78" s="2331"/>
      <c r="D78" s="2332"/>
      <c r="K78" s="797"/>
      <c r="L78" s="797"/>
    </row>
    <row r="79" spans="1:12" s="962" customFormat="1">
      <c r="A79" s="2331"/>
      <c r="D79" s="2332"/>
      <c r="K79" s="797"/>
      <c r="L79" s="797"/>
    </row>
    <row r="80" spans="1:12" s="962" customFormat="1">
      <c r="A80" s="2331"/>
      <c r="D80" s="2332"/>
      <c r="K80" s="797"/>
      <c r="L80" s="797"/>
    </row>
    <row r="81" spans="1:12" s="962" customFormat="1">
      <c r="A81" s="2331"/>
      <c r="D81" s="2332"/>
      <c r="K81" s="797"/>
      <c r="L81" s="797"/>
    </row>
    <row r="82" spans="1:12" s="962" customFormat="1">
      <c r="A82" s="2331"/>
      <c r="D82" s="2332"/>
      <c r="K82" s="797"/>
      <c r="L82" s="797"/>
    </row>
    <row r="83" spans="1:12" s="962" customFormat="1">
      <c r="A83" s="2331"/>
      <c r="D83" s="2332"/>
      <c r="K83" s="797"/>
      <c r="L83" s="797"/>
    </row>
    <row r="84" spans="1:12" s="962" customFormat="1">
      <c r="A84" s="2331"/>
      <c r="D84" s="2332"/>
      <c r="K84" s="797"/>
      <c r="L84" s="797"/>
    </row>
    <row r="85" spans="1:12" s="962" customFormat="1">
      <c r="A85" s="2331"/>
      <c r="D85" s="2332"/>
      <c r="K85" s="797"/>
      <c r="L85" s="797"/>
    </row>
    <row r="86" spans="1:12" s="962" customFormat="1">
      <c r="A86" s="2331"/>
      <c r="D86" s="2332"/>
      <c r="K86" s="797"/>
      <c r="L86" s="797"/>
    </row>
    <row r="87" spans="1:12" s="962" customFormat="1">
      <c r="A87" s="2331"/>
      <c r="D87" s="2332"/>
      <c r="K87" s="797"/>
      <c r="L87" s="797"/>
    </row>
    <row r="88" spans="1:12" s="962" customFormat="1">
      <c r="A88" s="2331"/>
      <c r="D88" s="2332"/>
      <c r="K88" s="797"/>
      <c r="L88" s="797"/>
    </row>
    <row r="89" spans="1:12" s="962" customFormat="1">
      <c r="A89" s="2331"/>
      <c r="D89" s="2332"/>
      <c r="K89" s="797"/>
      <c r="L89" s="797"/>
    </row>
    <row r="90" spans="1:12" s="962" customFormat="1">
      <c r="A90" s="2331"/>
      <c r="D90" s="2332"/>
      <c r="K90" s="797"/>
      <c r="L90" s="797"/>
    </row>
    <row r="91" spans="1:12" s="962" customFormat="1">
      <c r="A91" s="2331"/>
      <c r="D91" s="2332"/>
      <c r="K91" s="797"/>
      <c r="L91" s="797"/>
    </row>
    <row r="92" spans="1:12" s="962" customFormat="1">
      <c r="A92" s="2331"/>
      <c r="D92" s="2332"/>
      <c r="K92" s="797"/>
      <c r="L92" s="797"/>
    </row>
    <row r="93" spans="1:12" s="962" customFormat="1">
      <c r="A93" s="2331"/>
      <c r="D93" s="2332"/>
      <c r="K93" s="797"/>
      <c r="L93" s="797"/>
    </row>
    <row r="94" spans="1:12" s="962" customFormat="1">
      <c r="A94" s="2331"/>
      <c r="D94" s="2332"/>
      <c r="K94" s="797"/>
      <c r="L94" s="797"/>
    </row>
    <row r="95" spans="1:12" s="962" customFormat="1">
      <c r="A95" s="2331"/>
      <c r="D95" s="2332"/>
      <c r="K95" s="797"/>
      <c r="L95" s="797"/>
    </row>
    <row r="96" spans="1:12" s="962" customFormat="1">
      <c r="A96" s="2331"/>
      <c r="D96" s="2332"/>
      <c r="K96" s="797"/>
      <c r="L96" s="797"/>
    </row>
    <row r="97" spans="1:12" s="962" customFormat="1">
      <c r="A97" s="2331"/>
      <c r="D97" s="2332"/>
      <c r="K97" s="797"/>
      <c r="L97" s="797"/>
    </row>
    <row r="98" spans="1:12" s="962" customFormat="1">
      <c r="A98" s="2331"/>
      <c r="D98" s="2332"/>
      <c r="K98" s="797"/>
      <c r="L98" s="797"/>
    </row>
    <row r="99" spans="1:12" s="962" customFormat="1">
      <c r="A99" s="2331"/>
      <c r="D99" s="2332"/>
      <c r="K99" s="797"/>
      <c r="L99" s="797"/>
    </row>
    <row r="100" spans="1:12" s="962" customFormat="1">
      <c r="A100" s="2331"/>
      <c r="D100" s="2332"/>
      <c r="K100" s="797"/>
      <c r="L100" s="797"/>
    </row>
    <row r="101" spans="1:12" s="962" customFormat="1">
      <c r="A101" s="2331"/>
      <c r="D101" s="2332"/>
      <c r="K101" s="797"/>
      <c r="L101" s="797"/>
    </row>
    <row r="102" spans="1:12" s="962" customFormat="1">
      <c r="A102" s="2331"/>
      <c r="D102" s="2332"/>
      <c r="K102" s="797"/>
      <c r="L102" s="797"/>
    </row>
    <row r="103" spans="1:12" s="962" customFormat="1">
      <c r="A103" s="2331"/>
      <c r="D103" s="2332"/>
      <c r="K103" s="797"/>
      <c r="L103" s="797"/>
    </row>
    <row r="104" spans="1:12" s="962" customFormat="1">
      <c r="A104" s="2331"/>
      <c r="D104" s="2332"/>
      <c r="K104" s="797"/>
      <c r="L104" s="797"/>
    </row>
    <row r="105" spans="1:12" s="962" customFormat="1">
      <c r="A105" s="2331"/>
      <c r="D105" s="2332"/>
      <c r="K105" s="797"/>
      <c r="L105" s="797"/>
    </row>
    <row r="106" spans="1:12" s="962" customFormat="1">
      <c r="A106" s="2331"/>
      <c r="D106" s="2332"/>
      <c r="K106" s="797"/>
      <c r="L106" s="797"/>
    </row>
    <row r="107" spans="1:12" s="962" customFormat="1">
      <c r="A107" s="2331"/>
      <c r="D107" s="2332"/>
      <c r="K107" s="797"/>
      <c r="L107" s="797"/>
    </row>
    <row r="108" spans="1:12" s="962" customFormat="1">
      <c r="A108" s="2331"/>
      <c r="D108" s="2332"/>
      <c r="K108" s="797"/>
      <c r="L108" s="797"/>
    </row>
    <row r="109" spans="1:12" s="962" customFormat="1">
      <c r="A109" s="2331"/>
      <c r="D109" s="2332"/>
      <c r="K109" s="797"/>
      <c r="L109" s="797"/>
    </row>
    <row r="110" spans="1:12" s="962" customFormat="1">
      <c r="A110" s="2331"/>
      <c r="D110" s="2332"/>
      <c r="K110" s="797"/>
      <c r="L110" s="797"/>
    </row>
    <row r="111" spans="1:12" s="962" customFormat="1">
      <c r="A111" s="2331"/>
      <c r="D111" s="2332"/>
      <c r="K111" s="797"/>
      <c r="L111" s="797"/>
    </row>
    <row r="112" spans="1:12" s="962" customFormat="1">
      <c r="A112" s="2331"/>
      <c r="D112" s="2332"/>
      <c r="K112" s="797"/>
      <c r="L112" s="797"/>
    </row>
    <row r="113" spans="1:12" s="962" customFormat="1">
      <c r="A113" s="2331"/>
      <c r="D113" s="2332"/>
      <c r="K113" s="797"/>
      <c r="L113" s="797"/>
    </row>
    <row r="114" spans="1:12" s="962" customFormat="1">
      <c r="A114" s="2331"/>
      <c r="D114" s="2332"/>
      <c r="K114" s="797"/>
      <c r="L114" s="797"/>
    </row>
    <row r="115" spans="1:12" s="962" customFormat="1">
      <c r="A115" s="2331"/>
      <c r="D115" s="2332"/>
      <c r="K115" s="797"/>
      <c r="L115" s="797"/>
    </row>
    <row r="116" spans="1:12" s="962" customFormat="1">
      <c r="A116" s="2331"/>
      <c r="D116" s="2332"/>
      <c r="K116" s="797"/>
      <c r="L116" s="797"/>
    </row>
    <row r="117" spans="1:12" s="962" customFormat="1">
      <c r="A117" s="2331"/>
      <c r="D117" s="2332"/>
      <c r="K117" s="797"/>
      <c r="L117" s="797"/>
    </row>
    <row r="118" spans="1:12" s="962" customFormat="1">
      <c r="A118" s="2331"/>
      <c r="D118" s="2332"/>
      <c r="K118" s="797"/>
      <c r="L118" s="797"/>
    </row>
    <row r="119" spans="1:12" s="962" customFormat="1">
      <c r="A119" s="2331"/>
      <c r="D119" s="2332"/>
      <c r="K119" s="797"/>
      <c r="L119" s="797"/>
    </row>
    <row r="120" spans="1:12" s="962" customFormat="1">
      <c r="A120" s="2331"/>
      <c r="D120" s="2332"/>
      <c r="K120" s="797"/>
      <c r="L120" s="797"/>
    </row>
    <row r="121" spans="1:12" s="962" customFormat="1">
      <c r="A121" s="2331"/>
      <c r="D121" s="2332"/>
      <c r="K121" s="797"/>
      <c r="L121" s="797"/>
    </row>
    <row r="122" spans="1:12" s="962" customFormat="1">
      <c r="A122" s="2331"/>
      <c r="D122" s="2332"/>
      <c r="K122" s="797"/>
      <c r="L122" s="797"/>
    </row>
    <row r="123" spans="1:12" s="962" customFormat="1">
      <c r="A123" s="2331"/>
      <c r="D123" s="2332"/>
      <c r="K123" s="797"/>
      <c r="L123" s="797"/>
    </row>
    <row r="124" spans="1:12" s="962" customFormat="1">
      <c r="A124" s="2331"/>
      <c r="D124" s="2332"/>
      <c r="K124" s="797"/>
      <c r="L124" s="797"/>
    </row>
    <row r="125" spans="1:12" s="962" customFormat="1">
      <c r="A125" s="2331"/>
      <c r="D125" s="2332"/>
      <c r="K125" s="797"/>
      <c r="L125" s="797"/>
    </row>
    <row r="126" spans="1:12" s="962" customFormat="1">
      <c r="A126" s="2331"/>
      <c r="D126" s="2332"/>
      <c r="K126" s="797"/>
      <c r="L126" s="797"/>
    </row>
    <row r="127" spans="1:12" s="962" customFormat="1">
      <c r="A127" s="2331"/>
      <c r="D127" s="2332"/>
      <c r="K127" s="797"/>
      <c r="L127" s="797"/>
    </row>
    <row r="128" spans="1:12" s="962" customFormat="1">
      <c r="A128" s="2331"/>
      <c r="D128" s="2332"/>
      <c r="K128" s="797"/>
      <c r="L128" s="797"/>
    </row>
    <row r="129" spans="1:12" s="962" customFormat="1">
      <c r="A129" s="2331"/>
      <c r="D129" s="2332"/>
      <c r="K129" s="797"/>
      <c r="L129" s="797"/>
    </row>
    <row r="130" spans="1:12" s="962" customFormat="1">
      <c r="A130" s="2331"/>
      <c r="D130" s="2332"/>
      <c r="K130" s="797"/>
      <c r="L130" s="797"/>
    </row>
    <row r="131" spans="1:12" s="962" customFormat="1">
      <c r="A131" s="2331"/>
      <c r="D131" s="2332"/>
      <c r="K131" s="797"/>
      <c r="L131" s="797"/>
    </row>
    <row r="132" spans="1:12" s="962" customFormat="1">
      <c r="A132" s="2331"/>
      <c r="D132" s="2332"/>
      <c r="K132" s="797"/>
      <c r="L132" s="797"/>
    </row>
    <row r="133" spans="1:12" s="962"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5" sqref="I25"/>
    </sheetView>
  </sheetViews>
  <sheetFormatPr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01" t="s">
        <v>2078</v>
      </c>
      <c r="B1" s="3102"/>
      <c r="C1" s="3102"/>
      <c r="D1" s="3102"/>
      <c r="E1" s="3102"/>
      <c r="F1" s="3102"/>
      <c r="G1" s="310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2079</v>
      </c>
      <c r="D2" s="2356"/>
      <c r="E2" s="2357"/>
      <c r="F2" s="2276"/>
      <c r="G2" s="2355" t="s">
        <v>2080</v>
      </c>
      <c r="H2" s="2358"/>
      <c r="I2" s="2358"/>
      <c r="J2" s="2358"/>
      <c r="K2" s="2358"/>
      <c r="L2" s="2358"/>
      <c r="M2" s="2358"/>
      <c r="N2" s="2358"/>
      <c r="O2" s="2358"/>
      <c r="P2" s="2358"/>
      <c r="Q2" s="2358"/>
      <c r="R2" s="2358"/>
    </row>
    <row r="3" spans="1:29" ht="42.75">
      <c r="A3" s="415" t="s">
        <v>2081</v>
      </c>
      <c r="B3" s="1266" t="s">
        <v>2082</v>
      </c>
      <c r="C3" s="2360" t="s">
        <v>3064</v>
      </c>
      <c r="D3" s="2361"/>
      <c r="E3" s="431" t="s">
        <v>2081</v>
      </c>
      <c r="F3" s="2362" t="s">
        <v>2083</v>
      </c>
      <c r="G3" s="2363"/>
      <c r="H3" s="2358"/>
      <c r="I3" s="2358"/>
      <c r="J3" s="2358"/>
      <c r="K3" s="2358"/>
      <c r="L3" s="2358"/>
      <c r="M3" s="2358"/>
      <c r="N3" s="2358"/>
      <c r="O3" s="2358"/>
      <c r="P3" s="2358"/>
      <c r="Q3" s="2358"/>
      <c r="R3" s="2358"/>
    </row>
    <row r="4" spans="1:29" ht="71.25">
      <c r="A4" s="431"/>
      <c r="B4" s="1793" t="s">
        <v>2084</v>
      </c>
      <c r="C4" s="2364" t="s">
        <v>3065</v>
      </c>
      <c r="D4" s="2361"/>
      <c r="E4" s="2365"/>
      <c r="F4" s="42" t="s">
        <v>2085</v>
      </c>
      <c r="G4" s="2366"/>
      <c r="H4" s="2358"/>
      <c r="I4" s="2358"/>
      <c r="J4" s="2358"/>
      <c r="K4" s="2358"/>
      <c r="L4" s="2358"/>
      <c r="M4" s="2358"/>
      <c r="N4" s="2358"/>
      <c r="O4" s="2358"/>
      <c r="P4" s="2358"/>
      <c r="Q4" s="2358"/>
      <c r="R4" s="2358"/>
    </row>
    <row r="5" spans="1:29" ht="28.5">
      <c r="A5" s="431"/>
      <c r="B5" s="1793" t="s">
        <v>2086</v>
      </c>
      <c r="C5" s="2364" t="s">
        <v>3066</v>
      </c>
      <c r="D5" s="2361"/>
      <c r="E5" s="2365"/>
      <c r="F5" s="1793" t="s">
        <v>2087</v>
      </c>
      <c r="G5" s="2366"/>
      <c r="H5" s="2358"/>
      <c r="I5" s="2358"/>
      <c r="J5" s="2358"/>
      <c r="K5" s="2358"/>
      <c r="L5" s="2358"/>
      <c r="M5" s="2358"/>
      <c r="N5" s="2358"/>
      <c r="O5" s="2358"/>
      <c r="P5" s="2358"/>
      <c r="Q5" s="2358"/>
      <c r="R5" s="2358"/>
    </row>
    <row r="6" spans="1:29" ht="42.75">
      <c r="A6" s="431"/>
      <c r="B6" s="1793" t="s">
        <v>2088</v>
      </c>
      <c r="C6" s="2366" t="s">
        <v>3067</v>
      </c>
      <c r="D6" s="2361"/>
      <c r="E6" s="2365"/>
      <c r="F6" s="1793" t="s">
        <v>2089</v>
      </c>
      <c r="G6" s="2366"/>
      <c r="H6" s="2358"/>
      <c r="I6" s="2358"/>
      <c r="J6" s="2358"/>
      <c r="K6" s="2358"/>
      <c r="L6" s="2358"/>
      <c r="M6" s="2358"/>
      <c r="N6" s="2358"/>
      <c r="O6" s="2358"/>
      <c r="P6" s="2358"/>
      <c r="Q6" s="2358"/>
      <c r="R6" s="2358"/>
    </row>
    <row r="7" spans="1:29" ht="29.25" thickBot="1">
      <c r="A7" s="431"/>
      <c r="B7" s="1793" t="s">
        <v>2087</v>
      </c>
      <c r="C7" s="2366" t="s">
        <v>3068</v>
      </c>
      <c r="D7" s="2367"/>
      <c r="E7" s="2368"/>
      <c r="F7" s="2369" t="s">
        <v>2090</v>
      </c>
      <c r="G7" s="2370"/>
      <c r="H7" s="2358"/>
      <c r="I7" s="2358"/>
      <c r="J7" s="2358"/>
      <c r="K7" s="2358"/>
      <c r="L7" s="2358"/>
      <c r="M7" s="2358"/>
      <c r="N7" s="2358"/>
      <c r="O7" s="2358"/>
      <c r="P7" s="2358"/>
      <c r="Q7" s="2358"/>
      <c r="R7" s="2358"/>
    </row>
    <row r="8" spans="1:29" ht="15">
      <c r="A8" s="431"/>
      <c r="B8" s="1793" t="s">
        <v>2089</v>
      </c>
      <c r="C8" s="2366" t="s">
        <v>3069</v>
      </c>
      <c r="D8" s="2367"/>
      <c r="E8" s="2367"/>
      <c r="F8" s="1131"/>
      <c r="G8" s="1131"/>
      <c r="H8" s="2358"/>
      <c r="I8" s="2358"/>
      <c r="J8" s="2358"/>
      <c r="K8" s="2358"/>
      <c r="L8" s="2358"/>
      <c r="M8" s="2358"/>
      <c r="N8" s="2358"/>
      <c r="O8" s="2358"/>
      <c r="P8" s="2358"/>
      <c r="Q8" s="2358"/>
      <c r="R8" s="2358"/>
    </row>
    <row r="9" spans="1:29" ht="42.75">
      <c r="A9" s="431"/>
      <c r="B9" s="1793" t="s">
        <v>2091</v>
      </c>
      <c r="C9" s="2364" t="s">
        <v>3070</v>
      </c>
      <c r="D9" s="2361"/>
      <c r="E9" s="2367"/>
      <c r="F9" s="1131"/>
      <c r="G9" s="1131"/>
      <c r="H9" s="2358"/>
      <c r="I9" s="2358"/>
      <c r="J9" s="2358"/>
      <c r="K9" s="2358"/>
      <c r="L9" s="2358"/>
      <c r="M9" s="2358"/>
      <c r="N9" s="2358"/>
      <c r="O9" s="2358"/>
      <c r="P9" s="2358"/>
      <c r="Q9" s="2358"/>
      <c r="R9" s="2358"/>
    </row>
    <row r="10" spans="1:29" s="117" customFormat="1" ht="15.75" thickBot="1">
      <c r="A10" s="2371"/>
      <c r="B10" s="2372" t="s">
        <v>2092</v>
      </c>
      <c r="C10" s="2373" t="s">
        <v>3071</v>
      </c>
      <c r="D10" s="2361"/>
      <c r="E10" s="2361"/>
      <c r="F10" s="1131"/>
      <c r="G10" s="1131"/>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9"/>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9"/>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2093</v>
      </c>
      <c r="B13" s="2378"/>
      <c r="C13" s="2378"/>
      <c r="D13" s="2385"/>
      <c r="E13" s="2378"/>
      <c r="F13" s="2378"/>
      <c r="G13" s="2378"/>
    </row>
    <row r="14" spans="1:29" ht="15.75" thickBot="1">
      <c r="A14" s="2389"/>
      <c r="B14" s="2390"/>
      <c r="C14" s="2391" t="s">
        <v>2094</v>
      </c>
      <c r="D14" s="2361"/>
      <c r="E14" s="2392"/>
      <c r="F14" s="2392"/>
      <c r="G14" s="2355" t="s">
        <v>2095</v>
      </c>
    </row>
    <row r="15" spans="1:29" ht="42.75">
      <c r="A15" s="68" t="s">
        <v>2096</v>
      </c>
      <c r="B15" s="1265" t="s">
        <v>2082</v>
      </c>
      <c r="C15" s="2393" t="str">
        <f>C3</f>
        <v>估价对象周边有新安里、双河北里等住宅小区，综合评价居住社区成熟度较好</v>
      </c>
      <c r="D15" s="2361"/>
      <c r="E15" s="2394" t="s">
        <v>2097</v>
      </c>
      <c r="F15" s="1265" t="s">
        <v>2098</v>
      </c>
      <c r="G15" s="135">
        <f>G3</f>
        <v>0</v>
      </c>
    </row>
    <row r="16" spans="1:29" ht="71.25">
      <c r="A16" s="644"/>
      <c r="B16" s="2395" t="s">
        <v>2084</v>
      </c>
      <c r="C16" s="2396" t="str">
        <f>C4</f>
        <v>估价对象周边2公里有帝园商城、星城商厦等商业项目，估价对象周边多为住宅配套商业，人流量一般，商业繁华度一般</v>
      </c>
      <c r="D16" s="2361"/>
      <c r="E16" s="2397"/>
      <c r="F16" s="2398" t="s">
        <v>2085</v>
      </c>
      <c r="G16" s="136">
        <f>G4</f>
        <v>0</v>
      </c>
    </row>
    <row r="17" spans="1:18" ht="28.5">
      <c r="A17" s="644"/>
      <c r="B17" s="2395" t="s">
        <v>2086</v>
      </c>
      <c r="C17" s="2396" t="str">
        <f>C5</f>
        <v>估价对象周边办公楼项目较少，办公集聚程度较差</v>
      </c>
      <c r="D17" s="2367"/>
      <c r="E17" s="2397"/>
      <c r="F17" s="2398" t="s">
        <v>2099</v>
      </c>
      <c r="G17" s="1567"/>
    </row>
    <row r="18" spans="1:18" ht="42.75">
      <c r="A18" s="644"/>
      <c r="B18" s="2398" t="s">
        <v>2088</v>
      </c>
      <c r="C18" s="136" t="str">
        <f>C6</f>
        <v>估价对象周边有849、兴23路等公交线路，综合评价交通便捷度一般</v>
      </c>
      <c r="D18" s="2367"/>
      <c r="E18" s="2397"/>
      <c r="F18" s="2398" t="s">
        <v>2090</v>
      </c>
      <c r="G18" s="136">
        <f>G7</f>
        <v>0</v>
      </c>
    </row>
    <row r="19" spans="1:18" ht="15">
      <c r="A19" s="644"/>
      <c r="B19" s="2398" t="s">
        <v>2100</v>
      </c>
      <c r="C19" s="2945" t="s">
        <v>3073</v>
      </c>
      <c r="D19" s="2361"/>
      <c r="E19" s="2397"/>
      <c r="F19" s="1793" t="s">
        <v>2087</v>
      </c>
      <c r="G19" s="136">
        <f>G5</f>
        <v>0</v>
      </c>
    </row>
    <row r="20" spans="1:18" ht="42.75">
      <c r="A20" s="644"/>
      <c r="B20" s="2398" t="s">
        <v>2101</v>
      </c>
      <c r="C20" s="2396" t="str">
        <f>C9</f>
        <v>周边有北京广播电视大学、康庄公园；综合评价环境状况较好</v>
      </c>
      <c r="D20" s="2367"/>
      <c r="E20" s="2397"/>
      <c r="F20" s="1793" t="s">
        <v>2102</v>
      </c>
      <c r="G20" s="136">
        <f>G6</f>
        <v>0</v>
      </c>
    </row>
    <row r="21" spans="1:18" ht="28.5">
      <c r="A21" s="644"/>
      <c r="B21" s="1793" t="s">
        <v>2087</v>
      </c>
      <c r="C21" s="136" t="str">
        <f>C7</f>
        <v>估价对象所在区域公共配套设施齐备较齐备</v>
      </c>
      <c r="D21" s="2361"/>
      <c r="E21" s="2397"/>
      <c r="F21" s="2398" t="s">
        <v>2103</v>
      </c>
      <c r="G21" s="2399"/>
    </row>
    <row r="22" spans="1:18" ht="13.5" customHeight="1">
      <c r="A22" s="644"/>
      <c r="B22" s="1793" t="s">
        <v>2089</v>
      </c>
      <c r="C22" s="136" t="str">
        <f>C8</f>
        <v>区域基础设施水平达七通</v>
      </c>
      <c r="D22" s="2361"/>
      <c r="E22" s="2397"/>
      <c r="F22" s="2398" t="s">
        <v>2092</v>
      </c>
      <c r="G22" s="1567"/>
    </row>
    <row r="23" spans="1:18" s="2358" customFormat="1" ht="15.75" thickBot="1">
      <c r="A23" s="644"/>
      <c r="B23" s="2398" t="s">
        <v>2103</v>
      </c>
      <c r="C23" s="2399" t="s">
        <v>3074</v>
      </c>
      <c r="D23" s="2386"/>
      <c r="E23" s="2400"/>
      <c r="F23" s="2401" t="s">
        <v>2104</v>
      </c>
      <c r="G23" s="2402"/>
      <c r="H23" s="2386"/>
      <c r="I23" s="2387"/>
      <c r="J23" s="2386"/>
      <c r="K23" s="2386"/>
      <c r="L23" s="2387"/>
      <c r="M23" s="2386"/>
      <c r="N23" s="2386"/>
      <c r="O23" s="2387"/>
      <c r="P23" s="2386"/>
      <c r="Q23" s="2386"/>
      <c r="R23" s="2388"/>
    </row>
    <row r="24" spans="1:18" s="2358" customFormat="1" ht="15.75" thickBot="1">
      <c r="A24" s="2403"/>
      <c r="B24" s="2401" t="s">
        <v>2105</v>
      </c>
      <c r="C24" s="137" t="str">
        <f>C10</f>
        <v>城市次干道——清源东路</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9" sqref="F29"/>
    </sheetView>
  </sheetViews>
  <sheetFormatPr defaultRowHeight="13.5"/>
  <cols>
    <col min="1" max="1" width="23.375" style="1736" customWidth="1"/>
    <col min="2" max="9" width="15.75" style="1736" customWidth="1"/>
    <col min="10" max="16384" width="9" style="1736"/>
  </cols>
  <sheetData>
    <row r="1" spans="1:10" ht="16.5">
      <c r="A1" s="1741" t="s">
        <v>1365</v>
      </c>
      <c r="B1" s="1741">
        <f>SUM(B14:B23)</f>
        <v>67286.14</v>
      </c>
      <c r="C1" s="1740"/>
      <c r="D1" s="1740"/>
      <c r="E1" s="1740"/>
      <c r="F1" s="1740"/>
      <c r="G1" s="1738"/>
    </row>
    <row r="2" spans="1:10" ht="16.5">
      <c r="A2" s="1741" t="s">
        <v>1353</v>
      </c>
      <c r="B2" s="1741">
        <f>SUM(C14:C23)</f>
        <v>16498.059999999998</v>
      </c>
      <c r="C2" s="1740"/>
      <c r="D2" s="1740"/>
      <c r="E2" s="1740"/>
      <c r="F2" s="1740"/>
      <c r="G2" s="1738"/>
    </row>
    <row r="3" spans="1:10" ht="16.5">
      <c r="A3" s="1741" t="s">
        <v>1362</v>
      </c>
      <c r="B3" s="1742">
        <f>项目基本情况!D3</f>
        <v>43165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190640</v>
      </c>
      <c r="C5" s="1741">
        <f ca="1">ROUND(B5*10000/$B$1,0)</f>
        <v>28333</v>
      </c>
      <c r="D5" s="1741">
        <f ca="1">ROUND(B5*10000/$B$2,0)</f>
        <v>115553</v>
      </c>
      <c r="E5" s="1740"/>
      <c r="F5" s="1738"/>
      <c r="G5" s="1738"/>
    </row>
    <row r="6" spans="1:10" ht="16.5">
      <c r="A6" s="1741" t="s">
        <v>1356</v>
      </c>
      <c r="B6" s="1741">
        <f>SUM(G14:G23)</f>
        <v>0</v>
      </c>
      <c r="C6" s="1741">
        <f>ROUND(B6*10000/$B$1,0)</f>
        <v>0</v>
      </c>
      <c r="D6" s="1741">
        <f>ROUND(B6*10000/$B$2,0)</f>
        <v>0</v>
      </c>
      <c r="E6" s="1740"/>
      <c r="F6" s="1738"/>
      <c r="G6" s="1738"/>
    </row>
    <row r="7" spans="1:10" ht="16.5">
      <c r="A7" s="1741" t="s">
        <v>1364</v>
      </c>
      <c r="B7" s="1741">
        <f ca="1">SUM(H14:H23)</f>
        <v>190640</v>
      </c>
      <c r="C7" s="1741">
        <f ca="1">ROUND(B7*10000/$B$1,0)</f>
        <v>28333</v>
      </c>
      <c r="D7" s="1741">
        <f ca="1">ROUND(B7*10000/$B$2,0)</f>
        <v>115553</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31952.659999999996</v>
      </c>
      <c r="C14" s="1739">
        <f>结果表!C118</f>
        <v>7892.1</v>
      </c>
      <c r="D14" s="1739">
        <f ca="1">结果表!H118</f>
        <v>137232</v>
      </c>
      <c r="E14" s="1739">
        <f ca="1">ROUND(D14*10000/B14,0)</f>
        <v>42949</v>
      </c>
      <c r="F14" s="1739">
        <f ca="1">ROUND(D14*10000/C14,0)</f>
        <v>173885</v>
      </c>
      <c r="G14" s="1739" t="str">
        <f>结果表!D122</f>
        <v>——</v>
      </c>
      <c r="H14" s="1739">
        <f ca="1">结果表!D124</f>
        <v>137232</v>
      </c>
      <c r="I14" s="1739" t="str">
        <f>结果表!D126</f>
        <v>——</v>
      </c>
      <c r="J14" s="1738"/>
    </row>
    <row r="15" spans="1:10" ht="16.5">
      <c r="A15" s="1737" t="s">
        <v>1349</v>
      </c>
      <c r="B15" s="1744">
        <f>'[1]数据-汇总表'!$E$3</f>
        <v>20299</v>
      </c>
      <c r="C15" s="1744">
        <f>'[1]数据-汇总表'!$D$3</f>
        <v>4892.54</v>
      </c>
      <c r="D15" s="1744">
        <f>[1]结果表!$H$101</f>
        <v>33475</v>
      </c>
      <c r="E15" s="1739">
        <f t="shared" ref="E15:E23" si="0">ROUND(D15*10000/B15,0)</f>
        <v>16491</v>
      </c>
      <c r="F15" s="1739">
        <f t="shared" ref="F15:F23" si="1">ROUND(D15*10000/C15,0)</f>
        <v>68420</v>
      </c>
      <c r="G15" s="2992" t="s">
        <v>70</v>
      </c>
      <c r="H15" s="1745">
        <f>D15</f>
        <v>33475</v>
      </c>
      <c r="I15" s="1744"/>
      <c r="J15" s="1738"/>
    </row>
    <row r="16" spans="1:10" ht="16.5">
      <c r="A16" s="1737" t="s">
        <v>1348</v>
      </c>
      <c r="B16" s="1744">
        <f>'[2]数据-汇总表'!$E$3</f>
        <v>15034.48</v>
      </c>
      <c r="C16" s="1744">
        <f>'[2]数据-汇总表'!$D$3</f>
        <v>3713.42</v>
      </c>
      <c r="D16" s="1744">
        <f ca="1">[2]结果表!$G$19</f>
        <v>19933</v>
      </c>
      <c r="E16" s="1739">
        <f t="shared" ca="1" si="0"/>
        <v>13258</v>
      </c>
      <c r="F16" s="1739">
        <f t="shared" ca="1" si="1"/>
        <v>53678</v>
      </c>
      <c r="G16" s="2992" t="s">
        <v>70</v>
      </c>
      <c r="H16" s="1745">
        <f ca="1">D16</f>
        <v>19933</v>
      </c>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4" zoomScaleNormal="100" zoomScaleSheetLayoutView="100" zoomScalePageLayoutView="80" workbookViewId="0">
      <selection activeCell="G19" sqref="G19"/>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5" t="s">
        <v>2106</v>
      </c>
      <c r="B1" s="2409"/>
      <c r="C1" s="2410"/>
      <c r="D1" s="2409"/>
      <c r="E1" s="2409"/>
      <c r="F1" s="2411" t="s">
        <v>2107</v>
      </c>
      <c r="G1" s="2066" t="s">
        <v>2108</v>
      </c>
      <c r="H1" s="2412" t="str">
        <f>IF(G1="现房","——","估价对象范围")</f>
        <v>估价对象范围</v>
      </c>
      <c r="I1" s="2413"/>
    </row>
    <row r="2" spans="1:12" ht="21.75" customHeight="1" thickBot="1">
      <c r="A2" s="3175" t="str">
        <f>项目基本情况!S2</f>
        <v>北京市大兴区黄村镇四街、五街、六街村项目DX00-0208-6001地块4、6-10号楼住宅、地下仓储、地下车库用房出让国有建设用地使用权及在建建筑物房地产</v>
      </c>
      <c r="B2" s="3176"/>
      <c r="C2" s="3176"/>
      <c r="D2" s="3176"/>
      <c r="E2" s="3176"/>
      <c r="F2" s="3176"/>
      <c r="G2" s="3176"/>
      <c r="H2" s="3176"/>
      <c r="I2" s="3177"/>
    </row>
    <row r="3" spans="1:12" ht="12.75">
      <c r="A3" s="3178" t="s">
        <v>2109</v>
      </c>
      <c r="B3" s="3179"/>
      <c r="C3" s="3179"/>
      <c r="D3" s="3179"/>
      <c r="E3" s="3179"/>
      <c r="F3" s="3179"/>
      <c r="G3" s="3179"/>
      <c r="H3" s="3179"/>
      <c r="I3" s="3179"/>
    </row>
    <row r="4" spans="1:12" ht="14.25">
      <c r="A4" s="2416" t="s">
        <v>2110</v>
      </c>
      <c r="B4" s="2417" t="s">
        <v>2111</v>
      </c>
      <c r="C4" s="2418" t="s">
        <v>3233</v>
      </c>
      <c r="D4" s="2418" t="s">
        <v>3214</v>
      </c>
      <c r="E4" s="3159" t="s">
        <v>2112</v>
      </c>
      <c r="F4" s="3172"/>
      <c r="G4" s="3172"/>
      <c r="H4" s="3172"/>
      <c r="I4" s="3160"/>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50" t="s">
        <v>2113</v>
      </c>
      <c r="B5" s="3076">
        <v>25</v>
      </c>
      <c r="C5" s="3180"/>
      <c r="D5" s="3168"/>
      <c r="E5" s="140" t="s">
        <v>2114</v>
      </c>
      <c r="F5" s="2420"/>
      <c r="G5" s="2420"/>
      <c r="H5" s="2420"/>
      <c r="I5" s="1829"/>
    </row>
    <row r="6" spans="1:12" ht="12.75">
      <c r="A6" s="3150"/>
      <c r="B6" s="3076"/>
      <c r="C6" s="3182"/>
      <c r="D6" s="3168"/>
      <c r="E6" s="140" t="s">
        <v>2115</v>
      </c>
      <c r="F6" s="2420"/>
      <c r="G6" s="2420"/>
      <c r="H6" s="2420"/>
      <c r="I6" s="1829"/>
    </row>
    <row r="7" spans="1:12" ht="12.75">
      <c r="A7" s="3150"/>
      <c r="B7" s="3076"/>
      <c r="C7" s="3181"/>
      <c r="D7" s="3168"/>
      <c r="E7" s="140" t="s">
        <v>2116</v>
      </c>
      <c r="F7" s="2420"/>
      <c r="G7" s="2420"/>
      <c r="H7" s="2420"/>
      <c r="I7" s="1829"/>
    </row>
    <row r="8" spans="1:12" ht="12.75">
      <c r="A8" s="3150" t="s">
        <v>2117</v>
      </c>
      <c r="B8" s="3076">
        <v>15</v>
      </c>
      <c r="C8" s="3180"/>
      <c r="D8" s="3168"/>
      <c r="E8" s="140" t="s">
        <v>2118</v>
      </c>
      <c r="F8" s="2420"/>
      <c r="G8" s="2420"/>
      <c r="H8" s="2420"/>
      <c r="I8" s="1829"/>
    </row>
    <row r="9" spans="1:12" ht="12.75">
      <c r="A9" s="3150"/>
      <c r="B9" s="3076"/>
      <c r="C9" s="3181"/>
      <c r="D9" s="3168"/>
      <c r="E9" s="140" t="s">
        <v>2119</v>
      </c>
      <c r="F9" s="2420"/>
      <c r="G9" s="2420"/>
      <c r="H9" s="2420"/>
      <c r="I9" s="1829"/>
    </row>
    <row r="10" spans="1:12" ht="12.75">
      <c r="A10" s="3150" t="s">
        <v>2120</v>
      </c>
      <c r="B10" s="3076">
        <v>15</v>
      </c>
      <c r="C10" s="3180"/>
      <c r="D10" s="3168"/>
      <c r="E10" s="140" t="s">
        <v>2121</v>
      </c>
      <c r="F10" s="2420"/>
      <c r="G10" s="2420"/>
      <c r="H10" s="2420"/>
      <c r="I10" s="1829"/>
    </row>
    <row r="11" spans="1:12" ht="12.75">
      <c r="A11" s="3150"/>
      <c r="B11" s="3076"/>
      <c r="C11" s="3181"/>
      <c r="D11" s="3168"/>
      <c r="E11" s="140" t="s">
        <v>2122</v>
      </c>
      <c r="F11" s="2420"/>
      <c r="G11" s="2420"/>
      <c r="H11" s="2420"/>
      <c r="I11" s="1829"/>
    </row>
    <row r="12" spans="1:12" ht="12.75">
      <c r="A12" s="3150" t="s">
        <v>2123</v>
      </c>
      <c r="B12" s="3076">
        <v>15</v>
      </c>
      <c r="C12" s="3180"/>
      <c r="D12" s="3168"/>
      <c r="E12" s="140" t="s">
        <v>2124</v>
      </c>
      <c r="F12" s="2420"/>
      <c r="G12" s="2420"/>
      <c r="H12" s="2420"/>
      <c r="I12" s="1829"/>
    </row>
    <row r="13" spans="1:12" ht="12.75">
      <c r="A13" s="3150"/>
      <c r="B13" s="3076"/>
      <c r="C13" s="3181"/>
      <c r="D13" s="3168"/>
      <c r="E13" s="140" t="s">
        <v>2125</v>
      </c>
      <c r="F13" s="2420"/>
      <c r="G13" s="2420"/>
      <c r="H13" s="2420"/>
      <c r="I13" s="1829"/>
    </row>
    <row r="14" spans="1:12" ht="12.75">
      <c r="A14" s="3150" t="s">
        <v>2126</v>
      </c>
      <c r="B14" s="3076">
        <v>30</v>
      </c>
      <c r="C14" s="3180">
        <v>5</v>
      </c>
      <c r="D14" s="3168">
        <v>5</v>
      </c>
      <c r="E14" s="140" t="s">
        <v>2127</v>
      </c>
      <c r="F14" s="2420"/>
      <c r="G14" s="2420"/>
      <c r="H14" s="2420"/>
      <c r="I14" s="1829"/>
    </row>
    <row r="15" spans="1:12" ht="12.75">
      <c r="A15" s="3150"/>
      <c r="B15" s="3076"/>
      <c r="C15" s="3182"/>
      <c r="D15" s="3168"/>
      <c r="E15" s="140" t="s">
        <v>2128</v>
      </c>
      <c r="F15" s="2420"/>
      <c r="G15" s="2420"/>
      <c r="H15" s="2420"/>
      <c r="I15" s="1829"/>
    </row>
    <row r="16" spans="1:12" ht="12.75">
      <c r="A16" s="3150"/>
      <c r="B16" s="3076"/>
      <c r="C16" s="3181"/>
      <c r="D16" s="3168"/>
      <c r="E16" s="140" t="s">
        <v>2129</v>
      </c>
      <c r="F16" s="2420"/>
      <c r="G16" s="2420"/>
      <c r="H16" s="2420"/>
      <c r="I16" s="1829"/>
    </row>
    <row r="17" spans="1:35" ht="15">
      <c r="A17" s="2421" t="s">
        <v>2130</v>
      </c>
      <c r="B17" s="64"/>
      <c r="C17" s="141">
        <f>SUM(C5:C16)</f>
        <v>5</v>
      </c>
      <c r="D17" s="141">
        <f>SUM(D5:D16)</f>
        <v>5</v>
      </c>
      <c r="E17" s="138"/>
      <c r="F17" s="138"/>
      <c r="G17" s="138"/>
      <c r="H17" s="138"/>
      <c r="I17" s="138"/>
      <c r="K17" s="2419"/>
      <c r="L17" s="2422" t="s">
        <v>2131</v>
      </c>
      <c r="M17" s="2422" t="s">
        <v>2132</v>
      </c>
    </row>
    <row r="18" spans="1:35" ht="15.75" thickBot="1">
      <c r="A18" s="2423" t="s">
        <v>2133</v>
      </c>
      <c r="B18" s="2424"/>
      <c r="C18" s="142">
        <f>ROUND(C17/SUM(C17:D17),2)</f>
        <v>0.5</v>
      </c>
      <c r="D18" s="142">
        <f>1-C18</f>
        <v>0.5</v>
      </c>
      <c r="E18" s="138"/>
      <c r="F18" s="138"/>
      <c r="G18" s="138"/>
      <c r="H18" s="138"/>
      <c r="I18" s="138"/>
      <c r="K18" s="2419" t="s">
        <v>2134</v>
      </c>
      <c r="L18" s="2419">
        <f>IF(C1="",'数据-汇总表'!E3,SUMIF(项目类型,C1,'数据-汇总表'!E17:E26)+SUMIF(项目类型,C1,'数据-汇总表'!I17:I26))</f>
        <v>31952.659999999996</v>
      </c>
      <c r="M18" s="2419">
        <f>IF(C1="",'数据-汇总表'!E3,SUMIF(项目类型,C1,'数据-汇总表'!E17:E26))</f>
        <v>31952.659999999996</v>
      </c>
    </row>
    <row r="19" spans="1:35" ht="15">
      <c r="A19" s="2425" t="s">
        <v>2135</v>
      </c>
      <c r="B19" s="2426" t="s">
        <v>2136</v>
      </c>
      <c r="C19" s="143">
        <f ca="1">SUMIF(INDIRECT("'"&amp;C4&amp;"'"&amp;"!A:A"),结果表!B19,INDIRECT("'"&amp;C4&amp;"'"&amp;"!B:B"))</f>
        <v>122039</v>
      </c>
      <c r="D19" s="144">
        <f ca="1">SUMIF(INDIRECT("'"&amp;D4&amp;"'"&amp;"!A:A"),结果表!B19,INDIRECT("'"&amp;D4&amp;"'"&amp;"!B:B"))</f>
        <v>152425</v>
      </c>
      <c r="E19" s="2425" t="s">
        <v>2137</v>
      </c>
      <c r="F19" s="2426" t="s">
        <v>2136</v>
      </c>
      <c r="G19" s="145">
        <f ca="1">ROUND(C19*$C$18+D19*$D$18,0)</f>
        <v>137232</v>
      </c>
      <c r="H19" s="2427" t="s">
        <v>2138</v>
      </c>
      <c r="I19" s="138"/>
      <c r="J19" s="2966">
        <v>234373</v>
      </c>
      <c r="K19" s="2419" t="s">
        <v>2139</v>
      </c>
      <c r="L19" s="2419">
        <f>IF(C1="",'数据-汇总表'!D3,SUMIF(项目类型,C1,'数据-汇总表'!D17:D26)+SUMIF(项目类型,C1,'数据-汇总表'!H17:H27))</f>
        <v>7892.1</v>
      </c>
      <c r="M19" s="2419">
        <f>IF(C1="",'数据-汇总表'!D3,SUMIF(项目类型,C1,'数据-汇总表'!D17:D26))</f>
        <v>7892.1</v>
      </c>
    </row>
    <row r="20" spans="1:35" ht="15">
      <c r="A20" s="2428"/>
      <c r="B20" s="1245" t="s">
        <v>2140</v>
      </c>
      <c r="C20" s="146">
        <f ca="1">SUMIF(INDIRECT("'"&amp;C4&amp;"'"&amp;"!A:A"),结果表!B20,INDIRECT("'"&amp;C4&amp;"'"&amp;"!B:B"))</f>
        <v>38194</v>
      </c>
      <c r="D20" s="147">
        <f ca="1">SUMIF(INDIRECT("'"&amp;D4&amp;"'"&amp;"!A:A"),结果表!B20,INDIRECT("'"&amp;D4&amp;"'"&amp;"!B:B"))</f>
        <v>47703</v>
      </c>
      <c r="E20" s="2428"/>
      <c r="F20" s="1245" t="s">
        <v>2140</v>
      </c>
      <c r="G20" s="148">
        <f ca="1">ROUND(C20*$C$18+D20*$D$18,0)</f>
        <v>42949</v>
      </c>
      <c r="H20" s="978" t="s">
        <v>2141</v>
      </c>
      <c r="I20" s="138"/>
      <c r="J20" s="2966">
        <v>34018</v>
      </c>
    </row>
    <row r="21" spans="1:35" ht="15" customHeight="1" thickBot="1">
      <c r="A21" s="998"/>
      <c r="B21" s="2429" t="s">
        <v>2142</v>
      </c>
      <c r="C21" s="788">
        <f ca="1">ROUND(C19*10000/L19,0)</f>
        <v>154634</v>
      </c>
      <c r="D21" s="789">
        <f ca="1">ROUND(D19*10000/L19,0)</f>
        <v>193136</v>
      </c>
      <c r="E21" s="998"/>
      <c r="F21" s="2429" t="s">
        <v>2142</v>
      </c>
      <c r="G21" s="149">
        <f ca="1">ROUND(G19*10000/L19,0)</f>
        <v>173885</v>
      </c>
      <c r="H21" s="2430" t="s">
        <v>2141</v>
      </c>
      <c r="I21" s="138"/>
      <c r="J21" s="2966">
        <v>137726</v>
      </c>
    </row>
    <row r="22" spans="1:35" ht="15" thickBot="1">
      <c r="A22" s="2271" t="s">
        <v>2143</v>
      </c>
      <c r="B22" s="2431"/>
      <c r="C22" s="2432"/>
      <c r="D22" s="790">
        <f ca="1">IF(C19&lt;D19,D19/C19-1,C19/D19-1)</f>
        <v>0.24898597989167404</v>
      </c>
      <c r="E22" s="138"/>
      <c r="F22" s="138"/>
      <c r="G22" s="138"/>
      <c r="H22" s="138"/>
      <c r="I22" s="138"/>
    </row>
    <row r="23" spans="1:35" ht="13.5" thickBot="1">
      <c r="A23" s="2409"/>
      <c r="B23" s="2409"/>
      <c r="C23" s="2409"/>
      <c r="D23" s="2409"/>
      <c r="E23" s="138"/>
      <c r="F23" s="138"/>
      <c r="G23" s="138"/>
      <c r="H23" s="138"/>
      <c r="I23" s="138"/>
      <c r="J23" s="2991">
        <v>145077</v>
      </c>
    </row>
    <row r="24" spans="1:35" ht="14.25">
      <c r="A24" s="3189" t="s">
        <v>2144</v>
      </c>
      <c r="B24" s="2426" t="s">
        <v>2136</v>
      </c>
      <c r="C24" s="145">
        <f>IF(B30=0,0,D30)</f>
        <v>0</v>
      </c>
      <c r="D24" s="2433"/>
      <c r="E24" s="138"/>
      <c r="F24" s="138"/>
      <c r="G24" s="138"/>
      <c r="H24" s="138"/>
      <c r="I24" s="138"/>
      <c r="J24" s="2991">
        <v>31822</v>
      </c>
    </row>
    <row r="25" spans="1:35" ht="14.25">
      <c r="A25" s="3190"/>
      <c r="B25" s="1245" t="s">
        <v>2140</v>
      </c>
      <c r="C25" s="150">
        <f>IF(B30=0,0,C30)</f>
        <v>0</v>
      </c>
      <c r="D25" s="2434"/>
      <c r="E25" s="138"/>
      <c r="F25" s="138"/>
      <c r="G25" s="138"/>
      <c r="H25" s="138"/>
      <c r="I25" s="138"/>
      <c r="J25" s="2991">
        <v>104623</v>
      </c>
      <c r="K25" s="794">
        <v>14.46</v>
      </c>
    </row>
    <row r="26" spans="1:35" ht="13.5" customHeight="1">
      <c r="A26" s="2435" t="s">
        <v>2145</v>
      </c>
      <c r="B26" s="151" t="s">
        <v>2146</v>
      </c>
      <c r="C26" s="151" t="s">
        <v>2147</v>
      </c>
      <c r="D26" s="152" t="s">
        <v>2148</v>
      </c>
      <c r="E26" s="138"/>
      <c r="F26" s="138"/>
      <c r="G26" s="138"/>
      <c r="H26" s="138"/>
      <c r="I26" s="138"/>
    </row>
    <row r="27" spans="1:35" ht="14.25">
      <c r="A27" s="2435"/>
      <c r="B27" s="151">
        <v>0</v>
      </c>
      <c r="C27" s="151">
        <v>0</v>
      </c>
      <c r="D27" s="152"/>
      <c r="E27" s="138"/>
      <c r="F27" s="138"/>
      <c r="G27" s="138"/>
      <c r="H27" s="138"/>
      <c r="I27" s="138"/>
      <c r="J27" s="2410">
        <v>108705</v>
      </c>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2149</v>
      </c>
      <c r="B30" s="151"/>
      <c r="C30" s="151"/>
      <c r="D30" s="151"/>
      <c r="E30" s="2915" t="s">
        <v>3028</v>
      </c>
      <c r="F30" s="138"/>
      <c r="G30" s="138"/>
      <c r="H30" s="138"/>
      <c r="I30" s="138"/>
    </row>
    <row r="31" spans="1:35" s="2437" customFormat="1" ht="15"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2150</v>
      </c>
      <c r="B32" s="2439"/>
      <c r="C32" s="153">
        <f ca="1">IF(D32="总价",G19-C24,G20-C25)</f>
        <v>137232</v>
      </c>
      <c r="D32" s="2440" t="s">
        <v>3215</v>
      </c>
      <c r="E32" s="138"/>
      <c r="F32" s="138"/>
      <c r="G32" s="138"/>
      <c r="H32" s="138">
        <f ca="1">G19+[1]结果表!$G$19</f>
        <v>170707</v>
      </c>
      <c r="I32" s="138"/>
    </row>
    <row r="33" spans="1:15" ht="15">
      <c r="A33" s="955" t="s">
        <v>2151</v>
      </c>
      <c r="B33" s="2441"/>
      <c r="C33" s="2442" t="s">
        <v>3216</v>
      </c>
      <c r="D33" s="2443" t="s">
        <v>3213</v>
      </c>
      <c r="E33" s="2444" t="s">
        <v>2152</v>
      </c>
      <c r="F33" s="2445" t="str">
        <f>IF(D32="楼面单价","取值（单价）","取值（总价）")</f>
        <v>取值（总价）</v>
      </c>
      <c r="G33" s="138"/>
      <c r="H33" s="138"/>
      <c r="I33" s="138"/>
    </row>
    <row r="34" spans="1:15" ht="15">
      <c r="A34" s="2446"/>
      <c r="B34" s="2447" t="s">
        <v>2153</v>
      </c>
      <c r="C34" s="157">
        <f ca="1">IF(C33="自定义",F34,C32-C35)</f>
        <v>137232</v>
      </c>
      <c r="D34" s="1053">
        <f ca="1">IF(C33="自定义",ROUND(C34/C32,3),IF(C33="收益比率",SUMIF(INDIRECT("'"&amp;D33&amp;"'"&amp;"!b:b"),"土地收益比率",INDIRECT("'"&amp;D33&amp;"'"&amp;"!c:c")),SUMIF(INDIRECT("'"&amp;D33&amp;"'"&amp;"!b:b"),"土地成本比率",INDIRECT("'"&amp;D33&amp;"'"&amp;"!c:c"))))</f>
        <v>1</v>
      </c>
      <c r="E34" s="2448" t="s">
        <v>2154</v>
      </c>
      <c r="F34" s="1734"/>
      <c r="G34" s="138"/>
      <c r="H34" s="138"/>
      <c r="I34" s="138"/>
    </row>
    <row r="35" spans="1:15" ht="15.75" thickBot="1">
      <c r="A35" s="2449"/>
      <c r="B35" s="2450" t="s">
        <v>2155</v>
      </c>
      <c r="C35" s="1439">
        <f ca="1">IF(C33="自定义",F35,ROUND(C32*D35,0))</f>
        <v>0</v>
      </c>
      <c r="D35" s="1440">
        <f ca="1">IF(C33="自定义",ROUND(C35/C32,3),IF(C33="收益比率",SUMIF(INDIRECT("'"&amp;D33&amp;"'"&amp;"!b:b"),"建筑物收益比率",INDIRECT("'"&amp;D33&amp;"'"&amp;"!c:c")),SUMIF(INDIRECT("'"&amp;D33&amp;"'"&amp;"!b:b"),"建筑物成本比率",INDIRECT("'"&amp;D33&amp;"'"&amp;"!c:c"))))</f>
        <v>0</v>
      </c>
      <c r="E35" s="2451" t="s">
        <v>2156</v>
      </c>
      <c r="F35" s="163"/>
      <c r="G35" s="138"/>
      <c r="H35" s="138"/>
      <c r="I35" s="138"/>
    </row>
    <row r="36" spans="1:15" ht="15.75" thickBot="1">
      <c r="A36" s="3169" t="s">
        <v>2157</v>
      </c>
      <c r="B36" s="2452" t="s">
        <v>2158</v>
      </c>
      <c r="C36" s="154"/>
      <c r="D36" s="2453"/>
      <c r="E36" s="2454"/>
      <c r="F36" s="2455"/>
      <c r="G36" s="138"/>
      <c r="H36" s="138"/>
      <c r="I36" s="138"/>
    </row>
    <row r="37" spans="1:15" ht="15.75" thickBot="1">
      <c r="A37" s="3170"/>
      <c r="B37" s="2257" t="s">
        <v>2159</v>
      </c>
      <c r="C37" s="156"/>
      <c r="D37" s="1390"/>
      <c r="E37" s="1390"/>
      <c r="F37" s="2455"/>
      <c r="G37" s="138"/>
      <c r="H37" s="138"/>
      <c r="I37" s="138"/>
    </row>
    <row r="38" spans="1:15" ht="15.75" thickBot="1">
      <c r="A38" s="3171"/>
      <c r="B38" s="2456" t="s">
        <v>2160</v>
      </c>
      <c r="C38" s="726"/>
      <c r="D38" s="2457" t="s">
        <v>2161</v>
      </c>
      <c r="E38" s="1390"/>
      <c r="F38" s="2455"/>
      <c r="G38" s="138"/>
      <c r="H38" s="138"/>
      <c r="I38" s="138"/>
    </row>
    <row r="39" spans="1:15" ht="15">
      <c r="A39" s="2428" t="s">
        <v>2162</v>
      </c>
      <c r="B39" s="2458" t="s">
        <v>2163</v>
      </c>
      <c r="C39" s="2459" t="s">
        <v>2164</v>
      </c>
      <c r="D39" s="2459" t="s">
        <v>2165</v>
      </c>
      <c r="E39" s="2460" t="s">
        <v>2166</v>
      </c>
      <c r="F39" s="2455"/>
      <c r="G39" s="138"/>
      <c r="H39" s="138"/>
      <c r="I39" s="138"/>
    </row>
    <row r="40" spans="1:15" ht="14.25">
      <c r="A40" s="2461" t="s">
        <v>2167</v>
      </c>
      <c r="B40" s="158"/>
      <c r="C40" s="159"/>
      <c r="D40" s="159"/>
      <c r="E40" s="160"/>
      <c r="F40" s="2455"/>
      <c r="G40" s="138"/>
      <c r="H40" s="138"/>
      <c r="I40" s="138"/>
    </row>
    <row r="41" spans="1:15" ht="14.25">
      <c r="A41" s="2461" t="s">
        <v>2168</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7"/>
      <c r="B43" s="2157"/>
      <c r="C43" s="2157"/>
      <c r="D43" s="2157"/>
      <c r="E43" s="2157"/>
      <c r="F43" s="2463"/>
      <c r="G43" s="2463"/>
      <c r="H43" s="2463"/>
      <c r="I43" s="2464"/>
    </row>
    <row r="44" spans="1:15" ht="18.75" hidden="1">
      <c r="A44" s="2465" t="s">
        <v>2169</v>
      </c>
      <c r="B44" s="2466"/>
      <c r="C44" s="2466"/>
      <c r="D44" s="2467"/>
      <c r="E44" s="2467"/>
      <c r="F44" s="2468"/>
      <c r="G44" s="2468"/>
      <c r="H44" s="2468"/>
      <c r="I44" s="2468"/>
      <c r="J44" s="2469" t="s">
        <v>2170</v>
      </c>
      <c r="K44" s="2470"/>
      <c r="L44" s="2470"/>
      <c r="M44" s="2470"/>
      <c r="N44" s="2470"/>
      <c r="O44" s="2470"/>
    </row>
    <row r="45" spans="1:15" ht="14.25" hidden="1" customHeight="1" thickBot="1">
      <c r="A45" s="3186" t="s">
        <v>2171</v>
      </c>
      <c r="B45" s="3187"/>
      <c r="C45" s="3188"/>
      <c r="D45" s="164">
        <f ca="1">ROUND(H101*F45,0)</f>
        <v>137232</v>
      </c>
      <c r="E45" s="165" t="s">
        <v>2172</v>
      </c>
      <c r="F45" s="166">
        <v>1</v>
      </c>
      <c r="G45" s="167" t="s">
        <v>2173</v>
      </c>
      <c r="H45" s="138"/>
      <c r="I45" s="138"/>
      <c r="J45" s="3105" t="s">
        <v>2174</v>
      </c>
      <c r="K45" s="3105"/>
      <c r="L45" s="3105"/>
      <c r="M45" s="3105"/>
      <c r="N45" s="3105"/>
      <c r="O45" s="3105"/>
    </row>
    <row r="46" spans="1:15" ht="14.25" hidden="1" customHeight="1">
      <c r="A46" s="3183" t="s">
        <v>2175</v>
      </c>
      <c r="B46" s="3184"/>
      <c r="C46" s="3184"/>
      <c r="D46" s="3184"/>
      <c r="E46" s="3184"/>
      <c r="F46" s="3184"/>
      <c r="G46" s="3185"/>
      <c r="H46" s="2471"/>
      <c r="I46" s="168"/>
      <c r="J46" s="1807">
        <v>1</v>
      </c>
      <c r="K46" s="3105" t="s">
        <v>2176</v>
      </c>
      <c r="L46" s="3105"/>
      <c r="M46" s="3106"/>
      <c r="N46" s="3106"/>
      <c r="O46" s="3106"/>
    </row>
    <row r="47" spans="1:15" ht="12" hidden="1" customHeight="1">
      <c r="A47" s="169" t="s">
        <v>2177</v>
      </c>
      <c r="B47" s="170"/>
      <c r="C47" s="171"/>
      <c r="D47" s="172" t="s">
        <v>2178</v>
      </c>
      <c r="E47" s="24" t="s">
        <v>2179</v>
      </c>
      <c r="F47" s="173" t="s">
        <v>2180</v>
      </c>
      <c r="G47" s="174" t="s">
        <v>2181</v>
      </c>
      <c r="H47" s="2471"/>
      <c r="I47" s="168"/>
      <c r="J47" s="1807">
        <v>2</v>
      </c>
      <c r="K47" s="3105" t="s">
        <v>2182</v>
      </c>
      <c r="L47" s="3105"/>
      <c r="M47" s="3107">
        <f>'数据-取费表'!B2</f>
        <v>43165</v>
      </c>
      <c r="N47" s="3107"/>
      <c r="O47" s="3107"/>
    </row>
    <row r="48" spans="1:15" ht="25.5" hidden="1">
      <c r="A48" s="3173" t="s">
        <v>2183</v>
      </c>
      <c r="B48" s="3174"/>
      <c r="C48" s="3174"/>
      <c r="D48" s="140">
        <f>IF(H48="情况1",0,IF(H48="情况2",D52,IF(H48="情况3",D53,IF(H48="情况4",D54))))</f>
        <v>0</v>
      </c>
      <c r="E48" s="1796" t="str">
        <f>IF(H48="情况4","(销售额-原购置价)×税（费）率","销售额×税（费）率")</f>
        <v>销售额×税（费）率</v>
      </c>
      <c r="F48" s="175" t="str">
        <f>IF(H48="情况1","免征",'数据-取费表'!B41)</f>
        <v>免征</v>
      </c>
      <c r="G48" s="2472" t="s">
        <v>2184</v>
      </c>
      <c r="H48" s="2473" t="s">
        <v>2185</v>
      </c>
      <c r="I48" s="2471"/>
      <c r="J48" s="1807">
        <v>3</v>
      </c>
      <c r="K48" s="3105" t="s">
        <v>2186</v>
      </c>
      <c r="L48" s="3105"/>
      <c r="M48" s="3108">
        <f ca="1">H101</f>
        <v>137232</v>
      </c>
      <c r="N48" s="3108"/>
      <c r="O48" s="3108"/>
    </row>
    <row r="49" spans="1:35" ht="25.5" hidden="1" customHeight="1">
      <c r="A49" s="176" t="s">
        <v>2187</v>
      </c>
      <c r="B49" s="3153" t="s">
        <v>2188</v>
      </c>
      <c r="C49" s="3153"/>
      <c r="D49" s="177">
        <v>0</v>
      </c>
      <c r="E49" s="23" t="s">
        <v>2189</v>
      </c>
      <c r="F49" s="28" t="s">
        <v>34</v>
      </c>
      <c r="G49" s="3134"/>
      <c r="H49" s="138"/>
      <c r="I49" s="2474"/>
      <c r="J49" s="1807">
        <v>4</v>
      </c>
      <c r="K49" s="3105" t="str">
        <f>IF(项目基本情况!E8="房地产抵押价值","房地产抵押价值","抵押担保权已注销时的房地产抵押价值")</f>
        <v>抵押担保权已注销时的房地产抵押价值</v>
      </c>
      <c r="L49" s="3105"/>
      <c r="M49" s="3108">
        <f ca="1">IF(项目基本情况!E8="房地产抵押价值",H107,H109)</f>
        <v>137232</v>
      </c>
      <c r="N49" s="3108"/>
      <c r="O49" s="3108"/>
    </row>
    <row r="50" spans="1:35" ht="25.5" hidden="1" customHeight="1">
      <c r="A50" s="178"/>
      <c r="B50" s="3153" t="s">
        <v>2190</v>
      </c>
      <c r="C50" s="3153"/>
      <c r="D50" s="179"/>
      <c r="E50" s="31"/>
      <c r="F50" s="180"/>
      <c r="G50" s="3135"/>
      <c r="H50" s="138"/>
      <c r="I50" s="2474"/>
      <c r="J50" s="3105" t="s">
        <v>2191</v>
      </c>
      <c r="K50" s="3105"/>
      <c r="L50" s="3105"/>
      <c r="M50" s="3105"/>
      <c r="N50" s="3105"/>
      <c r="O50" s="3105"/>
    </row>
    <row r="51" spans="1:35" ht="12" hidden="1" customHeight="1">
      <c r="A51" s="181"/>
      <c r="B51" s="3153" t="s">
        <v>2192</v>
      </c>
      <c r="C51" s="3153"/>
      <c r="D51" s="182"/>
      <c r="E51" s="30"/>
      <c r="F51" s="180"/>
      <c r="G51" s="3136"/>
      <c r="H51" s="138"/>
      <c r="I51" s="2474"/>
      <c r="J51" s="2475" t="s">
        <v>2193</v>
      </c>
      <c r="K51" s="3105" t="s">
        <v>2194</v>
      </c>
      <c r="L51" s="3105"/>
      <c r="M51" s="2475" t="s">
        <v>2195</v>
      </c>
      <c r="N51" s="2475" t="s">
        <v>2196</v>
      </c>
      <c r="O51" s="2475" t="s">
        <v>2197</v>
      </c>
    </row>
    <row r="52" spans="1:35" ht="24" hidden="1" customHeight="1">
      <c r="A52" s="183" t="s">
        <v>2198</v>
      </c>
      <c r="B52" s="3153" t="s">
        <v>2199</v>
      </c>
      <c r="C52" s="3153"/>
      <c r="D52" s="182">
        <f ca="1">ROUND(D45*'数据-取费表'!B41/(1+'数据-取费表'!C42),0)</f>
        <v>7188</v>
      </c>
      <c r="E52" s="11" t="s">
        <v>2200</v>
      </c>
      <c r="F52" s="184">
        <f>'数据-取费表'!B41</f>
        <v>5.5000000000000007E-2</v>
      </c>
      <c r="G52" s="2476"/>
      <c r="H52" s="138"/>
      <c r="I52" s="2474"/>
      <c r="J52" s="1807">
        <v>1</v>
      </c>
      <c r="K52" s="3128" t="s">
        <v>2201</v>
      </c>
      <c r="L52" s="3128"/>
      <c r="M52" s="1749">
        <f>D48</f>
        <v>0</v>
      </c>
      <c r="N52" s="1807" t="str">
        <f>E48</f>
        <v>销售额×税（费）率</v>
      </c>
      <c r="O52" s="1750" t="str">
        <f>F48</f>
        <v>免征</v>
      </c>
    </row>
    <row r="53" spans="1:35" ht="12" hidden="1" customHeight="1">
      <c r="A53" s="183" t="s">
        <v>2202</v>
      </c>
      <c r="B53" s="3154" t="s">
        <v>2203</v>
      </c>
      <c r="C53" s="3155"/>
      <c r="D53" s="182">
        <f ca="1">ROUND(D45*'数据-取费表'!B41/(1+'数据-取费表'!C42),0)</f>
        <v>7188</v>
      </c>
      <c r="E53" s="11" t="s">
        <v>2200</v>
      </c>
      <c r="F53" s="184">
        <f>'数据-取费表'!B41</f>
        <v>5.5000000000000007E-2</v>
      </c>
      <c r="G53" s="2476"/>
      <c r="H53" s="138"/>
      <c r="I53" s="2474"/>
      <c r="J53" s="1807">
        <v>2</v>
      </c>
      <c r="K53" s="3128" t="s">
        <v>2204</v>
      </c>
      <c r="L53" s="3128"/>
      <c r="M53" s="1749">
        <f t="shared" ref="M53:O54" ca="1" si="0">D55</f>
        <v>69</v>
      </c>
      <c r="N53" s="1807" t="str">
        <f t="shared" si="0"/>
        <v>销售额×税（费）率</v>
      </c>
      <c r="O53" s="1750">
        <f t="shared" si="0"/>
        <v>5.0000000000000001E-4</v>
      </c>
    </row>
    <row r="54" spans="1:35" ht="12" hidden="1" customHeight="1">
      <c r="A54" s="183" t="s">
        <v>2205</v>
      </c>
      <c r="B54" s="3154" t="s">
        <v>2206</v>
      </c>
      <c r="C54" s="3155"/>
      <c r="D54" s="182">
        <f ca="1">C68</f>
        <v>7188</v>
      </c>
      <c r="E54" s="30" t="s">
        <v>2207</v>
      </c>
      <c r="F54" s="184">
        <f>'数据-取费表'!B41</f>
        <v>5.5000000000000007E-2</v>
      </c>
      <c r="G54" s="2476"/>
      <c r="H54" s="2477"/>
      <c r="I54" s="2474"/>
      <c r="J54" s="1807">
        <v>3</v>
      </c>
      <c r="K54" s="3128" t="s">
        <v>2208</v>
      </c>
      <c r="L54" s="3128"/>
      <c r="M54" s="1749">
        <f t="shared" ca="1" si="0"/>
        <v>77798</v>
      </c>
      <c r="N54" s="1807" t="str">
        <f t="shared" si="0"/>
        <v>增值额×税（费）率</v>
      </c>
      <c r="O54" s="1751" t="str">
        <f t="shared" si="0"/>
        <v>——</v>
      </c>
    </row>
    <row r="55" spans="1:35" ht="24" hidden="1" customHeight="1">
      <c r="A55" s="3192" t="s">
        <v>2209</v>
      </c>
      <c r="B55" s="3174"/>
      <c r="C55" s="3174"/>
      <c r="D55" s="185">
        <f ca="1">IF(H55="个人住宅",0,ROUND(D45*I55,0))</f>
        <v>69</v>
      </c>
      <c r="E55" s="11" t="s">
        <v>2210</v>
      </c>
      <c r="F55" s="184">
        <f>IF(H55="正常",I55,"免征")</f>
        <v>5.0000000000000001E-4</v>
      </c>
      <c r="G55" s="2476"/>
      <c r="H55" s="2473" t="s">
        <v>2211</v>
      </c>
      <c r="I55" s="186">
        <f>'数据-取费表'!B49</f>
        <v>5.0000000000000001E-4</v>
      </c>
      <c r="J55" s="1807" t="str">
        <f>IF(H59="非个人房产","",4)</f>
        <v/>
      </c>
      <c r="K55" s="3128" t="str">
        <f>IF(H59="非个人房产","——","个人所得税")</f>
        <v>——</v>
      </c>
      <c r="L55" s="3128"/>
      <c r="M55" s="1752" t="str">
        <f>D59</f>
        <v>——</v>
      </c>
      <c r="N55" s="1805" t="str">
        <f>E59</f>
        <v>——</v>
      </c>
      <c r="O55" s="1753" t="str">
        <f>F59</f>
        <v>——</v>
      </c>
    </row>
    <row r="56" spans="1:35" ht="24.75" hidden="1">
      <c r="A56" s="3192" t="s">
        <v>2212</v>
      </c>
      <c r="B56" s="3174"/>
      <c r="C56" s="3174"/>
      <c r="D56" s="185">
        <f ca="1">IF(H56="个人住宅",D57,D58)</f>
        <v>77798</v>
      </c>
      <c r="E56" s="11" t="s">
        <v>2213</v>
      </c>
      <c r="F56" s="184" t="str">
        <f>IF(H56="正常",F58,"免征")</f>
        <v>——</v>
      </c>
      <c r="G56" s="2478" t="s">
        <v>2214</v>
      </c>
      <c r="H56" s="2479" t="s">
        <v>2211</v>
      </c>
      <c r="I56" s="2480"/>
      <c r="J56" s="1807" t="str">
        <f>IF(项目基本情况!K6="上海银行",IF(J55="",4,J55+1),"")</f>
        <v/>
      </c>
      <c r="K56" s="3111" t="str">
        <f>IF(项目基本情况!K6="上海银行","其他处置费用","")</f>
        <v/>
      </c>
      <c r="L56" s="3112"/>
      <c r="M56" s="1749" t="str">
        <f>IF(项目基本情况!K6="上海银行",M69,"")</f>
        <v/>
      </c>
      <c r="N56" s="3114" t="str">
        <f>IF(项目基本情况!K6="上海银行","包含处置中涉及的律师、诉讼、拍卖、评估等费用","")</f>
        <v/>
      </c>
      <c r="O56" s="3115"/>
    </row>
    <row r="57" spans="1:35" ht="12.75" hidden="1">
      <c r="A57" s="183" t="s">
        <v>2187</v>
      </c>
      <c r="B57" s="3159" t="s">
        <v>2215</v>
      </c>
      <c r="C57" s="3160"/>
      <c r="D57" s="187">
        <v>0</v>
      </c>
      <c r="E57" s="23" t="s">
        <v>2189</v>
      </c>
      <c r="F57" s="155"/>
      <c r="G57" s="2476"/>
      <c r="H57" s="2480"/>
      <c r="I57" s="2480"/>
      <c r="J57" s="3128">
        <f>IF(AND(J55="",J56=""),4,IF(项目基本情况!K6="上海银行",结果表!J56+1,结果表!J55+1))</f>
        <v>4</v>
      </c>
      <c r="K57" s="3128" t="s">
        <v>2216</v>
      </c>
      <c r="L57" s="2481" t="s">
        <v>2217</v>
      </c>
      <c r="M57" s="1754"/>
      <c r="N57" s="1755">
        <f ca="1">SUMIF(M52:M56,"&lt;9e307")</f>
        <v>77867</v>
      </c>
      <c r="O57" s="2482"/>
      <c r="P57" s="1748">
        <f ca="1">N57/M49</f>
        <v>0.56741139092922932</v>
      </c>
    </row>
    <row r="58" spans="1:35" ht="24.75" hidden="1">
      <c r="A58" s="183" t="s">
        <v>2198</v>
      </c>
      <c r="B58" s="3159" t="s">
        <v>2218</v>
      </c>
      <c r="C58" s="3172"/>
      <c r="D58" s="185">
        <f ca="1">IF(H58="转让取得",C81,C97)</f>
        <v>77798</v>
      </c>
      <c r="E58" s="11" t="s">
        <v>2213</v>
      </c>
      <c r="F58" s="24" t="s">
        <v>34</v>
      </c>
      <c r="G58" s="2476"/>
      <c r="H58" s="2479" t="s">
        <v>2219</v>
      </c>
      <c r="I58" s="2480"/>
      <c r="J58" s="3128"/>
      <c r="K58" s="3128"/>
      <c r="L58" s="2481" t="s">
        <v>2220</v>
      </c>
      <c r="M58" s="1756"/>
      <c r="N58" s="2483" t="str">
        <f ca="1">NUMBERSTRING(INT(N57*10000),2)&amp;"元整"</f>
        <v>柒亿柒仟捌佰陆拾柒万元整</v>
      </c>
      <c r="O58" s="2484"/>
    </row>
    <row r="59" spans="1:35" ht="24.75" hidden="1" thickBot="1">
      <c r="A59" s="3132" t="s">
        <v>2221</v>
      </c>
      <c r="B59" s="3133"/>
      <c r="C59" s="3133"/>
      <c r="D59" s="188" t="str">
        <f>IF(H59="非个人房产","——",IF(H59="个人住宅",0,ROUND(D45*I59,0)))</f>
        <v>——</v>
      </c>
      <c r="E59" s="189" t="str">
        <f>IF(H59="非个人房产","——","销售额×税（费）率")</f>
        <v>——</v>
      </c>
      <c r="F59" s="190" t="str">
        <f>IF(H59="非个人房产","——",IF(H59="个人住宅","免征",I59))</f>
        <v>——</v>
      </c>
      <c r="G59" s="2485" t="s">
        <v>2214</v>
      </c>
      <c r="H59" s="2479" t="s">
        <v>2222</v>
      </c>
      <c r="I59" s="191">
        <v>0.01</v>
      </c>
      <c r="J59" s="3130">
        <f>J57+1</f>
        <v>5</v>
      </c>
      <c r="K59" s="3128" t="s">
        <v>2223</v>
      </c>
      <c r="L59" s="1807" t="s">
        <v>2217</v>
      </c>
      <c r="M59" s="1757"/>
      <c r="N59" s="1758">
        <f ca="1">M49-N57</f>
        <v>59365</v>
      </c>
      <c r="O59" s="2486"/>
    </row>
    <row r="60" spans="1:35" ht="12" hidden="1" customHeight="1">
      <c r="A60" s="2487"/>
      <c r="B60" s="2409"/>
      <c r="C60" s="2409"/>
      <c r="D60" s="2409"/>
      <c r="E60" s="2158"/>
      <c r="F60" s="2480"/>
      <c r="G60" s="2480"/>
      <c r="H60" s="2488"/>
      <c r="I60" s="138"/>
      <c r="J60" s="3131"/>
      <c r="K60" s="3128"/>
      <c r="L60" s="2481" t="s">
        <v>2220</v>
      </c>
      <c r="M60" s="1756"/>
      <c r="N60" s="2483" t="str">
        <f ca="1">NUMBERSTRING(INT(N59*10000),2)&amp;"元整"</f>
        <v>伍亿玖仟叁佰陆拾伍万元整</v>
      </c>
      <c r="O60" s="2484"/>
    </row>
    <row r="61" spans="1:35" ht="13.5" hidden="1" thickBot="1">
      <c r="A61" s="3191" t="s">
        <v>2224</v>
      </c>
      <c r="B61" s="3191"/>
      <c r="C61" s="3191"/>
      <c r="D61" s="3191"/>
      <c r="E61" s="3191"/>
      <c r="F61" s="2480"/>
      <c r="G61" s="2480"/>
      <c r="H61" s="2488"/>
      <c r="I61" s="138"/>
      <c r="J61" s="1807">
        <f>J59+1</f>
        <v>6</v>
      </c>
      <c r="K61" s="3128" t="s">
        <v>2225</v>
      </c>
      <c r="L61" s="3128"/>
      <c r="M61" s="1759"/>
      <c r="N61" s="1760">
        <f ca="1">ROUND(N59*10000/'数据-汇总表'!E3,0)</f>
        <v>18579</v>
      </c>
      <c r="O61" s="2489"/>
    </row>
    <row r="62" spans="1:35" ht="12.75" hidden="1">
      <c r="A62" s="3148" t="s">
        <v>2226</v>
      </c>
      <c r="B62" s="3149"/>
      <c r="C62" s="1799"/>
      <c r="D62" s="1799" t="s">
        <v>2227</v>
      </c>
      <c r="E62" s="192" t="s">
        <v>2228</v>
      </c>
      <c r="F62" s="2480"/>
      <c r="G62" s="2480"/>
      <c r="H62" s="2488"/>
      <c r="I62" s="138"/>
    </row>
    <row r="63" spans="1:35" ht="12.75" hidden="1">
      <c r="A63" s="203" t="s">
        <v>775</v>
      </c>
      <c r="B63" s="193" t="s">
        <v>2229</v>
      </c>
      <c r="C63" s="194">
        <f ca="1">ROUND((C64+C65)/(1+'数据-取费表'!C42),0)</f>
        <v>130697</v>
      </c>
      <c r="D63" s="195"/>
      <c r="E63" s="196"/>
      <c r="F63" s="2480"/>
      <c r="G63" s="2480"/>
      <c r="H63" s="2488"/>
      <c r="I63" s="138"/>
      <c r="J63" s="3113" t="s">
        <v>2230</v>
      </c>
      <c r="K63" s="2490" t="s">
        <v>2231</v>
      </c>
      <c r="L63" s="1747">
        <f ca="1">IF(M49&gt;10000,M49*0.5%,IF(AND(M49&gt;1000,M49&lt;=10000),M49*1%,IF(AND(M49&gt;100,M49&lt;=1000),M49*3%,IF(AND(M49&gt;10,M49&lt;=100),M49*5%,M49*8%))))</f>
        <v>686.16</v>
      </c>
      <c r="M63" s="24">
        <f ca="1">ROUND(L63,1)</f>
        <v>686.2</v>
      </c>
      <c r="Z63" s="2414"/>
      <c r="AI63" s="2415"/>
    </row>
    <row r="64" spans="1:35" ht="14.25" hidden="1" customHeight="1">
      <c r="A64" s="197" t="s">
        <v>770</v>
      </c>
      <c r="B64" s="198" t="s">
        <v>2232</v>
      </c>
      <c r="C64" s="199">
        <f ca="1">D45</f>
        <v>137232</v>
      </c>
      <c r="D64" s="200" t="s">
        <v>32</v>
      </c>
      <c r="E64" s="201"/>
      <c r="F64" s="2480"/>
      <c r="G64" s="2480"/>
      <c r="H64" s="2488"/>
      <c r="I64" s="138"/>
      <c r="J64" s="3113"/>
      <c r="K64" s="2490" t="s">
        <v>2233</v>
      </c>
      <c r="L64" s="1747">
        <f ca="1">IF(M49&gt;2000,M49*0.5%,IF(AND(M49&gt;1000,M49&lt;=2000),M49*0.6%,IF(AND(M49&gt;500,M49&lt;=1000),M49*0.7%,IF(AND(M49&gt;200,M49&lt;=500),M49*0.8%,IF(AND(M49&gt;100,M49&lt;=200),M49*0.9%,IF(AND(M49&gt;50,M49&lt;=100),M49*1%,IF(AND(M49&gt;20,M49&lt;=50),M49*1.5%,IF(AND(M49&gt;10,M49&lt;=20),M49*2%,IF(AND(M49&gt;1,M49&lt;=10),M49*2.5%)))))))))</f>
        <v>686.16</v>
      </c>
      <c r="M64" s="24">
        <f ca="1">ROUND(L64,1)</f>
        <v>686.2</v>
      </c>
      <c r="N64" s="138" t="s">
        <v>2234</v>
      </c>
      <c r="Z64" s="2414"/>
      <c r="AI64" s="2415"/>
    </row>
    <row r="65" spans="1:35" ht="14.25" hidden="1" customHeight="1">
      <c r="A65" s="197" t="s">
        <v>771</v>
      </c>
      <c r="B65" s="198" t="s">
        <v>2235</v>
      </c>
      <c r="C65" s="202"/>
      <c r="D65" s="200"/>
      <c r="E65" s="201"/>
      <c r="F65" s="2480"/>
      <c r="G65" s="2480"/>
      <c r="H65" s="2488"/>
      <c r="I65" s="138"/>
      <c r="J65" s="3113"/>
      <c r="K65" s="2490" t="s">
        <v>2236</v>
      </c>
      <c r="L65" s="1747">
        <f ca="1">IF(M49&gt;1000,M49*0.1%,IF(AND(M49&gt;500,M49&lt;=1000),M49*0.5%,IF(AND(M49&gt;50,M49&lt;=500),M49*1%,IF(AND(M49&gt;1,M49&lt;=50),M49*1.5%))))</f>
        <v>137.232</v>
      </c>
      <c r="M65" s="24">
        <f ca="1">ROUND(L65,1)</f>
        <v>137.19999999999999</v>
      </c>
      <c r="N65" s="138" t="s">
        <v>2234</v>
      </c>
      <c r="Z65" s="2414"/>
      <c r="AI65" s="2415"/>
    </row>
    <row r="66" spans="1:35" ht="14.25" hidden="1" customHeight="1">
      <c r="A66" s="203" t="s">
        <v>772</v>
      </c>
      <c r="B66" s="204" t="s">
        <v>2237</v>
      </c>
      <c r="C66" s="205"/>
      <c r="D66" s="206" t="s">
        <v>32</v>
      </c>
      <c r="E66" s="1771" t="s">
        <v>1371</v>
      </c>
      <c r="F66" s="2480"/>
      <c r="G66" s="2480"/>
      <c r="H66" s="2488"/>
      <c r="I66" s="138"/>
      <c r="J66" s="3113"/>
      <c r="K66" s="2490" t="s">
        <v>2238</v>
      </c>
      <c r="L66" s="1747">
        <f ca="1">M49*0.5%</f>
        <v>686.16</v>
      </c>
      <c r="M66" s="24">
        <f ca="1">IF(L66&gt;0.5,0.5,ROUND(L66,0))</f>
        <v>0.5</v>
      </c>
      <c r="N66" s="138" t="s">
        <v>2239</v>
      </c>
      <c r="Z66" s="2414"/>
      <c r="AI66" s="2415"/>
    </row>
    <row r="67" spans="1:35" ht="14.25" hidden="1" customHeight="1">
      <c r="A67" s="203" t="s">
        <v>773</v>
      </c>
      <c r="B67" s="204" t="s">
        <v>2240</v>
      </c>
      <c r="C67" s="207">
        <f ca="1">C63-C66</f>
        <v>130697</v>
      </c>
      <c r="D67" s="200" t="s">
        <v>32</v>
      </c>
      <c r="E67" s="201"/>
      <c r="F67" s="2480"/>
      <c r="G67" s="2480"/>
      <c r="H67" s="2488"/>
      <c r="I67" s="138"/>
      <c r="J67" s="3113"/>
      <c r="K67" s="2490" t="s">
        <v>2241</v>
      </c>
      <c r="L67" s="1747">
        <f ca="1">IF(M49&gt;=10000,(8.25+(M49-10000)*0.01%),IF(AND(M49&gt;=8000,M49&lt;10000),(7.85+(M49-8000)*0.02%),IF(AND(M49&gt;=5000,M49&lt;8000),(6.65+(M49-5000)*0.04%),IF(AND(M49&gt;=2000,M49&lt;5000),(4.25+(PM49-2000)*0.08%),IF(AND(M49&gt;=1000,M49&lt;2000),(2.75+(M49-1000)*0.15%),IF(AND(M49&gt;=100,M49&lt;1000),(0.5+(M49-100)*0.25%),IF(AND(M49&gt;0,M49&lt;100),M49*0.5%)))))))</f>
        <v>20.973199999999999</v>
      </c>
      <c r="M67" s="24">
        <f ca="1">ROUND(L67*0.9,1)</f>
        <v>18.899999999999999</v>
      </c>
      <c r="Z67" s="2414"/>
      <c r="AI67" s="2415"/>
    </row>
    <row r="68" spans="1:35" ht="14.25" hidden="1" customHeight="1" thickBot="1">
      <c r="A68" s="208" t="s">
        <v>774</v>
      </c>
      <c r="B68" s="209" t="s">
        <v>2242</v>
      </c>
      <c r="C68" s="210">
        <f ca="1">IF(C67&lt;=0,0,ROUND(C67*D68,0))</f>
        <v>7188</v>
      </c>
      <c r="D68" s="211">
        <f>'数据-取费表'!B41</f>
        <v>5.5000000000000007E-2</v>
      </c>
      <c r="E68" s="212"/>
      <c r="F68" s="2480"/>
      <c r="G68" s="2480"/>
      <c r="H68" s="2488"/>
      <c r="I68" s="138"/>
      <c r="J68" s="3113"/>
      <c r="K68" s="2490" t="s">
        <v>2243</v>
      </c>
      <c r="L68" s="1747">
        <f ca="1">IF(M49&gt;10000,M49*0.5%,IF(AND(M49&gt;5000,M49&lt;=10000),M49*1%,IF(AND(M49&gt;1000,M49&lt;=5000),M49*2%,IF(AND(M49&gt;200,M49&lt;=1000),M49*3%,M49*5%))))</f>
        <v>686.16</v>
      </c>
      <c r="M68" s="24">
        <f ca="1">ROUND(L68,1)</f>
        <v>686.2</v>
      </c>
      <c r="Z68" s="2414"/>
      <c r="AI68" s="2415"/>
    </row>
    <row r="69" spans="1:35" s="2437" customFormat="1" ht="16.5" hidden="1" customHeight="1">
      <c r="A69" s="2491"/>
      <c r="B69" s="2492"/>
      <c r="C69" s="2493"/>
      <c r="D69" s="2494"/>
      <c r="E69" s="2495"/>
      <c r="F69" s="2158"/>
      <c r="G69" s="2158"/>
      <c r="H69" s="2157"/>
      <c r="I69" s="2409"/>
      <c r="J69" s="3113"/>
      <c r="K69" s="2490" t="s">
        <v>2244</v>
      </c>
      <c r="L69" s="2496"/>
      <c r="M69" s="24">
        <f ca="1">ROUND(SUM(M63:M68),0)</f>
        <v>2215</v>
      </c>
      <c r="N69" s="1748">
        <f ca="1">M69/M49</f>
        <v>1.6140550308965839E-2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hidden="1" thickBot="1">
      <c r="A70" s="3157" t="s">
        <v>2245</v>
      </c>
      <c r="B70" s="3158"/>
      <c r="C70" s="3158"/>
      <c r="D70" s="3158"/>
      <c r="E70" s="3158"/>
      <c r="F70" s="3158"/>
      <c r="G70" s="3158"/>
      <c r="H70" s="315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48" t="s">
        <v>2226</v>
      </c>
      <c r="B71" s="3149"/>
      <c r="C71" s="1799"/>
      <c r="D71" s="1799" t="s">
        <v>2227</v>
      </c>
      <c r="E71" s="213" t="s">
        <v>2228</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3" t="s">
        <v>775</v>
      </c>
      <c r="B72" s="204" t="s">
        <v>2246</v>
      </c>
      <c r="C72" s="207">
        <f ca="1">ROUND(D45/(1+'数据-取费表'!C42),0)</f>
        <v>130697</v>
      </c>
      <c r="D72" s="200" t="s">
        <v>32</v>
      </c>
      <c r="E72" s="1798"/>
      <c r="F72" s="1792"/>
      <c r="G72" s="1792"/>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3" t="s">
        <v>772</v>
      </c>
      <c r="B73" s="173" t="s">
        <v>2247</v>
      </c>
      <c r="C73" s="207">
        <f ca="1">C74+C78</f>
        <v>653</v>
      </c>
      <c r="D73" s="200" t="s">
        <v>32</v>
      </c>
      <c r="E73" s="1798"/>
      <c r="F73" s="1792"/>
      <c r="G73" s="1792"/>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2248</v>
      </c>
      <c r="C74" s="200">
        <f>ROUND(IF(G77="2016年5月1日后购买",C75/(1+'数据-取费表'!C42)+C76+C77,C75+C76+C77),0)</f>
        <v>0</v>
      </c>
      <c r="D74" s="200" t="s">
        <v>32</v>
      </c>
      <c r="E74" s="1798"/>
      <c r="F74" s="1792"/>
      <c r="G74" s="1792"/>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7" t="s">
        <v>776</v>
      </c>
      <c r="B75" s="198" t="s">
        <v>2249</v>
      </c>
      <c r="C75" s="218"/>
      <c r="D75" s="200" t="s">
        <v>32</v>
      </c>
      <c r="E75" s="219" t="s">
        <v>2250</v>
      </c>
      <c r="F75" s="2502" t="s">
        <v>2251</v>
      </c>
      <c r="G75" s="219" t="s">
        <v>2252</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2253</v>
      </c>
      <c r="C76" s="200">
        <f>IF(F75="购房发票",ROUND(C75*H75*D76,0),0)</f>
        <v>0</v>
      </c>
      <c r="D76" s="222">
        <v>0.05</v>
      </c>
      <c r="E76" s="3154" t="s">
        <v>2254</v>
      </c>
      <c r="F76" s="3153"/>
      <c r="G76" s="3153"/>
      <c r="H76" s="315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4" t="s">
        <v>2257</v>
      </c>
      <c r="H77" s="1803"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2258</v>
      </c>
      <c r="C78" s="225">
        <f ca="1">ROUND(D45*D78/(1+'数据-取费表'!C42),0)</f>
        <v>653</v>
      </c>
      <c r="D78" s="226">
        <f>'数据-取费表'!B43</f>
        <v>5.000000000000001E-3</v>
      </c>
      <c r="E78" s="3145" t="s">
        <v>2259</v>
      </c>
      <c r="F78" s="3146"/>
      <c r="G78" s="3146"/>
      <c r="H78" s="314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4" t="s">
        <v>2260</v>
      </c>
      <c r="C79" s="207">
        <f ca="1">C72-C73</f>
        <v>130044</v>
      </c>
      <c r="D79" s="200" t="s">
        <v>32</v>
      </c>
      <c r="E79" s="1798"/>
      <c r="F79" s="1792"/>
      <c r="G79" s="1792"/>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2261</v>
      </c>
      <c r="C80" s="227">
        <f ca="1">IF(C79&lt;=0,0,C79/C73)</f>
        <v>199.14854517611025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9" t="s">
        <v>2262</v>
      </c>
      <c r="C81" s="228">
        <f ca="1">ROUND(IF(C79&lt;=0,0,IF(C80&gt;=200%,C79*60%-C73*35%,IF(C80&gt;=100%,C79*50%-C73*15%,IF(C80&gt;=50%,C79*40%-C73*5%,IF(C80&lt;50%,C79*30%,0))))),0)</f>
        <v>77798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57" t="s">
        <v>2263</v>
      </c>
      <c r="B83" s="3158"/>
      <c r="C83" s="3158"/>
      <c r="D83" s="3158"/>
      <c r="E83" s="3158"/>
      <c r="F83" s="3158"/>
      <c r="G83" s="3158"/>
      <c r="H83" s="315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48" t="s">
        <v>2226</v>
      </c>
      <c r="B84" s="3149"/>
      <c r="C84" s="1799"/>
      <c r="D84" s="1799" t="s">
        <v>2227</v>
      </c>
      <c r="E84" s="213" t="s">
        <v>2228</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3" t="s">
        <v>775</v>
      </c>
      <c r="B85" s="204" t="s">
        <v>2246</v>
      </c>
      <c r="C85" s="207">
        <f ca="1">ROUND(D45/(1+'数据-取费表'!C42),0)</f>
        <v>130697</v>
      </c>
      <c r="D85" s="200" t="s">
        <v>32</v>
      </c>
      <c r="E85" s="1798"/>
      <c r="F85" s="1792"/>
      <c r="G85" s="1792"/>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3" t="s">
        <v>772</v>
      </c>
      <c r="B86" s="173" t="s">
        <v>2247</v>
      </c>
      <c r="C86" s="207">
        <f ca="1">IF(H88="仅含出让金",C87+C90+C91+C92+C93+C94,C87+C91+C92+C93+C94)</f>
        <v>653</v>
      </c>
      <c r="D86" s="235"/>
      <c r="E86" s="1798"/>
      <c r="F86" s="1792"/>
      <c r="G86" s="1792"/>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7" t="s">
        <v>770</v>
      </c>
      <c r="B87" s="198" t="s">
        <v>2264</v>
      </c>
      <c r="C87" s="225">
        <f>C88+C89</f>
        <v>0</v>
      </c>
      <c r="D87" s="226"/>
      <c r="E87" s="1794"/>
      <c r="F87" s="1795"/>
      <c r="G87" s="1795"/>
      <c r="H87" s="179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7" t="s">
        <v>776</v>
      </c>
      <c r="B88" s="198" t="s">
        <v>2265</v>
      </c>
      <c r="C88" s="236"/>
      <c r="D88" s="226"/>
      <c r="E88" s="237" t="s">
        <v>2266</v>
      </c>
      <c r="F88" s="1795"/>
      <c r="G88" s="238" t="s">
        <v>2267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7" t="s">
        <v>777</v>
      </c>
      <c r="B89" s="198" t="s">
        <v>2255</v>
      </c>
      <c r="C89" s="225">
        <f>ROUND(C88*D89,0)</f>
        <v>0</v>
      </c>
      <c r="D89" s="226">
        <f>'数据-取费表'!B48+'数据-取费表'!B49</f>
        <v>3.0499999999999999E-2</v>
      </c>
      <c r="E89" s="237" t="s">
        <v>2268</v>
      </c>
      <c r="F89" s="1795"/>
      <c r="G89" s="1795"/>
      <c r="H89" s="179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7" t="s">
        <v>771</v>
      </c>
      <c r="B90" s="198" t="s">
        <v>2269</v>
      </c>
      <c r="C90" s="236"/>
      <c r="D90" s="226"/>
      <c r="E90" s="237" t="str">
        <f>IF(H88="-","土地取得成本中已包含该笔费用"," ")</f>
        <v xml:space="preserve"> </v>
      </c>
      <c r="F90" s="1795"/>
      <c r="G90" s="1795"/>
      <c r="H90" s="1797"/>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2270</v>
      </c>
      <c r="B91" s="198" t="s">
        <v>2271</v>
      </c>
      <c r="C91" s="225">
        <f>IF(H91="——",成本法!C33,I91)</f>
        <v>0</v>
      </c>
      <c r="D91" s="226"/>
      <c r="E91" s="3145" t="s">
        <v>2272</v>
      </c>
      <c r="F91" s="3146"/>
      <c r="G91" s="3146"/>
      <c r="H91" s="2509" t="s">
        <v>2273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2274</v>
      </c>
      <c r="B92" s="198" t="s">
        <v>2275</v>
      </c>
      <c r="C92" s="225">
        <f>ROUND((C87+C90+C91)*D92,0)</f>
        <v>0</v>
      </c>
      <c r="D92" s="226">
        <v>0.1</v>
      </c>
      <c r="E92" s="3145" t="s">
        <v>2276</v>
      </c>
      <c r="F92" s="3146"/>
      <c r="G92" s="3146"/>
      <c r="H92" s="314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2277</v>
      </c>
      <c r="B93" s="198" t="s">
        <v>2258</v>
      </c>
      <c r="C93" s="225">
        <f ca="1">ROUND(D45*D93/(1+'数据-取费表'!C42),0)</f>
        <v>653</v>
      </c>
      <c r="D93" s="226">
        <f>'数据-取费表'!B43</f>
        <v>5.000000000000001E-3</v>
      </c>
      <c r="E93" s="3145" t="s">
        <v>2259</v>
      </c>
      <c r="F93" s="3146"/>
      <c r="G93" s="3146"/>
      <c r="H93" s="314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2278</v>
      </c>
      <c r="B94" s="198" t="s">
        <v>2279</v>
      </c>
      <c r="C94" s="236">
        <f>ROUND((C87+C90+C91)*D94,0)</f>
        <v>0</v>
      </c>
      <c r="D94" s="226">
        <v>0.2</v>
      </c>
      <c r="E94" s="3193" t="s">
        <v>2280</v>
      </c>
      <c r="F94" s="3194"/>
      <c r="G94" s="3194"/>
      <c r="H94" s="319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4" t="s">
        <v>2260</v>
      </c>
      <c r="C95" s="207">
        <f ca="1">ROUND(C85-C86,0)</f>
        <v>130044</v>
      </c>
      <c r="D95" s="200" t="s">
        <v>32</v>
      </c>
      <c r="E95" s="1798"/>
      <c r="F95" s="1792"/>
      <c r="G95" s="1792"/>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2261</v>
      </c>
      <c r="C96" s="227">
        <f ca="1">IF(C95&lt;=0,0,C95/C86)</f>
        <v>199.14854517611025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9" t="s">
        <v>2262</v>
      </c>
      <c r="C97" s="228">
        <f ca="1">ROUND(IF(C95&lt;=0,0,IF(C96&gt;=200%,C95*60%-C86*35%,IF(C96&gt;=100%,C95*50%-C86*15%,IF(C96&gt;=50%,C95*40%-C86*5%,IF(C96&lt;50%,C95*30%,0))))),0)</f>
        <v>77798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8"/>
      <c r="F98" s="2158"/>
      <c r="G98" s="2158"/>
      <c r="H98" s="2157"/>
      <c r="I98" s="138"/>
    </row>
    <row r="99" spans="1:35" ht="21.75" customHeight="1" thickBot="1">
      <c r="A99" s="2465" t="s">
        <v>2281</v>
      </c>
      <c r="B99" s="2409"/>
      <c r="C99" s="2409"/>
      <c r="D99" s="2409"/>
      <c r="E99" s="2158"/>
      <c r="F99" s="2158"/>
      <c r="G99" s="2158"/>
      <c r="H99" s="2157"/>
      <c r="I99" s="138"/>
    </row>
    <row r="100" spans="1:35" ht="18.75" customHeight="1">
      <c r="A100" s="3097" t="s">
        <v>2282</v>
      </c>
      <c r="B100" s="3098"/>
      <c r="C100" s="3098"/>
      <c r="D100" s="3129"/>
      <c r="E100" s="3098" t="s">
        <v>2283</v>
      </c>
      <c r="F100" s="3098"/>
      <c r="G100" s="3098"/>
      <c r="H100" s="3129"/>
      <c r="I100" s="138"/>
    </row>
    <row r="101" spans="1:35" ht="18.75" customHeight="1">
      <c r="A101" s="3137" t="s">
        <v>2284</v>
      </c>
      <c r="B101" s="3138"/>
      <c r="C101" s="735" t="str">
        <f>C4</f>
        <v>土地比较法-住宅、综合</v>
      </c>
      <c r="D101" s="736" t="str">
        <f>D4</f>
        <v>假设开发法</v>
      </c>
      <c r="E101" s="3109" t="s">
        <v>2285</v>
      </c>
      <c r="F101" s="3110"/>
      <c r="G101" s="2511" t="s">
        <v>2286</v>
      </c>
      <c r="H101" s="1043">
        <f ca="1">H118</f>
        <v>137232</v>
      </c>
      <c r="I101" s="138"/>
    </row>
    <row r="102" spans="1:35" ht="18.75" customHeight="1">
      <c r="A102" s="3139" t="s">
        <v>2287</v>
      </c>
      <c r="B102" s="2511" t="s">
        <v>2286</v>
      </c>
      <c r="C102" s="735">
        <f ca="1">C19</f>
        <v>122039</v>
      </c>
      <c r="D102" s="736">
        <f ca="1">D19</f>
        <v>152425</v>
      </c>
      <c r="E102" s="3109"/>
      <c r="F102" s="3110"/>
      <c r="G102" s="2511" t="s">
        <v>2288</v>
      </c>
      <c r="H102" s="371">
        <f ca="1">I118</f>
        <v>42949</v>
      </c>
      <c r="I102" s="138"/>
    </row>
    <row r="103" spans="1:35" ht="42.75" customHeight="1">
      <c r="A103" s="3139"/>
      <c r="B103" s="2511" t="s">
        <v>2288</v>
      </c>
      <c r="C103" s="737">
        <f ca="1">C20</f>
        <v>38194</v>
      </c>
      <c r="D103" s="738">
        <f ca="1">D20</f>
        <v>47703</v>
      </c>
      <c r="E103" s="3103" t="s">
        <v>2289</v>
      </c>
      <c r="F103" s="3104"/>
      <c r="G103" s="2512" t="s">
        <v>2290</v>
      </c>
      <c r="H103" s="1043">
        <f>IF(D36="正常操作",H104+H105+H106,H105+H106)</f>
        <v>0</v>
      </c>
      <c r="I103" s="138"/>
    </row>
    <row r="104" spans="1:35" ht="18.75" customHeight="1">
      <c r="A104" s="3139" t="s">
        <v>2291</v>
      </c>
      <c r="B104" s="2513" t="s">
        <v>2286</v>
      </c>
      <c r="C104" s="739">
        <f ca="1">H118</f>
        <v>137232</v>
      </c>
      <c r="D104" s="740"/>
      <c r="E104" s="2257" t="s">
        <v>2292</v>
      </c>
      <c r="F104" s="2248"/>
      <c r="G104" s="2512" t="s">
        <v>2290</v>
      </c>
      <c r="H104" s="1044">
        <f>IF(D36="同一抵押权人同一抵押物续贷",C36&amp;"（未扣减，详见特别提示）",C36)</f>
        <v>0</v>
      </c>
      <c r="I104" s="138"/>
    </row>
    <row r="105" spans="1:35" ht="18.75" customHeight="1" thickBot="1">
      <c r="A105" s="3151"/>
      <c r="B105" s="2514" t="s">
        <v>2288</v>
      </c>
      <c r="C105" s="741">
        <f ca="1">I118</f>
        <v>42949</v>
      </c>
      <c r="D105" s="742"/>
      <c r="E105" s="2257" t="s">
        <v>2293</v>
      </c>
      <c r="F105" s="2248"/>
      <c r="G105" s="2512" t="s">
        <v>2290</v>
      </c>
      <c r="H105" s="1044">
        <f>C37</f>
        <v>0</v>
      </c>
      <c r="I105" s="138"/>
    </row>
    <row r="106" spans="1:35" ht="18.75" customHeight="1">
      <c r="A106" s="2409" t="s">
        <v>2294</v>
      </c>
      <c r="B106" s="2409"/>
      <c r="C106" s="2409"/>
      <c r="D106" s="2409"/>
      <c r="E106" s="2515" t="s">
        <v>2295</v>
      </c>
      <c r="F106" s="2248"/>
      <c r="G106" s="2512" t="s">
        <v>2290</v>
      </c>
      <c r="H106" s="1044">
        <f>C38</f>
        <v>0</v>
      </c>
      <c r="I106" s="138"/>
    </row>
    <row r="107" spans="1:35" ht="18.75" customHeight="1">
      <c r="A107" s="138"/>
      <c r="B107" s="138"/>
      <c r="C107" s="138"/>
      <c r="D107" s="138"/>
      <c r="E107" s="3140" t="str">
        <f>IF(项目基本情况!E8="已注销","——","3.房地产抵押价值")</f>
        <v>——</v>
      </c>
      <c r="F107" s="3110"/>
      <c r="G107" s="2511" t="s">
        <v>2286</v>
      </c>
      <c r="H107" s="1043" t="str">
        <f>IF(E107="——","——",H101-H103)</f>
        <v>——</v>
      </c>
      <c r="I107" s="138"/>
    </row>
    <row r="108" spans="1:35" ht="18.75" customHeight="1">
      <c r="A108" s="138"/>
      <c r="B108" s="138"/>
      <c r="C108" s="138"/>
      <c r="D108" s="138"/>
      <c r="E108" s="3140"/>
      <c r="F108" s="3110"/>
      <c r="G108" s="2511" t="s">
        <v>2288</v>
      </c>
      <c r="H108" s="371" t="e">
        <f>ROUND(H107*10000/'数据-汇总表'!E3,0)</f>
        <v>#VALUE!</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3.抵押担保权已注销时的房地产抵押价值</v>
      </c>
      <c r="F109" s="3110"/>
      <c r="G109" s="2511" t="s">
        <v>2286</v>
      </c>
      <c r="H109" s="348">
        <f ca="1">IF(E109="——","——",H101-H105-H106)</f>
        <v>137232</v>
      </c>
      <c r="I109" s="138"/>
    </row>
    <row r="110" spans="1:35" ht="18.75" customHeight="1">
      <c r="A110" s="138"/>
      <c r="B110" s="138"/>
      <c r="C110" s="138"/>
      <c r="D110" s="138"/>
      <c r="E110" s="3140"/>
      <c r="F110" s="3110"/>
      <c r="G110" s="2511" t="s">
        <v>2288</v>
      </c>
      <c r="H110" s="371">
        <f ca="1">IF(H109="——","——",ROUND(H109*10000/'数据-汇总表'!E3,0))</f>
        <v>42949</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1" t="s">
        <v>2286</v>
      </c>
      <c r="H111" s="1043" t="str">
        <f>IF(E111="——","——",N59)</f>
        <v>——</v>
      </c>
      <c r="I111" s="138"/>
    </row>
    <row r="112" spans="1:35" ht="18.75" customHeight="1" thickBot="1">
      <c r="A112" s="138"/>
      <c r="B112" s="138"/>
      <c r="C112" s="138"/>
      <c r="D112" s="138"/>
      <c r="E112" s="3143"/>
      <c r="F112" s="3144"/>
      <c r="G112" s="2516" t="s">
        <v>2288</v>
      </c>
      <c r="H112" s="789" t="str">
        <f>IF(E111="——","——",N61)</f>
        <v>——</v>
      </c>
      <c r="I112" s="138"/>
    </row>
    <row r="113" spans="1:11" ht="18.75" customHeight="1">
      <c r="A113" s="138"/>
      <c r="B113" s="138"/>
      <c r="C113" s="138"/>
      <c r="D113" s="138"/>
      <c r="E113" s="3152" t="s">
        <v>2294</v>
      </c>
      <c r="F113" s="3152"/>
      <c r="G113" s="3152"/>
      <c r="H113" s="3152"/>
      <c r="I113" s="138"/>
    </row>
    <row r="114" spans="1:11" ht="3.75" customHeight="1">
      <c r="A114" s="2409"/>
      <c r="B114" s="2409"/>
      <c r="C114" s="2409"/>
      <c r="D114" s="2409"/>
      <c r="E114" s="2487"/>
      <c r="F114" s="2487"/>
      <c r="G114" s="2487"/>
      <c r="H114" s="2487"/>
      <c r="I114" s="2409"/>
    </row>
    <row r="115" spans="1:11" ht="18.75" customHeight="1">
      <c r="A115" s="3165" t="s">
        <v>2296</v>
      </c>
      <c r="B115" s="3166"/>
      <c r="C115" s="3166"/>
      <c r="D115" s="3166"/>
      <c r="E115" s="3166"/>
      <c r="F115" s="3166"/>
      <c r="G115" s="3166"/>
      <c r="H115" s="3166"/>
      <c r="I115" s="3167"/>
    </row>
    <row r="116" spans="1:11" ht="27" customHeight="1">
      <c r="A116" s="3076" t="s">
        <v>2297</v>
      </c>
      <c r="B116" s="3119" t="s">
        <v>2298</v>
      </c>
      <c r="C116" s="3119" t="s">
        <v>2299</v>
      </c>
      <c r="D116" s="3125" t="s">
        <v>2300</v>
      </c>
      <c r="E116" s="3126"/>
      <c r="F116" s="3161" t="s">
        <v>2301</v>
      </c>
      <c r="G116" s="3161"/>
      <c r="H116" s="3076" t="s">
        <v>2302</v>
      </c>
      <c r="I116" s="3076"/>
    </row>
    <row r="117" spans="1:11" ht="18.75" customHeight="1">
      <c r="A117" s="3076"/>
      <c r="B117" s="3120"/>
      <c r="C117" s="3120"/>
      <c r="D117" s="1793" t="s">
        <v>2303</v>
      </c>
      <c r="E117" s="1793" t="s">
        <v>2304</v>
      </c>
      <c r="F117" s="1793" t="s">
        <v>2303</v>
      </c>
      <c r="G117" s="1793" t="s">
        <v>2305</v>
      </c>
      <c r="H117" s="1793" t="s">
        <v>2303</v>
      </c>
      <c r="I117" s="1793" t="s">
        <v>2305</v>
      </c>
    </row>
    <row r="118" spans="1:11" ht="24.75" customHeight="1">
      <c r="A118" s="2517" t="str">
        <f>项目基本情况!S2</f>
        <v>北京市大兴区黄村镇四街、五街、六街村项目DX00-0208-6001地块4、6-10号楼住宅、地下仓储、地下车库用房出让国有建设用地使用权及在建建筑物房地产</v>
      </c>
      <c r="B118" s="1793">
        <f>M18</f>
        <v>31952.659999999996</v>
      </c>
      <c r="C118" s="1793">
        <f>M19</f>
        <v>7892.1</v>
      </c>
      <c r="D118" s="1793">
        <f ca="1">ROUND(IF(D32="总价",C34,E118*B118/10000),0)</f>
        <v>137232</v>
      </c>
      <c r="E118" s="1793">
        <f ca="1">ROUND(IF(C33="自定义",IF(D32="楼面单价",C34,D118*10000/B118),I118-G118),0)</f>
        <v>42949</v>
      </c>
      <c r="F118" s="1793">
        <f ca="1">ROUND(IF(D32="总价",C35,G118*B118/10000),0)</f>
        <v>0</v>
      </c>
      <c r="G118" s="1793">
        <f ca="1">ROUND(IF(D32="楼面单价",C35,F118*10000/B118),0)</f>
        <v>0</v>
      </c>
      <c r="H118" s="1793">
        <f ca="1">ROUND(IF(D32="总价",C32,I118*B118/10000),0)</f>
        <v>137232</v>
      </c>
      <c r="I118" s="1793">
        <f ca="1">ROUND(IF(D32="楼面单价",C32,H118*10000/B118),0)</f>
        <v>42949</v>
      </c>
    </row>
    <row r="119" spans="1:11" ht="18.75" customHeight="1">
      <c r="A119" s="3076" t="s">
        <v>2306</v>
      </c>
      <c r="B119" s="3076"/>
      <c r="C119" s="3076"/>
      <c r="D119" s="3121" t="str">
        <f ca="1">NUMBERSTRING(INT(D118*10000),2)&amp;"元整"</f>
        <v>壹拾叁亿柒仟贰佰叁拾贰万元整</v>
      </c>
      <c r="E119" s="3122"/>
      <c r="F119" s="3121" t="str">
        <f ca="1">NUMBERSTRING(INT(F118*10000),2)&amp;"元整"</f>
        <v>零元整</v>
      </c>
      <c r="G119" s="3122"/>
      <c r="H119" s="3121" t="str">
        <f ca="1">NUMBERSTRING(INT(H118*10000),2)&amp;"元整"</f>
        <v>壹拾叁亿柒仟贰佰叁拾贰万元整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14" t="str">
        <f>IF(D120=0,"故，本次评估不存在"&amp;A120,"故，本次评估"&amp;A120&amp;"为人民币"&amp;D120&amp;"万元整。")</f>
        <v>故，本次评估不存在估价师知悉的法定优先受偿款</v>
      </c>
    </row>
    <row r="121" spans="1:11" ht="18.75" customHeight="1">
      <c r="A121" s="3162" t="s">
        <v>2306</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
      </c>
      <c r="B122" s="3127"/>
      <c r="C122" s="3127"/>
      <c r="D122" s="3116" t="str">
        <f>H107</f>
        <v>——</v>
      </c>
      <c r="E122" s="3117"/>
      <c r="F122" s="3117"/>
      <c r="G122" s="3117"/>
      <c r="H122" s="3117"/>
      <c r="I122" s="3118"/>
    </row>
    <row r="123" spans="1:11" ht="18.75" customHeight="1">
      <c r="A123" s="3076" t="s">
        <v>2306</v>
      </c>
      <c r="B123" s="3076"/>
      <c r="C123" s="3076"/>
      <c r="D123" s="3121" t="e">
        <f>NUMBERSTRING(INT(D122*10000),2)&amp;"元整"</f>
        <v>#VALUE!</v>
      </c>
      <c r="E123" s="3123"/>
      <c r="F123" s="3123"/>
      <c r="G123" s="3123"/>
      <c r="H123" s="3123"/>
      <c r="I123" s="3122"/>
    </row>
    <row r="124" spans="1:11" ht="18.75" customHeight="1">
      <c r="A124" s="3127" t="str">
        <f>IF(项目基本情况!B9="房地产市场价值","",MID(E109,3,LEN(E109)-2))</f>
        <v>抵押担保权已注销时的房地产抵押价值</v>
      </c>
      <c r="B124" s="3127"/>
      <c r="C124" s="3127"/>
      <c r="D124" s="3116">
        <f ca="1">H109</f>
        <v>137232</v>
      </c>
      <c r="E124" s="3117"/>
      <c r="F124" s="3117"/>
      <c r="G124" s="3117"/>
      <c r="H124" s="3117"/>
      <c r="I124" s="3118"/>
    </row>
    <row r="125" spans="1:11" ht="18.75" customHeight="1">
      <c r="A125" s="3076" t="s">
        <v>2306</v>
      </c>
      <c r="B125" s="3076"/>
      <c r="C125" s="3076"/>
      <c r="D125" s="3121" t="str">
        <f ca="1">NUMBERSTRING(INT(D124*10000),2)&amp;"元整"</f>
        <v>壹拾叁亿柒仟贰佰叁拾贰万元整</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6" t="s">
        <v>2306</v>
      </c>
      <c r="B127" s="3076"/>
      <c r="C127" s="3076"/>
      <c r="D127" s="3121" t="e">
        <f>NUMBERSTRING(INT(D126*10000),2)&amp;"元整"</f>
        <v>#VALUE!</v>
      </c>
      <c r="E127" s="3123"/>
      <c r="F127" s="3123"/>
      <c r="G127" s="3123"/>
      <c r="H127" s="3123"/>
      <c r="I127" s="3122"/>
    </row>
    <row r="128" spans="1:11" ht="21.75" customHeight="1">
      <c r="A128" s="3124" t="s">
        <v>2307</v>
      </c>
      <c r="B128" s="3124"/>
      <c r="C128" s="3124"/>
      <c r="D128" s="3124"/>
      <c r="E128" s="3124"/>
      <c r="F128" s="3124"/>
      <c r="G128" s="3124"/>
      <c r="H128" s="3124"/>
      <c r="I128" s="3124"/>
    </row>
    <row r="129" spans="1:35" ht="21.75" customHeight="1">
      <c r="A129" s="2518" t="s">
        <v>2308</v>
      </c>
      <c r="B129" s="2519"/>
      <c r="C129" s="2520" t="s">
        <v>2309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2310</v>
      </c>
      <c r="G135" s="2535"/>
      <c r="H135" s="2535"/>
      <c r="I135" s="2536" t="s">
        <v>2311</v>
      </c>
    </row>
    <row r="136" spans="1:35" ht="21.75" customHeight="1">
      <c r="A136" s="794"/>
      <c r="B136" s="2537"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2313</v>
      </c>
    </row>
    <row r="139" spans="1:35" ht="21.75" customHeight="1">
      <c r="A139" s="794"/>
      <c r="B139" s="2537" t="s">
        <v>2314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2313</v>
      </c>
    </row>
    <row r="142" spans="1:35" ht="21.75" customHeight="1">
      <c r="A142" s="794"/>
      <c r="B142" s="2537"/>
      <c r="C142" s="2538"/>
      <c r="D142" s="2539"/>
      <c r="E142" s="2539"/>
      <c r="F142" s="2331"/>
      <c r="G142" s="794"/>
      <c r="H142" s="794"/>
      <c r="I142" s="794"/>
    </row>
    <row r="143" spans="1:35" s="139"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 sqref="B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0">
        <f>F66</f>
        <v>122039</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38194</v>
      </c>
      <c r="C3" s="247" t="s">
        <v>2732</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2631</v>
      </c>
      <c r="B4" s="402"/>
      <c r="C4" s="3215" t="s">
        <v>2632</v>
      </c>
      <c r="D4" s="3216"/>
      <c r="E4" s="3217" t="s">
        <v>2633</v>
      </c>
      <c r="F4" s="3218"/>
      <c r="G4" s="3215" t="s">
        <v>2634</v>
      </c>
      <c r="H4" s="3216"/>
      <c r="I4" s="3215" t="s">
        <v>2635</v>
      </c>
      <c r="J4" s="3216"/>
      <c r="K4" s="610" t="s">
        <v>2636</v>
      </c>
      <c r="L4" s="1128"/>
      <c r="M4" s="1129"/>
      <c r="N4" s="1129"/>
      <c r="O4" s="1129"/>
      <c r="P4" s="3219" t="s">
        <v>2637</v>
      </c>
      <c r="Q4" s="3220"/>
      <c r="R4" s="3201" t="s">
        <v>2633</v>
      </c>
      <c r="S4" s="3202"/>
      <c r="T4" s="3201" t="s">
        <v>2634</v>
      </c>
      <c r="U4" s="3202"/>
      <c r="V4" s="3227" t="s">
        <v>2635</v>
      </c>
      <c r="W4" s="3227"/>
      <c r="X4" s="1811"/>
      <c r="Y4" s="3201" t="s">
        <v>2637</v>
      </c>
      <c r="Z4" s="3202"/>
      <c r="AA4" s="3196" t="s">
        <v>2633</v>
      </c>
      <c r="AB4" s="3197" t="s">
        <v>2634</v>
      </c>
      <c r="AC4" s="3196" t="s">
        <v>2635</v>
      </c>
    </row>
    <row r="5" spans="1:30" ht="59.25" customHeight="1">
      <c r="A5" s="404"/>
      <c r="B5" s="405"/>
      <c r="C5" s="3207" t="s">
        <v>3150</v>
      </c>
      <c r="D5" s="3208"/>
      <c r="E5" s="3205" t="str">
        <f>土地案例!A2</f>
        <v>北京经济技术开发区路东区G2街区G2R1等地块R2二类居住用地、F1住宅混合公建用地、A33基础教育用地*&amp;quot;</v>
      </c>
      <c r="F5" s="3206"/>
      <c r="G5" s="3211" t="str">
        <f>土地案例!A3</f>
        <v>大兴区黄村镇DX00-0102-0702地块F1住宅混合公建用地</v>
      </c>
      <c r="H5" s="3208"/>
      <c r="I5" s="3211" t="str">
        <f>土地案例!A4</f>
        <v>大兴区旧宫镇DX07-0201-0006、0007地块</v>
      </c>
      <c r="J5" s="3208"/>
      <c r="K5" s="610"/>
      <c r="L5" s="1128"/>
      <c r="M5" s="1129"/>
      <c r="N5" s="1129"/>
      <c r="O5" s="1129"/>
      <c r="P5" s="3221"/>
      <c r="Q5" s="3222"/>
      <c r="R5" s="3203"/>
      <c r="S5" s="3204"/>
      <c r="T5" s="3203"/>
      <c r="U5" s="3204"/>
      <c r="V5" s="3227"/>
      <c r="W5" s="3227"/>
      <c r="X5" s="1811"/>
      <c r="Y5" s="3203"/>
      <c r="Z5" s="3204"/>
      <c r="AA5" s="3197"/>
      <c r="AB5" s="3197"/>
      <c r="AC5" s="3197"/>
    </row>
    <row r="6" spans="1:30" ht="15.75" thickBot="1">
      <c r="A6" s="406"/>
      <c r="B6" s="407"/>
      <c r="C6" s="3209" t="s">
        <v>2532</v>
      </c>
      <c r="D6" s="3210"/>
      <c r="E6" s="3212" t="s">
        <v>2532</v>
      </c>
      <c r="F6" s="3213"/>
      <c r="G6" s="3209" t="s">
        <v>2532</v>
      </c>
      <c r="H6" s="3210"/>
      <c r="I6" s="3209" t="s">
        <v>2532</v>
      </c>
      <c r="J6" s="3210"/>
      <c r="K6" s="610" t="s">
        <v>2533</v>
      </c>
      <c r="L6" s="1128"/>
      <c r="M6" s="1129"/>
      <c r="N6" s="1129"/>
      <c r="O6" s="1129"/>
      <c r="P6" s="3223"/>
      <c r="Q6" s="3224"/>
      <c r="R6" s="3203"/>
      <c r="S6" s="3204"/>
      <c r="T6" s="3225"/>
      <c r="U6" s="3226"/>
      <c r="V6" s="3227"/>
      <c r="W6" s="3227"/>
      <c r="X6" s="1811"/>
      <c r="Y6" s="3225"/>
      <c r="Z6" s="3226"/>
      <c r="AA6" s="3198"/>
      <c r="AB6" s="3198"/>
      <c r="AC6" s="3198"/>
    </row>
    <row r="7" spans="1:30" s="117" customFormat="1" ht="15.75" thickBot="1">
      <c r="A7" s="408" t="s">
        <v>2534</v>
      </c>
      <c r="B7" s="409"/>
      <c r="C7" s="410">
        <f>'数据-取费表'!B2</f>
        <v>43165</v>
      </c>
      <c r="D7" s="411">
        <v>100</v>
      </c>
      <c r="E7" s="412" t="str">
        <f>土地案例!X2</f>
        <v>2017-08-08</v>
      </c>
      <c r="F7" s="413">
        <f>SUMIF(70:70,YEAR(E7)&amp;"-"&amp;INT((MONTH(E7)+2)/3),71:71)</f>
        <v>98</v>
      </c>
      <c r="G7" s="2686" t="str">
        <f>土地案例!X3</f>
        <v>2017-07-27</v>
      </c>
      <c r="H7" s="411">
        <f>SUMIF(70:70,YEAR(G7)&amp;"-"&amp;INT((MONTH(G7)+2)/3),71:71)</f>
        <v>98</v>
      </c>
      <c r="I7" s="2686" t="str">
        <f>土地案例!X4</f>
        <v>2017-04-13</v>
      </c>
      <c r="J7" s="411">
        <f>SUMIF(70:70,YEAR(I7)&amp;"-"&amp;INT((MONTH(I7)+2)/3),71:71)</f>
        <v>97</v>
      </c>
      <c r="K7" s="611"/>
      <c r="L7" s="1130"/>
      <c r="M7" s="1131"/>
      <c r="N7" s="1131"/>
      <c r="O7" s="1131"/>
      <c r="P7" s="3199" t="s">
        <v>2535</v>
      </c>
      <c r="Q7" s="3228"/>
      <c r="R7" s="769" t="s">
        <v>17</v>
      </c>
      <c r="S7" s="770">
        <f t="shared" ref="S7:S15" si="0">F7</f>
        <v>98</v>
      </c>
      <c r="T7" s="769" t="s">
        <v>17</v>
      </c>
      <c r="U7" s="770">
        <f t="shared" ref="U7:U15" si="1">H7</f>
        <v>98</v>
      </c>
      <c r="V7" s="769" t="s">
        <v>17</v>
      </c>
      <c r="W7" s="770">
        <f t="shared" ref="W7:W15" si="2">J7</f>
        <v>97</v>
      </c>
      <c r="X7" s="771"/>
      <c r="Y7" s="3199" t="s">
        <v>2535</v>
      </c>
      <c r="Z7" s="3200"/>
      <c r="AA7" s="772">
        <f>D7/F7</f>
        <v>1.0204081632653061</v>
      </c>
      <c r="AB7" s="772">
        <f>D7/H7</f>
        <v>1.0204081632653061</v>
      </c>
      <c r="AC7" s="772">
        <f>D7/J7</f>
        <v>1.0309278350515463</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0"/>
      <c r="M8" s="1131"/>
      <c r="N8" s="1131"/>
      <c r="O8" s="1131"/>
      <c r="P8" s="3199" t="s">
        <v>2538</v>
      </c>
      <c r="Q8" s="3200"/>
      <c r="R8" s="769" t="s">
        <v>17</v>
      </c>
      <c r="S8" s="770">
        <f t="shared" si="0"/>
        <v>100</v>
      </c>
      <c r="T8" s="769" t="s">
        <v>17</v>
      </c>
      <c r="U8" s="770">
        <f t="shared" si="1"/>
        <v>100</v>
      </c>
      <c r="V8" s="769" t="s">
        <v>17</v>
      </c>
      <c r="W8" s="770">
        <f t="shared" si="2"/>
        <v>100</v>
      </c>
      <c r="X8" s="771"/>
      <c r="Y8" s="3199" t="s">
        <v>2538</v>
      </c>
      <c r="Z8" s="3200"/>
      <c r="AA8" s="772">
        <f t="shared" ref="AA8:AA45" si="3">D8/F8</f>
        <v>1</v>
      </c>
      <c r="AB8" s="772">
        <f t="shared" ref="AB8:AB45" si="4">D8/H8</f>
        <v>1</v>
      </c>
      <c r="AC8" s="772">
        <f t="shared" ref="AC8:AC45" si="5">D8/J8</f>
        <v>1</v>
      </c>
    </row>
    <row r="9" spans="1:30" s="117" customFormat="1" ht="28.5">
      <c r="A9" s="415" t="s">
        <v>2539</v>
      </c>
      <c r="B9" s="71" t="s">
        <v>2540</v>
      </c>
      <c r="C9" s="2689" t="s">
        <v>3153</v>
      </c>
      <c r="D9" s="135">
        <v>100</v>
      </c>
      <c r="E9" s="2689" t="s">
        <v>3134</v>
      </c>
      <c r="F9" s="135">
        <f>SUMIF(75:75,E9,76:76)-SUMIF(75:75,C9,76:76)+100</f>
        <v>95</v>
      </c>
      <c r="G9" s="2689" t="s">
        <v>3134</v>
      </c>
      <c r="H9" s="135">
        <f>SUMIF(75:75,G9,76:76)-SUMIF(75:75,C9,76:76)+100</f>
        <v>95</v>
      </c>
      <c r="I9" s="2689" t="s">
        <v>3153</v>
      </c>
      <c r="J9" s="135">
        <f>SUMIF(75:75,I9,76:76)-SUMIF(75:75,C9,76:76)+100</f>
        <v>100</v>
      </c>
      <c r="K9" s="611"/>
      <c r="L9" s="1130"/>
      <c r="M9" s="1131"/>
      <c r="N9" s="1131"/>
      <c r="O9" s="1132"/>
      <c r="P9" s="3214" t="s">
        <v>2541</v>
      </c>
      <c r="Q9" s="1793" t="str">
        <f t="shared" ref="Q9:Q15" si="6">B9</f>
        <v>用途</v>
      </c>
      <c r="R9" s="769" t="s">
        <v>17</v>
      </c>
      <c r="S9" s="770">
        <f t="shared" si="0"/>
        <v>95</v>
      </c>
      <c r="T9" s="769" t="s">
        <v>17</v>
      </c>
      <c r="U9" s="770">
        <f t="shared" si="1"/>
        <v>95</v>
      </c>
      <c r="V9" s="769" t="s">
        <v>17</v>
      </c>
      <c r="W9" s="770">
        <f t="shared" si="2"/>
        <v>100</v>
      </c>
      <c r="X9" s="771"/>
      <c r="Y9" s="3076" t="s">
        <v>2542</v>
      </c>
      <c r="Z9" s="55" t="str">
        <f t="shared" ref="Z9:Z15" si="7">Q9</f>
        <v>用途</v>
      </c>
      <c r="AA9" s="772">
        <f t="shared" si="3"/>
        <v>1.0526315789473684</v>
      </c>
      <c r="AB9" s="772">
        <f t="shared" si="4"/>
        <v>1.0526315789473684</v>
      </c>
      <c r="AC9" s="772">
        <f t="shared" si="5"/>
        <v>1</v>
      </c>
    </row>
    <row r="10" spans="1:30" s="427" customFormat="1" ht="27">
      <c r="A10" s="421"/>
      <c r="B10" s="422" t="s">
        <v>2543</v>
      </c>
      <c r="C10" s="432" t="s">
        <v>3154</v>
      </c>
      <c r="D10" s="136">
        <v>100</v>
      </c>
      <c r="E10" s="465" t="s">
        <v>3155</v>
      </c>
      <c r="F10" s="136">
        <f>ROUND(100/'数据-取费表'!G16,0)</f>
        <v>101</v>
      </c>
      <c r="G10" s="465" t="s">
        <v>3155</v>
      </c>
      <c r="H10" s="136">
        <f>ROUND(100/'数据-取费表'!G16,0)</f>
        <v>101</v>
      </c>
      <c r="I10" s="465" t="s">
        <v>3155</v>
      </c>
      <c r="J10" s="136">
        <f>ROUND(100/'数据-取费表'!G16,0)</f>
        <v>101</v>
      </c>
      <c r="K10" s="671"/>
      <c r="L10" s="1133"/>
      <c r="M10" s="1134"/>
      <c r="N10" s="1134"/>
      <c r="O10" s="1135"/>
      <c r="P10" s="3214"/>
      <c r="Q10" s="1793" t="str">
        <f t="shared" si="6"/>
        <v>土地使用年限（年）</v>
      </c>
      <c r="R10" s="769" t="s">
        <v>17</v>
      </c>
      <c r="S10" s="770">
        <f t="shared" si="0"/>
        <v>101</v>
      </c>
      <c r="T10" s="769" t="s">
        <v>17</v>
      </c>
      <c r="U10" s="770">
        <f t="shared" si="1"/>
        <v>101</v>
      </c>
      <c r="V10" s="769" t="s">
        <v>17</v>
      </c>
      <c r="W10" s="770">
        <f t="shared" si="2"/>
        <v>101</v>
      </c>
      <c r="X10" s="771"/>
      <c r="Y10" s="3076"/>
      <c r="Z10" s="55" t="str">
        <f t="shared" si="7"/>
        <v>土地使用年限（年）</v>
      </c>
      <c r="AA10" s="772">
        <f t="shared" si="3"/>
        <v>0.99009900990099009</v>
      </c>
      <c r="AB10" s="772">
        <f t="shared" si="4"/>
        <v>0.99009900990099009</v>
      </c>
      <c r="AC10" s="772">
        <f t="shared" si="5"/>
        <v>0.99009900990099009</v>
      </c>
    </row>
    <row r="11" spans="1:30" ht="15">
      <c r="A11" s="428"/>
      <c r="B11" s="422" t="s">
        <v>2544</v>
      </c>
      <c r="C11" s="429">
        <f>'数据-汇总表'!I7</f>
        <v>2.8</v>
      </c>
      <c r="D11" s="136">
        <v>100</v>
      </c>
      <c r="E11" s="429">
        <f>土地案例!L2</f>
        <v>2.5</v>
      </c>
      <c r="F11" s="136">
        <f>LOOKUP(E11,80:80,81:81)-LOOKUP(C11,80:80,81:81)+100</f>
        <v>100</v>
      </c>
      <c r="G11" s="430">
        <f>土地案例!L3</f>
        <v>2.5</v>
      </c>
      <c r="H11" s="136">
        <f>LOOKUP(G11,80:80,81:81)-LOOKUP(C11,80:80,81:81)+100</f>
        <v>100</v>
      </c>
      <c r="I11" s="429">
        <f>土地案例!L4</f>
        <v>2.2000000000000002</v>
      </c>
      <c r="J11" s="136">
        <f>LOOKUP(I11,80:80,81:81)-LOOKUP(C11,80:80,81:81)+100</f>
        <v>100</v>
      </c>
      <c r="K11" s="672">
        <v>2</v>
      </c>
      <c r="L11" s="1136"/>
      <c r="M11" s="1129"/>
      <c r="N11" s="1129"/>
      <c r="O11" s="1137"/>
      <c r="P11" s="3214"/>
      <c r="Q11" s="1793" t="str">
        <f t="shared" si="6"/>
        <v>容积率</v>
      </c>
      <c r="R11" s="769" t="s">
        <v>17</v>
      </c>
      <c r="S11" s="770">
        <f t="shared" si="0"/>
        <v>100</v>
      </c>
      <c r="T11" s="769" t="s">
        <v>17</v>
      </c>
      <c r="U11" s="770">
        <f t="shared" si="1"/>
        <v>100</v>
      </c>
      <c r="V11" s="769" t="s">
        <v>17</v>
      </c>
      <c r="W11" s="770">
        <f t="shared" si="2"/>
        <v>100</v>
      </c>
      <c r="X11" s="771"/>
      <c r="Y11" s="3076"/>
      <c r="Z11" s="55" t="str">
        <f t="shared" si="7"/>
        <v>容积率</v>
      </c>
      <c r="AA11" s="772">
        <f t="shared" si="3"/>
        <v>1</v>
      </c>
      <c r="AB11" s="772">
        <f t="shared" si="4"/>
        <v>1</v>
      </c>
      <c r="AC11" s="772">
        <f t="shared" si="5"/>
        <v>1</v>
      </c>
    </row>
    <row r="12" spans="1:30" s="117" customFormat="1" ht="15.75" thickBot="1">
      <c r="A12" s="431"/>
      <c r="B12" s="2592" t="s">
        <v>2733</v>
      </c>
      <c r="C12" s="2950" t="s">
        <v>3260</v>
      </c>
      <c r="D12" s="433">
        <v>100</v>
      </c>
      <c r="E12" s="2951" t="s">
        <v>3156</v>
      </c>
      <c r="F12" s="136">
        <f>SUMIF(82:82,E12,83:83)-SUMIF(82:82,C12,83:83)+100</f>
        <v>112</v>
      </c>
      <c r="G12" s="2951" t="s">
        <v>3156</v>
      </c>
      <c r="H12" s="136">
        <f>SUMIF(82:82,G12,83:83)-SUMIF(82:82,C12,83:83)+100</f>
        <v>112</v>
      </c>
      <c r="I12" s="2951" t="s">
        <v>3156</v>
      </c>
      <c r="J12" s="136">
        <f>SUMIF(82:82,I12,83:83)-SUMIF(82:82,C12,83:83)+100</f>
        <v>112</v>
      </c>
      <c r="K12" s="671"/>
      <c r="L12" s="1130"/>
      <c r="M12" s="1131"/>
      <c r="N12" s="1131"/>
      <c r="O12" s="1132"/>
      <c r="P12" s="3214"/>
      <c r="Q12" s="1793" t="str">
        <f t="shared" si="6"/>
        <v>配建</v>
      </c>
      <c r="R12" s="769" t="s">
        <v>17</v>
      </c>
      <c r="S12" s="770">
        <f t="shared" si="0"/>
        <v>112</v>
      </c>
      <c r="T12" s="769" t="s">
        <v>17</v>
      </c>
      <c r="U12" s="770">
        <f t="shared" si="1"/>
        <v>112</v>
      </c>
      <c r="V12" s="769" t="s">
        <v>17</v>
      </c>
      <c r="W12" s="770">
        <f t="shared" si="2"/>
        <v>112</v>
      </c>
      <c r="X12" s="771"/>
      <c r="Y12" s="3076"/>
      <c r="Z12" s="55" t="str">
        <f t="shared" si="7"/>
        <v>配建</v>
      </c>
      <c r="AA12" s="772">
        <f>D12/F12</f>
        <v>0.8928571428571429</v>
      </c>
      <c r="AB12" s="772">
        <f>D12/H12</f>
        <v>0.8928571428571429</v>
      </c>
      <c r="AC12" s="772">
        <f>D12/J12</f>
        <v>0.8928571428571429</v>
      </c>
    </row>
    <row r="13" spans="1:30" ht="15" hidden="1">
      <c r="A13" s="428"/>
      <c r="B13" s="2592"/>
      <c r="C13" s="434"/>
      <c r="D13" s="435">
        <v>100</v>
      </c>
      <c r="E13" s="549"/>
      <c r="F13" s="136">
        <f>SUMIF(84:84,E13,85:85)-SUMIF(84:84,C13,85:85)+100</f>
        <v>100</v>
      </c>
      <c r="G13" s="673"/>
      <c r="H13" s="435">
        <f>SUMIF(84:84,G13,85:85)-SUMIF(84:84,C13,85:85)+100</f>
        <v>100</v>
      </c>
      <c r="I13" s="673"/>
      <c r="J13" s="435">
        <f>SUMIF(84:84,I13,85:85)-SUMIF(84:84,C13,85:85)+100</f>
        <v>100</v>
      </c>
      <c r="K13" s="671"/>
      <c r="L13" s="1138"/>
      <c r="M13" s="1129"/>
      <c r="N13" s="1129"/>
      <c r="O13" s="1137"/>
      <c r="P13" s="3214"/>
      <c r="Q13" s="1793">
        <f t="shared" si="6"/>
        <v>0</v>
      </c>
      <c r="R13" s="769" t="s">
        <v>17</v>
      </c>
      <c r="S13" s="770">
        <f t="shared" si="0"/>
        <v>100</v>
      </c>
      <c r="T13" s="769" t="s">
        <v>17</v>
      </c>
      <c r="U13" s="770">
        <f t="shared" si="1"/>
        <v>100</v>
      </c>
      <c r="V13" s="769" t="s">
        <v>17</v>
      </c>
      <c r="W13" s="770">
        <f t="shared" si="2"/>
        <v>100</v>
      </c>
      <c r="X13" s="771"/>
      <c r="Y13" s="3076"/>
      <c r="Z13" s="55">
        <f t="shared" si="7"/>
        <v>0</v>
      </c>
      <c r="AA13" s="772">
        <f>D13/F13</f>
        <v>1</v>
      </c>
      <c r="AB13" s="772">
        <f>D13/H13</f>
        <v>1</v>
      </c>
      <c r="AC13" s="772">
        <f>D13/J13</f>
        <v>1</v>
      </c>
    </row>
    <row r="14" spans="1:30" ht="15.75" hidden="1" thickBot="1">
      <c r="A14" s="436"/>
      <c r="B14" s="2594"/>
      <c r="C14" s="437"/>
      <c r="D14" s="438">
        <v>100</v>
      </c>
      <c r="E14" s="549"/>
      <c r="F14" s="438">
        <f>SUMIF(86:86,E14,87:87)-SUMIF(86:86,C14,87:87)+100</f>
        <v>100</v>
      </c>
      <c r="G14" s="673"/>
      <c r="H14" s="438">
        <f>SUMIF(86:86,G14,87:87)-SUMIF(86:86,C14,87:87)+100</f>
        <v>100</v>
      </c>
      <c r="I14" s="673"/>
      <c r="J14" s="438">
        <f>SUMIF(86:86,I14,87:87)-SUMIF(86:86,C14,87:87)+100</f>
        <v>100</v>
      </c>
      <c r="K14" s="671"/>
      <c r="L14" s="1138"/>
      <c r="M14" s="1129"/>
      <c r="N14" s="1129"/>
      <c r="O14" s="1137"/>
      <c r="P14" s="3214"/>
      <c r="Q14" s="1793">
        <f t="shared" si="6"/>
        <v>0</v>
      </c>
      <c r="R14" s="769" t="s">
        <v>17</v>
      </c>
      <c r="S14" s="770">
        <f t="shared" si="0"/>
        <v>100</v>
      </c>
      <c r="T14" s="769" t="s">
        <v>17</v>
      </c>
      <c r="U14" s="770">
        <f t="shared" si="1"/>
        <v>100</v>
      </c>
      <c r="V14" s="769" t="s">
        <v>17</v>
      </c>
      <c r="W14" s="770">
        <f t="shared" si="2"/>
        <v>100</v>
      </c>
      <c r="X14" s="771"/>
      <c r="Y14" s="3076"/>
      <c r="Z14" s="55">
        <f t="shared" si="7"/>
        <v>0</v>
      </c>
      <c r="AA14" s="772">
        <f>D14/F14</f>
        <v>1</v>
      </c>
      <c r="AB14" s="772">
        <f>D14/H14</f>
        <v>1</v>
      </c>
      <c r="AC14" s="772">
        <f>D14/J14</f>
        <v>1</v>
      </c>
    </row>
    <row r="15" spans="1:30" ht="71.25">
      <c r="A15" s="440" t="s">
        <v>2545</v>
      </c>
      <c r="B15" s="69" t="s">
        <v>2082</v>
      </c>
      <c r="C15" s="2595" t="str">
        <f>估价对象房地状况!C15</f>
        <v>估价对象周边有新安里、双河北里等住宅小区，综合评价居住社区成熟度较好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2">
        <v>2</v>
      </c>
      <c r="L15" s="1138"/>
      <c r="M15" s="1129"/>
      <c r="N15" s="1129"/>
      <c r="O15" s="1137"/>
      <c r="P15" s="3229" t="s">
        <v>2546</v>
      </c>
      <c r="Q15" s="1808" t="str">
        <f t="shared" si="6"/>
        <v>居住社区成熟度</v>
      </c>
      <c r="R15" s="773" t="s">
        <v>17</v>
      </c>
      <c r="S15" s="774">
        <f t="shared" si="0"/>
        <v>100</v>
      </c>
      <c r="T15" s="773" t="s">
        <v>17</v>
      </c>
      <c r="U15" s="774">
        <f t="shared" si="1"/>
        <v>100</v>
      </c>
      <c r="V15" s="773" t="s">
        <v>17</v>
      </c>
      <c r="W15" s="774">
        <f t="shared" si="2"/>
        <v>100</v>
      </c>
      <c r="X15" s="1811"/>
      <c r="Y15" s="3229" t="s">
        <v>2546</v>
      </c>
      <c r="Z15" s="1812" t="str">
        <f t="shared" si="7"/>
        <v>居住社区成熟度</v>
      </c>
      <c r="AA15" s="1809">
        <f t="shared" si="3"/>
        <v>1</v>
      </c>
      <c r="AB15" s="1809">
        <f t="shared" si="4"/>
        <v>1</v>
      </c>
      <c r="AC15" s="1809">
        <f t="shared" si="5"/>
        <v>1</v>
      </c>
    </row>
    <row r="16" spans="1:30" ht="15">
      <c r="A16" s="428"/>
      <c r="B16" s="446"/>
      <c r="C16" s="447" t="s">
        <v>3072</v>
      </c>
      <c r="D16" s="448"/>
      <c r="E16" s="447" t="s">
        <v>3072</v>
      </c>
      <c r="F16" s="448"/>
      <c r="G16" s="447" t="s">
        <v>3072</v>
      </c>
      <c r="H16" s="450"/>
      <c r="I16" s="447" t="s">
        <v>3072</v>
      </c>
      <c r="J16" s="448"/>
      <c r="K16" s="671"/>
      <c r="L16" s="1138"/>
      <c r="M16" s="1129"/>
      <c r="N16" s="1129"/>
      <c r="O16" s="1137"/>
      <c r="P16" s="3230"/>
      <c r="Q16" s="1808"/>
      <c r="R16" s="773"/>
      <c r="S16" s="774"/>
      <c r="T16" s="773"/>
      <c r="U16" s="774"/>
      <c r="V16" s="773"/>
      <c r="W16" s="774"/>
      <c r="X16" s="1811"/>
      <c r="Y16" s="3230"/>
      <c r="Z16" s="1812"/>
      <c r="AA16" s="1809">
        <v>1</v>
      </c>
      <c r="AB16" s="1809">
        <v>1</v>
      </c>
      <c r="AC16" s="1809">
        <v>1</v>
      </c>
    </row>
    <row r="17" spans="1:29" ht="106.5" hidden="1" customHeight="1">
      <c r="A17" s="428"/>
      <c r="B17" s="451" t="s">
        <v>2639</v>
      </c>
      <c r="C17" s="2654" t="str">
        <f>估价对象房地状况!C16</f>
        <v>估价对象周边2公里有帝园商城、星城商厦等商业项目，估价对象周边多为住宅配套商业，人流量一般，商业繁华度一般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38"/>
      <c r="M17" s="1129"/>
      <c r="N17" s="1129"/>
      <c r="O17" s="1137"/>
      <c r="P17" s="3230"/>
      <c r="Q17" s="1808" t="str">
        <f>B17</f>
        <v>商业繁华度</v>
      </c>
      <c r="R17" s="773" t="s">
        <v>17</v>
      </c>
      <c r="S17" s="774">
        <f>F17</f>
        <v>100</v>
      </c>
      <c r="T17" s="773" t="s">
        <v>17</v>
      </c>
      <c r="U17" s="774">
        <f>H17</f>
        <v>100</v>
      </c>
      <c r="V17" s="773" t="s">
        <v>17</v>
      </c>
      <c r="W17" s="774">
        <f>J17</f>
        <v>100</v>
      </c>
      <c r="X17" s="1811"/>
      <c r="Y17" s="3230"/>
      <c r="Z17" s="1812" t="str">
        <f>Q17</f>
        <v>商业繁华度</v>
      </c>
      <c r="AA17" s="1809">
        <f t="shared" si="3"/>
        <v>1</v>
      </c>
      <c r="AB17" s="1809">
        <f t="shared" si="4"/>
        <v>1</v>
      </c>
      <c r="AC17" s="1809">
        <f t="shared" si="5"/>
        <v>1</v>
      </c>
    </row>
    <row r="18" spans="1:29" ht="15" hidden="1">
      <c r="A18" s="428"/>
      <c r="B18" s="456"/>
      <c r="C18" s="2600"/>
      <c r="D18" s="450"/>
      <c r="E18" s="2602"/>
      <c r="F18" s="450"/>
      <c r="G18" s="2602"/>
      <c r="H18" s="448"/>
      <c r="I18" s="2601"/>
      <c r="J18" s="448"/>
      <c r="K18" s="671"/>
      <c r="L18" s="1138"/>
      <c r="M18" s="1129"/>
      <c r="N18" s="1129"/>
      <c r="O18" s="1137"/>
      <c r="P18" s="3230"/>
      <c r="Q18" s="1808"/>
      <c r="R18" s="773"/>
      <c r="S18" s="774"/>
      <c r="T18" s="773"/>
      <c r="U18" s="774"/>
      <c r="V18" s="773"/>
      <c r="W18" s="774"/>
      <c r="X18" s="1811"/>
      <c r="Y18" s="3230"/>
      <c r="Z18" s="1812"/>
      <c r="AA18" s="1809">
        <v>1</v>
      </c>
      <c r="AB18" s="1809">
        <v>1</v>
      </c>
      <c r="AC18" s="1809">
        <v>1</v>
      </c>
    </row>
    <row r="19" spans="1:29" ht="57" hidden="1">
      <c r="A19" s="428"/>
      <c r="B19" s="451" t="s">
        <v>2673</v>
      </c>
      <c r="C19" s="2654" t="str">
        <f>估价对象房地状况!C17</f>
        <v>估价对象周边办公楼项目较少，办公集聚程度较差</v>
      </c>
      <c r="D19" s="455">
        <v>100</v>
      </c>
      <c r="E19" s="457"/>
      <c r="F19" s="455">
        <f>SUMIF(92:92,E20,93:93)-SUMIF(92:92,C20,93:93)+100</f>
        <v>100</v>
      </c>
      <c r="G19" s="457"/>
      <c r="H19" s="450">
        <f>SUMIF(92:92,G20,93:93)-SUMIF(92:92,C20,93:93)+100</f>
        <v>100</v>
      </c>
      <c r="I19" s="459"/>
      <c r="J19" s="450">
        <f>SUMIF(92:92,I20,93:93)-SUMIF(92:92,C20,93:93)+100</f>
        <v>100</v>
      </c>
      <c r="K19" s="672"/>
      <c r="L19" s="1138"/>
      <c r="M19" s="1129"/>
      <c r="N19" s="1129"/>
      <c r="O19" s="1137"/>
      <c r="P19" s="3230"/>
      <c r="Q19" s="1808" t="str">
        <f>B19</f>
        <v>办公集聚程度</v>
      </c>
      <c r="R19" s="773" t="s">
        <v>17</v>
      </c>
      <c r="S19" s="774">
        <f>F19</f>
        <v>100</v>
      </c>
      <c r="T19" s="773" t="s">
        <v>17</v>
      </c>
      <c r="U19" s="774">
        <f>H19</f>
        <v>100</v>
      </c>
      <c r="V19" s="773" t="s">
        <v>17</v>
      </c>
      <c r="W19" s="774">
        <f>J19</f>
        <v>100</v>
      </c>
      <c r="X19" s="1811"/>
      <c r="Y19" s="3230"/>
      <c r="Z19" s="1812" t="str">
        <f>Q19</f>
        <v>办公集聚程度</v>
      </c>
      <c r="AA19" s="1809">
        <f t="shared" si="3"/>
        <v>1</v>
      </c>
      <c r="AB19" s="1809">
        <f t="shared" si="4"/>
        <v>1</v>
      </c>
      <c r="AC19" s="1809">
        <f t="shared" si="5"/>
        <v>1</v>
      </c>
    </row>
    <row r="20" spans="1:29" ht="15" hidden="1">
      <c r="A20" s="428"/>
      <c r="B20" s="456"/>
      <c r="C20" s="447"/>
      <c r="D20" s="448"/>
      <c r="E20" s="2597"/>
      <c r="F20" s="448"/>
      <c r="G20" s="2597"/>
      <c r="H20" s="448"/>
      <c r="I20" s="2596"/>
      <c r="J20" s="448"/>
      <c r="K20" s="671"/>
      <c r="L20" s="1138"/>
      <c r="M20" s="1129"/>
      <c r="N20" s="1129"/>
      <c r="O20" s="1137"/>
      <c r="P20" s="3230"/>
      <c r="Q20" s="1808"/>
      <c r="R20" s="773"/>
      <c r="S20" s="774"/>
      <c r="T20" s="773"/>
      <c r="U20" s="774"/>
      <c r="V20" s="773"/>
      <c r="W20" s="774"/>
      <c r="X20" s="1811"/>
      <c r="Y20" s="3230"/>
      <c r="Z20" s="1812"/>
      <c r="AA20" s="1809">
        <v>1</v>
      </c>
      <c r="AB20" s="1809">
        <v>1</v>
      </c>
      <c r="AC20" s="1809">
        <v>1</v>
      </c>
    </row>
    <row r="21" spans="1:29" ht="71.25">
      <c r="A21" s="428"/>
      <c r="B21" s="451" t="s">
        <v>2695</v>
      </c>
      <c r="C21" s="2599" t="str">
        <f>估价对象房地状况!C18</f>
        <v>估价对象周边有849、兴23路等公交线路，综合评价交通便捷度一般</v>
      </c>
      <c r="D21" s="450">
        <v>100</v>
      </c>
      <c r="E21" s="2975" t="s">
        <v>3238</v>
      </c>
      <c r="F21" s="455">
        <f>SUMIF(94:94,E22,95:95)-SUMIF(94:94,C22,95:95)+100</f>
        <v>102</v>
      </c>
      <c r="G21" s="2975" t="s">
        <v>3238</v>
      </c>
      <c r="H21" s="450">
        <f>SUMIF(94:94,G22,95:95)-SUMIF(94:94,C22,95:95)+100</f>
        <v>102</v>
      </c>
      <c r="I21" s="2975" t="s">
        <v>3239</v>
      </c>
      <c r="J21" s="450">
        <f>SUMIF(94:94,I22,95:95)-SUMIF(94:94,C22,95:95)+100</f>
        <v>100</v>
      </c>
      <c r="K21" s="672">
        <v>2</v>
      </c>
      <c r="L21" s="1138"/>
      <c r="M21" s="1129"/>
      <c r="N21" s="1129"/>
      <c r="O21" s="1137"/>
      <c r="P21" s="3230"/>
      <c r="Q21" s="1808" t="str">
        <f>B21</f>
        <v>交通便捷度</v>
      </c>
      <c r="R21" s="773" t="s">
        <v>17</v>
      </c>
      <c r="S21" s="774">
        <f>F21</f>
        <v>102</v>
      </c>
      <c r="T21" s="773" t="s">
        <v>17</v>
      </c>
      <c r="U21" s="774">
        <f>H21</f>
        <v>102</v>
      </c>
      <c r="V21" s="773" t="s">
        <v>17</v>
      </c>
      <c r="W21" s="774">
        <f>J21</f>
        <v>100</v>
      </c>
      <c r="X21" s="1811"/>
      <c r="Y21" s="3230"/>
      <c r="Z21" s="1812" t="str">
        <f>Q21</f>
        <v>交通便捷度</v>
      </c>
      <c r="AA21" s="1809">
        <f t="shared" si="3"/>
        <v>0.98039215686274506</v>
      </c>
      <c r="AB21" s="1809">
        <f t="shared" si="4"/>
        <v>0.98039215686274506</v>
      </c>
      <c r="AC21" s="1809">
        <f t="shared" si="5"/>
        <v>1</v>
      </c>
    </row>
    <row r="22" spans="1:29" ht="15">
      <c r="A22" s="428"/>
      <c r="B22" s="1382"/>
      <c r="C22" s="447" t="s">
        <v>3157</v>
      </c>
      <c r="D22" s="450"/>
      <c r="E22" s="447" t="s">
        <v>3072</v>
      </c>
      <c r="F22" s="448"/>
      <c r="G22" s="447" t="s">
        <v>3072</v>
      </c>
      <c r="H22" s="448"/>
      <c r="I22" s="447" t="s">
        <v>3157</v>
      </c>
      <c r="J22" s="448"/>
      <c r="K22" s="671"/>
      <c r="L22" s="1138"/>
      <c r="M22" s="1129"/>
      <c r="N22" s="1129"/>
      <c r="O22" s="1137"/>
      <c r="P22" s="3230"/>
      <c r="Q22" s="1808"/>
      <c r="R22" s="773"/>
      <c r="S22" s="774"/>
      <c r="T22" s="773"/>
      <c r="U22" s="774"/>
      <c r="V22" s="773"/>
      <c r="W22" s="774"/>
      <c r="X22" s="1811"/>
      <c r="Y22" s="3230"/>
      <c r="Z22" s="1812"/>
      <c r="AA22" s="1809">
        <v>1</v>
      </c>
      <c r="AB22" s="1809">
        <v>1</v>
      </c>
      <c r="AC22" s="1809">
        <v>1</v>
      </c>
    </row>
    <row r="23" spans="1:29" ht="15">
      <c r="A23" s="404"/>
      <c r="B23" s="451" t="s">
        <v>2734</v>
      </c>
      <c r="C23" s="1387"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2">
        <v>2</v>
      </c>
      <c r="L23" s="1138"/>
      <c r="M23" s="1129"/>
      <c r="N23" s="1129"/>
      <c r="O23" s="1137"/>
      <c r="P23" s="3230"/>
      <c r="Q23" s="1808" t="str">
        <f t="shared" ref="Q23:Q37" si="8">B23</f>
        <v>区域土地利用方向</v>
      </c>
      <c r="R23" s="773" t="s">
        <v>17</v>
      </c>
      <c r="S23" s="774">
        <f>F23</f>
        <v>100</v>
      </c>
      <c r="T23" s="773" t="s">
        <v>17</v>
      </c>
      <c r="U23" s="774">
        <f>H23</f>
        <v>100</v>
      </c>
      <c r="V23" s="773" t="s">
        <v>17</v>
      </c>
      <c r="W23" s="774">
        <f>J23</f>
        <v>100</v>
      </c>
      <c r="X23" s="1811"/>
      <c r="Y23" s="3230"/>
      <c r="Z23" s="1812" t="str">
        <f>Q23</f>
        <v>区域土地利用方向</v>
      </c>
      <c r="AA23" s="1809">
        <f t="shared" si="3"/>
        <v>1</v>
      </c>
      <c r="AB23" s="1809">
        <f t="shared" si="4"/>
        <v>1</v>
      </c>
      <c r="AC23" s="1809">
        <f t="shared" si="5"/>
        <v>1</v>
      </c>
    </row>
    <row r="24" spans="1:29" ht="15">
      <c r="A24" s="404"/>
      <c r="B24" s="456"/>
      <c r="C24" s="616" t="s">
        <v>3072</v>
      </c>
      <c r="D24" s="448"/>
      <c r="E24" s="616" t="s">
        <v>3072</v>
      </c>
      <c r="F24" s="448"/>
      <c r="G24" s="616" t="s">
        <v>3072</v>
      </c>
      <c r="H24" s="448"/>
      <c r="I24" s="616" t="s">
        <v>3072</v>
      </c>
      <c r="J24" s="448"/>
      <c r="K24" s="807"/>
      <c r="L24" s="1138"/>
      <c r="M24" s="1129"/>
      <c r="N24" s="1129"/>
      <c r="O24" s="1137"/>
      <c r="P24" s="3230"/>
      <c r="Q24" s="1808"/>
      <c r="R24" s="773"/>
      <c r="S24" s="774"/>
      <c r="T24" s="773"/>
      <c r="U24" s="774"/>
      <c r="V24" s="773"/>
      <c r="W24" s="774"/>
      <c r="X24" s="1811"/>
      <c r="Y24" s="3230"/>
      <c r="Z24" s="1812"/>
      <c r="AA24" s="1809"/>
      <c r="AB24" s="1809"/>
      <c r="AC24" s="1809"/>
    </row>
    <row r="25" spans="1:29" ht="57">
      <c r="A25" s="404"/>
      <c r="B25" s="1382" t="s">
        <v>2735</v>
      </c>
      <c r="C25" s="2654" t="str">
        <f>估价对象房地状况!C20</f>
        <v>周边有北京广播电视大学、康庄公园；综合评价环境状况较好</v>
      </c>
      <c r="D25" s="450">
        <v>100</v>
      </c>
      <c r="E25" s="452"/>
      <c r="F25" s="450">
        <f>SUMIF(98:98,E26,99:99)-SUMIF(98:98,C26,99:99)+100</f>
        <v>98</v>
      </c>
      <c r="G25" s="452"/>
      <c r="H25" s="450">
        <f>SUMIF(98:98,G26,99:99)-SUMIF(98:98,C26,99:99)+100</f>
        <v>100</v>
      </c>
      <c r="I25" s="454"/>
      <c r="J25" s="450">
        <f>SUMIF(98:98,I26,99:99)-SUMIF(98:98,C26,99:99)+100</f>
        <v>98</v>
      </c>
      <c r="K25" s="672">
        <v>2</v>
      </c>
      <c r="L25" s="1138"/>
      <c r="M25" s="1129"/>
      <c r="N25" s="1129"/>
      <c r="O25" s="1137"/>
      <c r="P25" s="3230"/>
      <c r="Q25" s="1808" t="str">
        <f t="shared" si="8"/>
        <v>自然及人文环境状况</v>
      </c>
      <c r="R25" s="773" t="s">
        <v>17</v>
      </c>
      <c r="S25" s="774">
        <f>F25</f>
        <v>98</v>
      </c>
      <c r="T25" s="773" t="s">
        <v>17</v>
      </c>
      <c r="U25" s="774">
        <f>H25</f>
        <v>100</v>
      </c>
      <c r="V25" s="773" t="s">
        <v>17</v>
      </c>
      <c r="W25" s="774">
        <f>J25</f>
        <v>98</v>
      </c>
      <c r="X25" s="1811"/>
      <c r="Y25" s="3230"/>
      <c r="Z25" s="1812" t="str">
        <f>Q25</f>
        <v>自然及人文环境状况</v>
      </c>
      <c r="AA25" s="1809">
        <f t="shared" si="3"/>
        <v>1.0204081632653061</v>
      </c>
      <c r="AB25" s="1809">
        <f t="shared" si="4"/>
        <v>1</v>
      </c>
      <c r="AC25" s="1809">
        <f t="shared" si="5"/>
        <v>1.0204081632653061</v>
      </c>
    </row>
    <row r="26" spans="1:29" ht="15">
      <c r="A26" s="404"/>
      <c r="B26" s="456"/>
      <c r="C26" s="447" t="s">
        <v>3072</v>
      </c>
      <c r="D26" s="448"/>
      <c r="E26" s="2603" t="s">
        <v>3157</v>
      </c>
      <c r="F26" s="448"/>
      <c r="G26" s="2603" t="s">
        <v>3072</v>
      </c>
      <c r="H26" s="448"/>
      <c r="I26" s="2603" t="s">
        <v>3157</v>
      </c>
      <c r="J26" s="448"/>
      <c r="K26" s="671"/>
      <c r="L26" s="1138"/>
      <c r="M26" s="1129"/>
      <c r="N26" s="1129"/>
      <c r="O26" s="1137"/>
      <c r="P26" s="3230"/>
      <c r="Q26" s="1808"/>
      <c r="R26" s="773"/>
      <c r="S26" s="774"/>
      <c r="T26" s="773"/>
      <c r="U26" s="774"/>
      <c r="V26" s="773"/>
      <c r="W26" s="774"/>
      <c r="X26" s="1811"/>
      <c r="Y26" s="3230"/>
      <c r="Z26" s="1812"/>
      <c r="AA26" s="1809">
        <v>1</v>
      </c>
      <c r="AB26" s="1809">
        <v>1</v>
      </c>
      <c r="AC26" s="1809">
        <v>1</v>
      </c>
    </row>
    <row r="27" spans="1:29" s="117" customFormat="1" ht="42.75">
      <c r="A27" s="648"/>
      <c r="B27" s="1382" t="s">
        <v>2640</v>
      </c>
      <c r="C27" s="2599" t="str">
        <f>估价对象房地状况!C21</f>
        <v>估价对象所在区域公共配套设施齐备较齐备</v>
      </c>
      <c r="D27" s="450">
        <v>100</v>
      </c>
      <c r="E27" s="452"/>
      <c r="F27" s="450">
        <f>SUMIF(100:100,E28,101:101)-SUMIF(100:100,C28,101:101)+100</f>
        <v>100</v>
      </c>
      <c r="G27" s="452"/>
      <c r="H27" s="450">
        <f>SUMIF(100:100,G28,101:101)-SUMIF(100:100,C28,101:101)+100</f>
        <v>100</v>
      </c>
      <c r="I27" s="454"/>
      <c r="J27" s="450">
        <f>SUMIF(100:100,I28,101:101)-SUMIF(100:100,C28,101:101)+100</f>
        <v>98</v>
      </c>
      <c r="K27" s="672">
        <v>2</v>
      </c>
      <c r="L27" s="1130"/>
      <c r="M27" s="1131"/>
      <c r="N27" s="1131"/>
      <c r="O27" s="1132"/>
      <c r="P27" s="3230"/>
      <c r="Q27" s="1793" t="str">
        <f t="shared" si="8"/>
        <v>公共配套设施</v>
      </c>
      <c r="R27" s="769" t="s">
        <v>17</v>
      </c>
      <c r="S27" s="770">
        <f>F27</f>
        <v>100</v>
      </c>
      <c r="T27" s="769" t="s">
        <v>17</v>
      </c>
      <c r="U27" s="770">
        <f>H27</f>
        <v>100</v>
      </c>
      <c r="V27" s="769" t="s">
        <v>17</v>
      </c>
      <c r="W27" s="770">
        <f>J27</f>
        <v>98</v>
      </c>
      <c r="X27" s="771"/>
      <c r="Y27" s="3230"/>
      <c r="Z27" s="55" t="str">
        <f>Q27</f>
        <v>公共配套设施</v>
      </c>
      <c r="AA27" s="1809">
        <f>D27/F27</f>
        <v>1</v>
      </c>
      <c r="AB27" s="1809">
        <f>D27/H27</f>
        <v>1</v>
      </c>
      <c r="AC27" s="1809">
        <f>D27/J27</f>
        <v>1.0204081632653061</v>
      </c>
    </row>
    <row r="28" spans="1:29" s="117" customFormat="1" ht="15">
      <c r="A28" s="648"/>
      <c r="B28" s="456"/>
      <c r="C28" s="2690" t="s">
        <v>3072</v>
      </c>
      <c r="D28" s="448"/>
      <c r="E28" s="2690" t="s">
        <v>3072</v>
      </c>
      <c r="F28" s="448"/>
      <c r="G28" s="2690" t="s">
        <v>3072</v>
      </c>
      <c r="H28" s="448"/>
      <c r="I28" s="2603" t="s">
        <v>3157</v>
      </c>
      <c r="J28" s="448"/>
      <c r="K28" s="671"/>
      <c r="L28" s="1130"/>
      <c r="M28" s="1131"/>
      <c r="N28" s="1131"/>
      <c r="O28" s="1132"/>
      <c r="P28" s="3230"/>
      <c r="Q28" s="1793"/>
      <c r="R28" s="769"/>
      <c r="S28" s="770"/>
      <c r="T28" s="769"/>
      <c r="U28" s="770"/>
      <c r="V28" s="769"/>
      <c r="W28" s="770"/>
      <c r="X28" s="771"/>
      <c r="Y28" s="3230"/>
      <c r="Z28" s="55"/>
      <c r="AA28" s="1809">
        <v>1</v>
      </c>
      <c r="AB28" s="1809">
        <v>1</v>
      </c>
      <c r="AC28" s="1809">
        <v>1</v>
      </c>
    </row>
    <row r="29" spans="1:29" s="117" customFormat="1" ht="28.5">
      <c r="A29" s="648"/>
      <c r="B29" s="1382" t="s">
        <v>2641</v>
      </c>
      <c r="C29" s="2599" t="str">
        <f>估价对象房地状况!C22</f>
        <v>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2">
        <v>1</v>
      </c>
      <c r="L29" s="1130"/>
      <c r="M29" s="1131"/>
      <c r="N29" s="1131"/>
      <c r="O29" s="1132"/>
      <c r="P29" s="3230"/>
      <c r="Q29" s="1793" t="str">
        <f>B29</f>
        <v>基础设施水平</v>
      </c>
      <c r="R29" s="769" t="s">
        <v>17</v>
      </c>
      <c r="S29" s="770">
        <f>F29</f>
        <v>100</v>
      </c>
      <c r="T29" s="769" t="s">
        <v>17</v>
      </c>
      <c r="U29" s="770">
        <f>H29</f>
        <v>100</v>
      </c>
      <c r="V29" s="769" t="s">
        <v>17</v>
      </c>
      <c r="W29" s="770">
        <f>J29</f>
        <v>100</v>
      </c>
      <c r="X29" s="771"/>
      <c r="Y29" s="3230"/>
      <c r="Z29" s="55" t="str">
        <f>Q29</f>
        <v>基础设施水平</v>
      </c>
      <c r="AA29" s="1809">
        <f>D29/F29</f>
        <v>1</v>
      </c>
      <c r="AB29" s="1809">
        <f>D29/H29</f>
        <v>1</v>
      </c>
      <c r="AC29" s="1809">
        <f>D29/J29</f>
        <v>1</v>
      </c>
    </row>
    <row r="30" spans="1:29" s="117" customFormat="1" ht="15">
      <c r="A30" s="648"/>
      <c r="B30" s="456"/>
      <c r="C30" s="2690" t="s">
        <v>3158</v>
      </c>
      <c r="D30" s="448"/>
      <c r="E30" s="2690" t="s">
        <v>3158</v>
      </c>
      <c r="F30" s="448"/>
      <c r="G30" s="2690" t="s">
        <v>3158</v>
      </c>
      <c r="H30" s="448"/>
      <c r="I30" s="2690" t="s">
        <v>3158</v>
      </c>
      <c r="J30" s="448"/>
      <c r="K30" s="671"/>
      <c r="L30" s="1130"/>
      <c r="M30" s="1131"/>
      <c r="N30" s="1131"/>
      <c r="O30" s="1132"/>
      <c r="P30" s="3230"/>
      <c r="Q30" s="1793"/>
      <c r="R30" s="769"/>
      <c r="S30" s="770"/>
      <c r="T30" s="769"/>
      <c r="U30" s="770"/>
      <c r="V30" s="769"/>
      <c r="W30" s="770"/>
      <c r="X30" s="771"/>
      <c r="Y30" s="3230"/>
      <c r="Z30" s="55"/>
      <c r="AA30" s="1809">
        <v>1</v>
      </c>
      <c r="AB30" s="1809">
        <v>1</v>
      </c>
      <c r="AC30" s="1809">
        <v>1</v>
      </c>
    </row>
    <row r="31" spans="1:29" ht="15">
      <c r="A31" s="428"/>
      <c r="B31" s="456" t="s">
        <v>2642</v>
      </c>
      <c r="C31" s="616" t="s">
        <v>3074</v>
      </c>
      <c r="D31" s="435">
        <v>100</v>
      </c>
      <c r="E31" s="633" t="s">
        <v>3074</v>
      </c>
      <c r="F31" s="435">
        <f>SUMIF(104:104,E31,105:105)-SUMIF(104:104,C31,105:105)+100</f>
        <v>100</v>
      </c>
      <c r="G31" s="633" t="s">
        <v>3074</v>
      </c>
      <c r="H31" s="435">
        <f>SUMIF(104:104,G31,105:105)-SUMIF(104:104,C31,105:105)+100</f>
        <v>100</v>
      </c>
      <c r="I31" s="633" t="s">
        <v>3074</v>
      </c>
      <c r="J31" s="435">
        <f>SUMIF(104:104,I31,105:105)-SUMIF(104:104,C31,105:105)+100</f>
        <v>100</v>
      </c>
      <c r="K31" s="672">
        <v>1</v>
      </c>
      <c r="L31" s="1138"/>
      <c r="M31" s="1129"/>
      <c r="N31" s="1129"/>
      <c r="O31" s="1137"/>
      <c r="P31" s="3230"/>
      <c r="Q31" s="1808" t="str">
        <f t="shared" si="8"/>
        <v>临街状况</v>
      </c>
      <c r="R31" s="773" t="s">
        <v>17</v>
      </c>
      <c r="S31" s="774">
        <f t="shared" ref="S31:S45" si="9">F31</f>
        <v>100</v>
      </c>
      <c r="T31" s="773" t="s">
        <v>17</v>
      </c>
      <c r="U31" s="774">
        <f t="shared" ref="U31:U45" si="10">H31</f>
        <v>100</v>
      </c>
      <c r="V31" s="773" t="s">
        <v>17</v>
      </c>
      <c r="W31" s="774">
        <f t="shared" ref="W31:W45" si="11">J31</f>
        <v>100</v>
      </c>
      <c r="X31" s="1811"/>
      <c r="Y31" s="3230"/>
      <c r="Z31" s="1812" t="str">
        <f t="shared" ref="Z31:Z45" si="12">Q31</f>
        <v>临街状况</v>
      </c>
      <c r="AA31" s="1809">
        <f t="shared" si="3"/>
        <v>1</v>
      </c>
      <c r="AB31" s="1809">
        <f t="shared" si="4"/>
        <v>1</v>
      </c>
      <c r="AC31" s="1809">
        <f t="shared" si="5"/>
        <v>1</v>
      </c>
    </row>
    <row r="32" spans="1:29" ht="27.75">
      <c r="A32" s="428"/>
      <c r="B32" s="1382" t="s">
        <v>2677</v>
      </c>
      <c r="C32" s="454" t="s">
        <v>3159</v>
      </c>
      <c r="D32" s="450">
        <v>100</v>
      </c>
      <c r="E32" s="452"/>
      <c r="F32" s="450">
        <f>SUMIF(106:106,E33,107:107)-SUMIF(106:106,C33,107:107)+100</f>
        <v>98</v>
      </c>
      <c r="G32" s="452"/>
      <c r="H32" s="450">
        <f>SUMIF(106:106,G33,107:107)-SUMIF(106:106,C33,107:107)+100</f>
        <v>98</v>
      </c>
      <c r="I32" s="454"/>
      <c r="J32" s="450">
        <f>SUMIF(106:106,I33,107:107)-SUMIF(106:106,C33,107:107)+100</f>
        <v>98</v>
      </c>
      <c r="K32" s="672">
        <v>2</v>
      </c>
      <c r="L32" s="1138"/>
      <c r="M32" s="1129"/>
      <c r="N32" s="1129"/>
      <c r="O32" s="1137"/>
      <c r="P32" s="3230"/>
      <c r="Q32" s="1808" t="str">
        <f t="shared" si="8"/>
        <v>毗邻道路的类型与等级</v>
      </c>
      <c r="R32" s="773" t="s">
        <v>17</v>
      </c>
      <c r="S32" s="774">
        <f t="shared" si="9"/>
        <v>98</v>
      </c>
      <c r="T32" s="773" t="s">
        <v>17</v>
      </c>
      <c r="U32" s="774">
        <f t="shared" si="10"/>
        <v>98</v>
      </c>
      <c r="V32" s="773" t="s">
        <v>17</v>
      </c>
      <c r="W32" s="774">
        <f t="shared" si="11"/>
        <v>98</v>
      </c>
      <c r="X32" s="1811"/>
      <c r="Y32" s="3230"/>
      <c r="Z32" s="1812" t="str">
        <f t="shared" si="12"/>
        <v>毗邻道路的类型与等级</v>
      </c>
      <c r="AA32" s="1809">
        <f t="shared" si="3"/>
        <v>1.0204081632653061</v>
      </c>
      <c r="AB32" s="1809">
        <f t="shared" si="4"/>
        <v>1.0204081632653061</v>
      </c>
      <c r="AC32" s="1809">
        <f t="shared" si="5"/>
        <v>1.0204081632653061</v>
      </c>
    </row>
    <row r="33" spans="1:29" ht="15.75" thickBot="1">
      <c r="A33" s="428"/>
      <c r="B33" s="456"/>
      <c r="C33" s="447" t="s">
        <v>3165</v>
      </c>
      <c r="D33" s="448"/>
      <c r="E33" s="2603" t="s">
        <v>3166</v>
      </c>
      <c r="F33" s="448"/>
      <c r="G33" s="2603" t="s">
        <v>3166</v>
      </c>
      <c r="H33" s="448"/>
      <c r="I33" s="2603" t="s">
        <v>3166</v>
      </c>
      <c r="J33" s="448"/>
      <c r="K33" s="613"/>
      <c r="L33" s="1138"/>
      <c r="M33" s="1129"/>
      <c r="N33" s="1129"/>
      <c r="O33" s="1137"/>
      <c r="P33" s="3230"/>
      <c r="Q33" s="1808"/>
      <c r="R33" s="773"/>
      <c r="S33" s="774"/>
      <c r="T33" s="773"/>
      <c r="U33" s="774"/>
      <c r="V33" s="773"/>
      <c r="W33" s="774"/>
      <c r="X33" s="1811"/>
      <c r="Y33" s="3230"/>
      <c r="Z33" s="1812"/>
      <c r="AA33" s="1809">
        <v>1</v>
      </c>
      <c r="AB33" s="1809">
        <v>1</v>
      </c>
      <c r="AC33" s="1809">
        <v>1</v>
      </c>
    </row>
    <row r="34" spans="1:29" ht="15.75" hidden="1" customHeight="1">
      <c r="A34" s="428"/>
      <c r="B34" s="422" t="s">
        <v>2736</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8"/>
      <c r="M34" s="1129"/>
      <c r="N34" s="1129"/>
      <c r="O34" s="1137"/>
      <c r="P34" s="3230"/>
      <c r="Q34" s="1808" t="str">
        <f t="shared" si="8"/>
        <v>土地级别</v>
      </c>
      <c r="R34" s="773" t="s">
        <v>17</v>
      </c>
      <c r="S34" s="774">
        <f t="shared" si="9"/>
        <v>100</v>
      </c>
      <c r="T34" s="773" t="s">
        <v>17</v>
      </c>
      <c r="U34" s="774">
        <f t="shared" si="10"/>
        <v>100</v>
      </c>
      <c r="V34" s="773" t="s">
        <v>17</v>
      </c>
      <c r="W34" s="774">
        <f t="shared" si="11"/>
        <v>100</v>
      </c>
      <c r="X34" s="1811"/>
      <c r="Y34" s="3230"/>
      <c r="Z34" s="1812" t="str">
        <f t="shared" si="12"/>
        <v>土地级别</v>
      </c>
      <c r="AA34" s="1809">
        <f t="shared" si="3"/>
        <v>1</v>
      </c>
      <c r="AB34" s="1809">
        <f t="shared" si="4"/>
        <v>1</v>
      </c>
      <c r="AC34" s="1809">
        <f t="shared" si="5"/>
        <v>1</v>
      </c>
    </row>
    <row r="35" spans="1:29" ht="15" hidden="1">
      <c r="A35" s="404"/>
      <c r="B35" s="1384">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8"/>
      <c r="M35" s="1129"/>
      <c r="N35" s="1129"/>
      <c r="O35" s="1137"/>
      <c r="P35" s="3230"/>
      <c r="Q35" s="1808">
        <f t="shared" si="8"/>
        <v>111</v>
      </c>
      <c r="R35" s="773" t="s">
        <v>17</v>
      </c>
      <c r="S35" s="774">
        <f t="shared" si="9"/>
        <v>100</v>
      </c>
      <c r="T35" s="773" t="s">
        <v>17</v>
      </c>
      <c r="U35" s="774">
        <f t="shared" si="10"/>
        <v>100</v>
      </c>
      <c r="V35" s="773" t="s">
        <v>17</v>
      </c>
      <c r="W35" s="774">
        <f t="shared" si="11"/>
        <v>100</v>
      </c>
      <c r="X35" s="1811"/>
      <c r="Y35" s="3230"/>
      <c r="Z35" s="1812">
        <f t="shared" si="12"/>
        <v>111</v>
      </c>
      <c r="AA35" s="1809">
        <f t="shared" si="3"/>
        <v>1</v>
      </c>
      <c r="AB35" s="1809">
        <f t="shared" si="4"/>
        <v>1</v>
      </c>
      <c r="AC35" s="1809">
        <f t="shared" si="5"/>
        <v>1</v>
      </c>
    </row>
    <row r="36" spans="1:29" ht="15" hidden="1">
      <c r="A36" s="674"/>
      <c r="B36" s="1385">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8"/>
      <c r="M36" s="1129"/>
      <c r="N36" s="1129"/>
      <c r="O36" s="1137"/>
      <c r="P36" s="3231" t="s">
        <v>2551</v>
      </c>
      <c r="Q36" s="1808">
        <f t="shared" si="8"/>
        <v>111</v>
      </c>
      <c r="R36" s="773" t="s">
        <v>17</v>
      </c>
      <c r="S36" s="774">
        <f t="shared" si="9"/>
        <v>100</v>
      </c>
      <c r="T36" s="773" t="s">
        <v>17</v>
      </c>
      <c r="U36" s="774">
        <f t="shared" si="10"/>
        <v>100</v>
      </c>
      <c r="V36" s="773" t="s">
        <v>17</v>
      </c>
      <c r="W36" s="774">
        <f t="shared" si="11"/>
        <v>100</v>
      </c>
      <c r="X36" s="1811"/>
      <c r="Y36" s="3232" t="s">
        <v>2551</v>
      </c>
      <c r="Z36" s="1812">
        <f t="shared" si="12"/>
        <v>111</v>
      </c>
      <c r="AA36" s="1809">
        <f t="shared" si="3"/>
        <v>1</v>
      </c>
      <c r="AB36" s="1809">
        <f t="shared" si="4"/>
        <v>1</v>
      </c>
      <c r="AC36" s="1809">
        <f t="shared" si="5"/>
        <v>1</v>
      </c>
    </row>
    <row r="37" spans="1:29" s="471" customFormat="1" ht="15.75" hidden="1" thickBot="1">
      <c r="A37" s="675"/>
      <c r="B37" s="1386">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6"/>
      <c r="M37" s="1139"/>
      <c r="N37" s="1139"/>
      <c r="O37" s="1140"/>
      <c r="P37" s="3232"/>
      <c r="Q37" s="1808">
        <f t="shared" si="8"/>
        <v>111</v>
      </c>
      <c r="R37" s="776" t="s">
        <v>17</v>
      </c>
      <c r="S37" s="777">
        <f t="shared" si="9"/>
        <v>100</v>
      </c>
      <c r="T37" s="776" t="s">
        <v>17</v>
      </c>
      <c r="U37" s="777">
        <f t="shared" si="10"/>
        <v>100</v>
      </c>
      <c r="V37" s="776" t="s">
        <v>17</v>
      </c>
      <c r="W37" s="777">
        <f t="shared" si="11"/>
        <v>100</v>
      </c>
      <c r="X37" s="778"/>
      <c r="Y37" s="3232"/>
      <c r="Z37" s="779">
        <f t="shared" si="12"/>
        <v>111</v>
      </c>
      <c r="AA37" s="1809">
        <f t="shared" si="3"/>
        <v>1</v>
      </c>
      <c r="AB37" s="1809">
        <f t="shared" si="4"/>
        <v>1</v>
      </c>
      <c r="AC37" s="1809">
        <f t="shared" si="5"/>
        <v>1</v>
      </c>
    </row>
    <row r="38" spans="1:29" ht="15">
      <c r="A38" s="472" t="s">
        <v>2549</v>
      </c>
      <c r="B38" s="456" t="s">
        <v>2737</v>
      </c>
      <c r="C38" s="678">
        <f>'数据-基础表'!A3</f>
        <v>32834.559999999998</v>
      </c>
      <c r="D38" s="467">
        <v>100</v>
      </c>
      <c r="E38" s="678">
        <f>土地案例!J2</f>
        <v>76286.2</v>
      </c>
      <c r="F38" s="467">
        <f>LOOKUP(E38,117:117,118:118)-LOOKUP(C38,117:117,118:118)+100</f>
        <v>101</v>
      </c>
      <c r="G38" s="678">
        <f>土地案例!J3</f>
        <v>22717.91</v>
      </c>
      <c r="H38" s="467">
        <f>LOOKUP(G38,117:117,118:118)-LOOKUP(C38,117:117,118:118)+100</f>
        <v>99</v>
      </c>
      <c r="I38" s="530">
        <f>土地案例!J4</f>
        <v>66379.53</v>
      </c>
      <c r="J38" s="467">
        <f>LOOKUP(I38,117:117,118:118)-LOOKUP(C38,117:117,118:118)+100</f>
        <v>101</v>
      </c>
      <c r="K38" s="613"/>
      <c r="L38" s="1138"/>
      <c r="M38" s="1129"/>
      <c r="N38" s="1129"/>
      <c r="O38" s="1137"/>
      <c r="P38" s="3232"/>
      <c r="Q38" s="1808" t="str">
        <f>B38</f>
        <v>宗地面积</v>
      </c>
      <c r="R38" s="773" t="s">
        <v>17</v>
      </c>
      <c r="S38" s="774">
        <f t="shared" si="9"/>
        <v>101</v>
      </c>
      <c r="T38" s="773" t="s">
        <v>17</v>
      </c>
      <c r="U38" s="774">
        <f t="shared" si="10"/>
        <v>99</v>
      </c>
      <c r="V38" s="773" t="s">
        <v>17</v>
      </c>
      <c r="W38" s="774">
        <f t="shared" si="11"/>
        <v>101</v>
      </c>
      <c r="X38" s="1811"/>
      <c r="Y38" s="3232"/>
      <c r="Z38" s="1812" t="str">
        <f t="shared" si="12"/>
        <v>宗地面积</v>
      </c>
      <c r="AA38" s="1809">
        <f t="shared" si="3"/>
        <v>0.99009900990099009</v>
      </c>
      <c r="AB38" s="1809">
        <f t="shared" si="4"/>
        <v>1.0101010101010102</v>
      </c>
      <c r="AC38" s="1809">
        <f t="shared" si="5"/>
        <v>0.99009900990099009</v>
      </c>
    </row>
    <row r="39" spans="1:29" ht="15">
      <c r="A39" s="472"/>
      <c r="B39" s="422" t="s">
        <v>2738</v>
      </c>
      <c r="C39" s="2605" t="s">
        <v>3173</v>
      </c>
      <c r="D39" s="435">
        <v>100</v>
      </c>
      <c r="E39" s="2605" t="s">
        <v>3157</v>
      </c>
      <c r="F39" s="435">
        <f>SUMIF(119:119,E39,120:120)-SUMIF(119:119,C39,120:120)+100</f>
        <v>98</v>
      </c>
      <c r="G39" s="2605" t="s">
        <v>3173</v>
      </c>
      <c r="H39" s="435">
        <f>SUMIF(119:119,G39,120:120)-SUMIF(119:119,C39,120:120)+100</f>
        <v>100</v>
      </c>
      <c r="I39" s="2605" t="s">
        <v>3157</v>
      </c>
      <c r="J39" s="435">
        <f>SUMIF(119:119,I39,120:120)-SUMIF(119:119,C39,120:120)+100</f>
        <v>98</v>
      </c>
      <c r="K39" s="612">
        <v>2</v>
      </c>
      <c r="L39" s="1138"/>
      <c r="M39" s="1129"/>
      <c r="N39" s="1129"/>
      <c r="O39" s="1137"/>
      <c r="P39" s="3232"/>
      <c r="Q39" s="1808" t="str">
        <f t="shared" ref="Q39:Q45" si="13">B39</f>
        <v>宗地形状</v>
      </c>
      <c r="R39" s="773" t="s">
        <v>17</v>
      </c>
      <c r="S39" s="774">
        <f t="shared" si="9"/>
        <v>98</v>
      </c>
      <c r="T39" s="773" t="s">
        <v>17</v>
      </c>
      <c r="U39" s="774">
        <f t="shared" si="10"/>
        <v>100</v>
      </c>
      <c r="V39" s="773" t="s">
        <v>17</v>
      </c>
      <c r="W39" s="774">
        <f t="shared" si="11"/>
        <v>98</v>
      </c>
      <c r="X39" s="1811"/>
      <c r="Y39" s="3232"/>
      <c r="Z39" s="1812" t="str">
        <f t="shared" si="12"/>
        <v>宗地形状</v>
      </c>
      <c r="AA39" s="1809">
        <f t="shared" si="3"/>
        <v>1.0204081632653061</v>
      </c>
      <c r="AB39" s="1809">
        <f t="shared" si="4"/>
        <v>1</v>
      </c>
      <c r="AC39" s="1809">
        <f t="shared" si="5"/>
        <v>1.0204081632653061</v>
      </c>
    </row>
    <row r="40" spans="1:29" ht="15">
      <c r="A40" s="472"/>
      <c r="B40" s="422" t="s">
        <v>2739</v>
      </c>
      <c r="C40" s="2605" t="s">
        <v>3176</v>
      </c>
      <c r="D40" s="435">
        <v>100</v>
      </c>
      <c r="E40" s="2605" t="s">
        <v>3176</v>
      </c>
      <c r="F40" s="435">
        <f>SUMIF(121:121,E40,122:122)-SUMIF(121:121,C40,122:122)+100</f>
        <v>100</v>
      </c>
      <c r="G40" s="2605" t="s">
        <v>3176</v>
      </c>
      <c r="H40" s="435">
        <f>SUMIF(121:121,G40,122:122)-SUMIF(121:121,C40,122:122)+100</f>
        <v>100</v>
      </c>
      <c r="I40" s="2605" t="s">
        <v>3176</v>
      </c>
      <c r="J40" s="435">
        <f>SUMIF(121:121,I40,122:122)-SUMIF(121:121,C40,122:122)+100</f>
        <v>100</v>
      </c>
      <c r="K40" s="612">
        <v>2</v>
      </c>
      <c r="L40" s="1138"/>
      <c r="M40" s="1129"/>
      <c r="N40" s="1129"/>
      <c r="O40" s="1137"/>
      <c r="P40" s="3232"/>
      <c r="Q40" s="1808" t="str">
        <f t="shared" si="13"/>
        <v>临街宽度及深度</v>
      </c>
      <c r="R40" s="773" t="s">
        <v>17</v>
      </c>
      <c r="S40" s="774">
        <f t="shared" si="9"/>
        <v>100</v>
      </c>
      <c r="T40" s="773" t="s">
        <v>17</v>
      </c>
      <c r="U40" s="774">
        <f t="shared" si="10"/>
        <v>100</v>
      </c>
      <c r="V40" s="773" t="s">
        <v>17</v>
      </c>
      <c r="W40" s="774">
        <f t="shared" si="11"/>
        <v>100</v>
      </c>
      <c r="X40" s="1811"/>
      <c r="Y40" s="3232"/>
      <c r="Z40" s="1812" t="str">
        <f t="shared" si="12"/>
        <v>临街宽度及深度</v>
      </c>
      <c r="AA40" s="1809">
        <f t="shared" si="3"/>
        <v>1</v>
      </c>
      <c r="AB40" s="1809">
        <f t="shared" si="4"/>
        <v>1</v>
      </c>
      <c r="AC40" s="1809">
        <f t="shared" si="5"/>
        <v>1</v>
      </c>
    </row>
    <row r="41" spans="1:29" s="117" customFormat="1" ht="15">
      <c r="A41" s="473"/>
      <c r="B41" s="422" t="s">
        <v>2740</v>
      </c>
      <c r="C41" s="2983" t="s">
        <v>3178</v>
      </c>
      <c r="D41" s="136">
        <v>100</v>
      </c>
      <c r="E41" s="2692" t="s">
        <v>3158</v>
      </c>
      <c r="F41" s="435">
        <f>SUMIF(123:123,E41,124:124)-SUMIF(123:123,C41,124:124)+100</f>
        <v>101</v>
      </c>
      <c r="G41" s="2692" t="s">
        <v>3178</v>
      </c>
      <c r="H41" s="435">
        <f>SUMIF(123:123,G41,124:124)-SUMIF(123:123,C41,124:124)+100</f>
        <v>100</v>
      </c>
      <c r="I41" s="2692" t="s">
        <v>3178</v>
      </c>
      <c r="J41" s="435">
        <f>SUMIF(123:123,I41,124:124)-SUMIF(123:123,C41,124:124)+100</f>
        <v>100</v>
      </c>
      <c r="K41" s="612">
        <v>1</v>
      </c>
      <c r="L41" s="1130"/>
      <c r="M41" s="1131"/>
      <c r="N41" s="1131"/>
      <c r="O41" s="1132"/>
      <c r="P41" s="3232"/>
      <c r="Q41" s="1808" t="str">
        <f t="shared" si="13"/>
        <v>宗地开发程度</v>
      </c>
      <c r="R41" s="769" t="s">
        <v>17</v>
      </c>
      <c r="S41" s="770">
        <f t="shared" si="9"/>
        <v>101</v>
      </c>
      <c r="T41" s="769" t="s">
        <v>17</v>
      </c>
      <c r="U41" s="770">
        <f t="shared" si="10"/>
        <v>100</v>
      </c>
      <c r="V41" s="769" t="s">
        <v>17</v>
      </c>
      <c r="W41" s="770">
        <f t="shared" si="11"/>
        <v>100</v>
      </c>
      <c r="X41" s="771"/>
      <c r="Y41" s="3232"/>
      <c r="Z41" s="55" t="str">
        <f t="shared" si="12"/>
        <v>宗地开发程度</v>
      </c>
      <c r="AA41" s="772">
        <f t="shared" si="3"/>
        <v>0.99009900990099009</v>
      </c>
      <c r="AB41" s="772">
        <f t="shared" si="4"/>
        <v>1</v>
      </c>
      <c r="AC41" s="772">
        <f t="shared" si="5"/>
        <v>1</v>
      </c>
    </row>
    <row r="42" spans="1:29" ht="15.75" thickBot="1">
      <c r="A42" s="472"/>
      <c r="B42" s="422" t="s">
        <v>2741</v>
      </c>
      <c r="C42" s="2605" t="s">
        <v>3072</v>
      </c>
      <c r="D42" s="435">
        <v>100</v>
      </c>
      <c r="E42" s="2605" t="s">
        <v>3072</v>
      </c>
      <c r="F42" s="435">
        <f>SUMIF(125:125,E42,126:126)-SUMIF(125:125,C42,126:126)+100</f>
        <v>100</v>
      </c>
      <c r="G42" s="2605" t="s">
        <v>3072</v>
      </c>
      <c r="H42" s="435">
        <f>SUMIF(125:125,G42,126:126)-SUMIF(125:125,C42,126:126)+100</f>
        <v>100</v>
      </c>
      <c r="I42" s="2605" t="s">
        <v>3072</v>
      </c>
      <c r="J42" s="435">
        <f>SUMIF(125:125,I42,126:126)-SUMIF(125:125,C42,126:126)+100</f>
        <v>100</v>
      </c>
      <c r="K42" s="612">
        <v>2</v>
      </c>
      <c r="L42" s="1138"/>
      <c r="M42" s="1129"/>
      <c r="N42" s="1129"/>
      <c r="O42" s="1137"/>
      <c r="P42" s="3232" t="s">
        <v>2551</v>
      </c>
      <c r="Q42" s="1808" t="str">
        <f t="shared" si="13"/>
        <v>工程地质条件</v>
      </c>
      <c r="R42" s="773" t="s">
        <v>17</v>
      </c>
      <c r="S42" s="774">
        <f t="shared" si="9"/>
        <v>100</v>
      </c>
      <c r="T42" s="773" t="s">
        <v>17</v>
      </c>
      <c r="U42" s="774">
        <f t="shared" si="10"/>
        <v>100</v>
      </c>
      <c r="V42" s="773" t="s">
        <v>17</v>
      </c>
      <c r="W42" s="774">
        <f t="shared" si="11"/>
        <v>100</v>
      </c>
      <c r="X42" s="1811"/>
      <c r="Y42" s="3232" t="s">
        <v>2551</v>
      </c>
      <c r="Z42" s="1812" t="str">
        <f t="shared" si="12"/>
        <v>工程地质条件</v>
      </c>
      <c r="AA42" s="1809">
        <f t="shared" si="3"/>
        <v>1</v>
      </c>
      <c r="AB42" s="1809">
        <f t="shared" si="4"/>
        <v>1</v>
      </c>
      <c r="AC42" s="1809">
        <f t="shared" si="5"/>
        <v>1</v>
      </c>
    </row>
    <row r="43" spans="1:29" ht="15" hidden="1">
      <c r="A43" s="472"/>
      <c r="B43" s="1385">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8"/>
      <c r="M43" s="1129"/>
      <c r="N43" s="1129"/>
      <c r="O43" s="1137"/>
      <c r="P43" s="3232"/>
      <c r="Q43" s="1808">
        <f t="shared" si="13"/>
        <v>111</v>
      </c>
      <c r="R43" s="773" t="s">
        <v>17</v>
      </c>
      <c r="S43" s="774">
        <f t="shared" si="9"/>
        <v>100</v>
      </c>
      <c r="T43" s="773" t="s">
        <v>17</v>
      </c>
      <c r="U43" s="774">
        <f t="shared" si="10"/>
        <v>100</v>
      </c>
      <c r="V43" s="773" t="s">
        <v>17</v>
      </c>
      <c r="W43" s="774">
        <f t="shared" si="11"/>
        <v>100</v>
      </c>
      <c r="X43" s="1811"/>
      <c r="Y43" s="3232"/>
      <c r="Z43" s="1812">
        <f t="shared" si="12"/>
        <v>111</v>
      </c>
      <c r="AA43" s="1809">
        <f t="shared" si="3"/>
        <v>1</v>
      </c>
      <c r="AB43" s="1809">
        <f t="shared" si="4"/>
        <v>1</v>
      </c>
      <c r="AC43" s="1809">
        <f t="shared" si="5"/>
        <v>1</v>
      </c>
    </row>
    <row r="44" spans="1:29" ht="15" hidden="1">
      <c r="A44" s="472"/>
      <c r="B44" s="1385">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8"/>
      <c r="M44" s="1129"/>
      <c r="N44" s="1129"/>
      <c r="O44" s="1137"/>
      <c r="P44" s="3232"/>
      <c r="Q44" s="1808">
        <f t="shared" si="13"/>
        <v>111</v>
      </c>
      <c r="R44" s="773" t="s">
        <v>17</v>
      </c>
      <c r="S44" s="774">
        <f t="shared" si="9"/>
        <v>100</v>
      </c>
      <c r="T44" s="773" t="s">
        <v>17</v>
      </c>
      <c r="U44" s="774">
        <f t="shared" si="10"/>
        <v>100</v>
      </c>
      <c r="V44" s="773" t="s">
        <v>17</v>
      </c>
      <c r="W44" s="774">
        <f t="shared" si="11"/>
        <v>100</v>
      </c>
      <c r="X44" s="1811"/>
      <c r="Y44" s="3232"/>
      <c r="Z44" s="1812">
        <f t="shared" si="12"/>
        <v>111</v>
      </c>
      <c r="AA44" s="1809">
        <f t="shared" si="3"/>
        <v>1</v>
      </c>
      <c r="AB44" s="1809">
        <f t="shared" si="4"/>
        <v>1</v>
      </c>
      <c r="AC44" s="1809">
        <f t="shared" si="5"/>
        <v>1</v>
      </c>
    </row>
    <row r="45" spans="1:29" s="471" customFormat="1" ht="15.75" hidden="1" thickBot="1">
      <c r="A45" s="468"/>
      <c r="B45" s="1385">
        <v>111</v>
      </c>
      <c r="C45" s="2693"/>
      <c r="D45" s="679">
        <v>100</v>
      </c>
      <c r="E45" s="673"/>
      <c r="F45" s="438">
        <f>SUMIF(131:131,E45,132:132)-SUMIF(131:131,C45,132:132)+100</f>
        <v>100</v>
      </c>
      <c r="G45" s="673"/>
      <c r="H45" s="438">
        <f>SUMIF(131:131,G45,132:132)-SUMIF(131:131,C45,132:132)+100</f>
        <v>100</v>
      </c>
      <c r="I45" s="673"/>
      <c r="J45" s="438">
        <f>SUMIF(131:131,I45,132:132)-SUMIF(131:131,C45,132:132)+100</f>
        <v>100</v>
      </c>
      <c r="K45" s="680"/>
      <c r="L45" s="1136"/>
      <c r="M45" s="1139"/>
      <c r="N45" s="1139"/>
      <c r="O45" s="1140"/>
      <c r="P45" s="3232"/>
      <c r="Q45" s="1808">
        <f t="shared" si="13"/>
        <v>111</v>
      </c>
      <c r="R45" s="776" t="s">
        <v>17</v>
      </c>
      <c r="S45" s="777">
        <f t="shared" si="9"/>
        <v>100</v>
      </c>
      <c r="T45" s="776" t="s">
        <v>17</v>
      </c>
      <c r="U45" s="777">
        <f t="shared" si="10"/>
        <v>100</v>
      </c>
      <c r="V45" s="776" t="s">
        <v>17</v>
      </c>
      <c r="W45" s="777">
        <f t="shared" si="11"/>
        <v>100</v>
      </c>
      <c r="X45" s="778"/>
      <c r="Y45" s="3232"/>
      <c r="Z45" s="779">
        <f t="shared" si="12"/>
        <v>111</v>
      </c>
      <c r="AA45" s="1809">
        <f t="shared" si="3"/>
        <v>1</v>
      </c>
      <c r="AB45" s="1809">
        <f t="shared" si="4"/>
        <v>1</v>
      </c>
      <c r="AC45" s="1809">
        <f t="shared" si="5"/>
        <v>1</v>
      </c>
    </row>
    <row r="46" spans="1:29" ht="15">
      <c r="A46" s="479" t="s">
        <v>2706</v>
      </c>
      <c r="B46" s="2694" t="s">
        <v>2742</v>
      </c>
      <c r="C46" s="681" t="s">
        <v>1</v>
      </c>
      <c r="D46" s="481"/>
      <c r="E46" s="482">
        <f>ROUND(土地案例!AG2,0)</f>
        <v>39372</v>
      </c>
      <c r="F46" s="483"/>
      <c r="G46" s="482">
        <f>ROUND(土地案例!AG3,0)</f>
        <v>40320</v>
      </c>
      <c r="H46" s="485"/>
      <c r="I46" s="482">
        <f>ROUND(土地案例!AG4,0)</f>
        <v>39306</v>
      </c>
      <c r="J46" s="485"/>
      <c r="K46" s="782"/>
      <c r="L46" s="1141"/>
      <c r="M46" s="1142"/>
      <c r="N46" s="1129"/>
      <c r="O46" s="1142"/>
      <c r="P46" s="3214" t="str">
        <f>A46</f>
        <v>成交单价</v>
      </c>
      <c r="Q46" s="3214"/>
      <c r="R46" s="3227">
        <f>E46</f>
        <v>39372</v>
      </c>
      <c r="S46" s="3227"/>
      <c r="T46" s="3227">
        <f>G46</f>
        <v>40320</v>
      </c>
      <c r="U46" s="3227"/>
      <c r="V46" s="3227">
        <f>I46</f>
        <v>39306</v>
      </c>
      <c r="W46" s="3227"/>
      <c r="X46" s="758"/>
      <c r="Y46" s="780"/>
      <c r="Z46" s="758"/>
      <c r="AA46" s="758"/>
      <c r="AB46" s="758"/>
      <c r="AC46" s="758"/>
    </row>
    <row r="47" spans="1:29" ht="15.75" thickBot="1">
      <c r="A47" s="486" t="s">
        <v>2655</v>
      </c>
      <c r="B47" s="682"/>
      <c r="C47" s="490">
        <f>R48</f>
        <v>38438</v>
      </c>
      <c r="D47" s="489"/>
      <c r="E47" s="490">
        <f>R47</f>
        <v>38175</v>
      </c>
      <c r="F47" s="491"/>
      <c r="G47" s="488">
        <f>T47</f>
        <v>38687</v>
      </c>
      <c r="H47" s="489"/>
      <c r="I47" s="490">
        <f>V47</f>
        <v>38452</v>
      </c>
      <c r="J47" s="489"/>
      <c r="K47" s="783"/>
      <c r="L47" s="1141"/>
      <c r="M47" s="1142"/>
      <c r="N47" s="1142"/>
      <c r="O47" s="1142"/>
      <c r="P47" s="3214" t="str">
        <f>A47</f>
        <v>比较价值（元/平方米）</v>
      </c>
      <c r="Q47" s="3214"/>
      <c r="R47" s="3233">
        <f>ROUND(PRODUCT(R46,AA7:AA45),0)</f>
        <v>38175</v>
      </c>
      <c r="S47" s="3233"/>
      <c r="T47" s="3233">
        <f>ROUND(PRODUCT(T46,AB7:AB45),0)</f>
        <v>38687</v>
      </c>
      <c r="U47" s="3233"/>
      <c r="V47" s="3233">
        <f>ROUND(PRODUCT(V46,AC7:AC45),0)</f>
        <v>38452</v>
      </c>
      <c r="W47" s="3233"/>
      <c r="X47" s="758"/>
      <c r="Y47" s="758"/>
      <c r="Z47" s="758"/>
      <c r="AA47" s="758"/>
      <c r="AB47" s="758"/>
      <c r="AC47" s="758"/>
    </row>
    <row r="48" spans="1:29" ht="15.75" thickBot="1">
      <c r="A48" s="492" t="s">
        <v>2743</v>
      </c>
      <c r="B48" s="493"/>
      <c r="C48" s="494">
        <f>R48</f>
        <v>38438</v>
      </c>
      <c r="D48" s="494"/>
      <c r="E48" s="494"/>
      <c r="F48" s="494"/>
      <c r="G48" s="494"/>
      <c r="H48" s="494"/>
      <c r="I48" s="494"/>
      <c r="J48" s="494"/>
      <c r="K48" s="784"/>
      <c r="L48" s="1141"/>
      <c r="M48" s="1142"/>
      <c r="N48" s="1142"/>
      <c r="O48" s="1142"/>
      <c r="P48" s="3234" t="str">
        <f>A48</f>
        <v>估价对象XX用房的比较价值（楼面单价，元/平方米）</v>
      </c>
      <c r="Q48" s="3235"/>
      <c r="R48" s="3236">
        <f>ROUND(AVERAGE(R47:V47),0)</f>
        <v>38438</v>
      </c>
      <c r="S48" s="3236"/>
      <c r="T48" s="3236"/>
      <c r="U48" s="3236"/>
      <c r="V48" s="3236"/>
      <c r="W48" s="3236"/>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2657</v>
      </c>
      <c r="D51" s="498"/>
      <c r="E51" s="499">
        <f>IF(E46&lt;E47,E47/E46-1,E46/E47-1)</f>
        <v>3.1355599214145435E-2</v>
      </c>
      <c r="F51" s="500" t="str">
        <f>IF(OR(E51&gt;=0.3,E51&lt;=-0.3),"超过30%","")</f>
        <v/>
      </c>
      <c r="G51" s="499">
        <f>IF(G46&lt;G47,G47/G46-1,G46/G47-1)</f>
        <v>4.2210561687388459E-2</v>
      </c>
      <c r="H51" s="500" t="str">
        <f>IF(OR(G51&gt;=0.3,G51&lt;=-0.3),"超过30%","")</f>
        <v/>
      </c>
      <c r="I51" s="499">
        <f>IF(I46&lt;I47,I47/I46-1,I46/I47-1)</f>
        <v>2.2209507957973607E-2</v>
      </c>
      <c r="J51" s="500" t="str">
        <f>IF(OR(I51&gt;=0.3,I51&lt;=-0.3),"超过30%","")</f>
        <v/>
      </c>
      <c r="K51" s="1103"/>
      <c r="L51" s="1104"/>
      <c r="M51" s="1142"/>
      <c r="N51" s="1142"/>
      <c r="O51" s="1142"/>
    </row>
    <row r="52" spans="1:15" ht="13.5" customHeight="1">
      <c r="A52" s="1142"/>
      <c r="B52" s="1142"/>
      <c r="C52" s="497" t="s">
        <v>2658</v>
      </c>
      <c r="D52" s="501"/>
      <c r="E52" s="499">
        <f>IF(E47&lt;G47,G47/E47-1,E47/G47-1)</f>
        <v>1.3411918795023015E-2</v>
      </c>
      <c r="F52" s="500" t="str">
        <f>IF(OR(E52&gt;=0.2,E52&lt;=-0.2),"超过20%","")</f>
        <v/>
      </c>
      <c r="G52" s="499">
        <f>IF(G47&lt;I47,I47/G47-1,G47/I47-1)</f>
        <v>6.1115156558826378E-3</v>
      </c>
      <c r="H52" s="500" t="str">
        <f>IF(OR(G52&gt;=0.2,G52&lt;=-0.2),"超过20%","")</f>
        <v/>
      </c>
      <c r="I52" s="499">
        <f>IF(I47&lt;E47,E47/I47-1,I47/E47-1)</f>
        <v>7.2560576293385637E-3</v>
      </c>
      <c r="J52" s="500" t="str">
        <f>IF(OR(I52&gt;=0.2,I52&lt;=-0.2),"超过20%","")</f>
        <v/>
      </c>
      <c r="K52" s="1103"/>
      <c r="L52" s="1104"/>
      <c r="M52" s="1142"/>
      <c r="N52" s="1142"/>
      <c r="O52" s="1142"/>
    </row>
    <row r="53" spans="1:15" s="502" customFormat="1" ht="13.5" customHeight="1">
      <c r="A53" s="1143"/>
      <c r="B53" s="1143"/>
      <c r="C53" s="497" t="s">
        <v>2659</v>
      </c>
      <c r="D53" s="501"/>
      <c r="E53" s="499">
        <f>IF(E46&lt;G46,G46/E46-1,E46/G46-1)</f>
        <v>2.4078024992380431E-2</v>
      </c>
      <c r="F53" s="500" t="str">
        <f>IF(OR(E53&gt;=0.3,E53&lt;=-0.3),"超过30%","")</f>
        <v/>
      </c>
      <c r="G53" s="499">
        <f>IF(G46&lt;I46,I46/G46-1,G46/I46-1)</f>
        <v>2.57975881544803E-2</v>
      </c>
      <c r="H53" s="500" t="str">
        <f>IF(OR(G53&gt;=0.3,G53&lt;=-0.3),"超过30%","")</f>
        <v/>
      </c>
      <c r="I53" s="499">
        <f>IF(I46&lt;E46,E46/I46-1,I46/E46-1)</f>
        <v>1.6791329568004443E-3</v>
      </c>
      <c r="J53" s="500" t="str">
        <f>IF(OR(I53&gt;=0.3,I53&lt;=-0.3),"超过30%","")</f>
        <v/>
      </c>
      <c r="K53" s="1146"/>
      <c r="L53" s="1147"/>
      <c r="M53" s="1143"/>
      <c r="N53" s="1143"/>
      <c r="O53" s="1143"/>
    </row>
    <row r="54" spans="1:15" s="502" customFormat="1" ht="15" thickBot="1">
      <c r="A54" s="1143"/>
      <c r="B54" s="1144"/>
      <c r="C54" s="761"/>
      <c r="D54" s="759"/>
      <c r="E54" s="759"/>
      <c r="F54" s="759"/>
      <c r="G54" s="759"/>
      <c r="H54" s="759"/>
      <c r="I54" s="759"/>
      <c r="J54" s="759"/>
      <c r="K54" s="1146"/>
      <c r="L54" s="1147"/>
      <c r="M54" s="1143"/>
      <c r="N54" s="1143"/>
      <c r="O54" s="1143"/>
    </row>
    <row r="55" spans="1:15" ht="27" customHeight="1">
      <c r="A55" s="683" t="s">
        <v>2744</v>
      </c>
      <c r="B55" s="684" t="s">
        <v>2745</v>
      </c>
      <c r="C55" s="2695" t="s">
        <v>2746</v>
      </c>
      <c r="D55" s="2696" t="s">
        <v>2747</v>
      </c>
      <c r="E55" s="685" t="s">
        <v>2748</v>
      </c>
      <c r="F55" s="1105" t="s">
        <v>2749</v>
      </c>
      <c r="G55" s="3215" t="s">
        <v>2750</v>
      </c>
      <c r="H55" s="3237"/>
      <c r="I55" s="144" t="s">
        <v>2751</v>
      </c>
      <c r="J55" s="2697">
        <f>项目基本情况!F35</f>
        <v>0</v>
      </c>
      <c r="K55" s="2698" t="s">
        <v>2752</v>
      </c>
      <c r="L55" s="1104"/>
      <c r="M55" s="1142"/>
      <c r="N55" s="1142"/>
      <c r="O55" s="1142"/>
    </row>
    <row r="56" spans="1:15" s="691" customFormat="1">
      <c r="A56" s="687" t="s">
        <v>2753</v>
      </c>
      <c r="B56" s="688">
        <f>C48</f>
        <v>38438</v>
      </c>
      <c r="C56" s="689">
        <v>1</v>
      </c>
      <c r="D56" s="1161">
        <v>1</v>
      </c>
      <c r="E56" s="689">
        <f>'数据-汇总表'!E8+'数据-汇总表'!E9</f>
        <v>31749.659999999996</v>
      </c>
      <c r="F56" s="1101">
        <f t="shared" ref="F56:F65" si="14">ROUND(B56*E56/10000,0)</f>
        <v>122039</v>
      </c>
      <c r="G56" s="3238"/>
      <c r="H56" s="3214"/>
      <c r="I56" s="1106">
        <v>1</v>
      </c>
      <c r="J56" s="1109">
        <v>1</v>
      </c>
      <c r="K56" s="1143"/>
      <c r="L56" s="939"/>
      <c r="M56" s="939"/>
      <c r="N56" s="939"/>
      <c r="O56" s="939"/>
    </row>
    <row r="57" spans="1:15" s="691" customFormat="1">
      <c r="A57" s="692" t="s">
        <v>2754</v>
      </c>
      <c r="B57" s="262">
        <f>ROUND($C$48*C57*D57,0)</f>
        <v>5766</v>
      </c>
      <c r="C57" s="200">
        <f t="shared" ref="C57:C65" si="15">IF($C$55="北京市系数",I57,J57)</f>
        <v>0.6</v>
      </c>
      <c r="D57" s="1162">
        <v>0.25</v>
      </c>
      <c r="E57" s="693"/>
      <c r="F57" s="1101">
        <f t="shared" si="14"/>
        <v>0</v>
      </c>
      <c r="G57" s="3239" t="s">
        <v>2755</v>
      </c>
      <c r="H57" s="1102" t="str">
        <f>项目基本情况!B37</f>
        <v>八级</v>
      </c>
      <c r="I57" s="1106">
        <f>SUMIF(修正!A45:A56,H57,修正!B45:B56)</f>
        <v>0.6</v>
      </c>
      <c r="J57" s="1110"/>
      <c r="K57" s="1142"/>
      <c r="L57" s="939"/>
      <c r="M57" s="939"/>
      <c r="N57" s="939"/>
      <c r="O57" s="939"/>
    </row>
    <row r="58" spans="1:15" s="691" customFormat="1">
      <c r="A58" s="692" t="s">
        <v>2756</v>
      </c>
      <c r="B58" s="262">
        <f t="shared" ref="B58:B65" si="16">ROUND($C$48*C58*D58,0)</f>
        <v>2883</v>
      </c>
      <c r="C58" s="200">
        <f t="shared" si="15"/>
        <v>0.3</v>
      </c>
      <c r="D58" s="1162">
        <v>0.25</v>
      </c>
      <c r="E58" s="693"/>
      <c r="F58" s="1101">
        <f t="shared" si="14"/>
        <v>0</v>
      </c>
      <c r="G58" s="3239"/>
      <c r="H58" s="1102" t="str">
        <f>项目基本情况!B37</f>
        <v>八级</v>
      </c>
      <c r="I58" s="1106">
        <f>SUMIF(修正!A45:A56,H58,修正!C45:C56)</f>
        <v>0.3</v>
      </c>
      <c r="J58" s="1110"/>
      <c r="K58" s="1143"/>
      <c r="L58" s="939"/>
      <c r="M58" s="939"/>
      <c r="N58" s="939"/>
      <c r="O58" s="939"/>
    </row>
    <row r="59" spans="1:15" s="691" customFormat="1">
      <c r="A59" s="692" t="s">
        <v>2757</v>
      </c>
      <c r="B59" s="262">
        <f t="shared" si="16"/>
        <v>1922</v>
      </c>
      <c r="C59" s="200">
        <f t="shared" si="15"/>
        <v>0.2</v>
      </c>
      <c r="D59" s="1162">
        <v>0.25</v>
      </c>
      <c r="E59" s="693"/>
      <c r="F59" s="1101">
        <f t="shared" si="14"/>
        <v>0</v>
      </c>
      <c r="G59" s="3239"/>
      <c r="H59" s="1102" t="str">
        <f>项目基本情况!B37</f>
        <v>八级</v>
      </c>
      <c r="I59" s="1106">
        <f>SUMIF(修正!A45:A56,H59,修正!D45:D56)</f>
        <v>0.2</v>
      </c>
      <c r="J59" s="1110"/>
      <c r="K59" s="1142"/>
      <c r="L59" s="939"/>
      <c r="M59" s="939"/>
      <c r="N59" s="939"/>
      <c r="O59" s="939"/>
    </row>
    <row r="60" spans="1:15" s="691" customFormat="1">
      <c r="A60" s="692" t="s">
        <v>2758</v>
      </c>
      <c r="B60" s="262">
        <f t="shared" si="16"/>
        <v>1922</v>
      </c>
      <c r="C60" s="200">
        <f t="shared" si="15"/>
        <v>0.2</v>
      </c>
      <c r="D60" s="1162">
        <v>0.25</v>
      </c>
      <c r="E60" s="693"/>
      <c r="F60" s="1101">
        <f t="shared" si="14"/>
        <v>0</v>
      </c>
      <c r="G60" s="3239"/>
      <c r="H60" s="1102" t="str">
        <f>项目基本情况!B37</f>
        <v>八级</v>
      </c>
      <c r="I60" s="1106">
        <f>SUMIF(修正!A45:A56,H60,修正!E45:E56)</f>
        <v>0.2</v>
      </c>
      <c r="J60" s="1110"/>
      <c r="K60" s="1143"/>
      <c r="L60" s="939"/>
      <c r="M60" s="939"/>
      <c r="N60" s="939"/>
      <c r="O60" s="939"/>
    </row>
    <row r="61" spans="1:15" s="691" customFormat="1">
      <c r="A61" s="692" t="s">
        <v>2759</v>
      </c>
      <c r="B61" s="262">
        <f t="shared" si="16"/>
        <v>1922</v>
      </c>
      <c r="C61" s="200">
        <f t="shared" si="15"/>
        <v>0.2</v>
      </c>
      <c r="D61" s="1162">
        <v>0.25</v>
      </c>
      <c r="E61" s="261">
        <f>'数据-汇总表'!E11</f>
        <v>0</v>
      </c>
      <c r="F61" s="1101">
        <f t="shared" si="14"/>
        <v>0</v>
      </c>
      <c r="G61" s="2699" t="s">
        <v>2760</v>
      </c>
      <c r="H61" s="1102" t="str">
        <f>项目基本情况!C37</f>
        <v>八级</v>
      </c>
      <c r="I61" s="1106">
        <f>SUMIF(修正!A45:A56,H61,修正!F45:F56)</f>
        <v>0.2</v>
      </c>
      <c r="J61" s="1110"/>
      <c r="K61" s="1142"/>
      <c r="L61" s="939"/>
      <c r="M61" s="939"/>
      <c r="N61" s="939"/>
      <c r="O61" s="939"/>
    </row>
    <row r="62" spans="1:15" s="691" customFormat="1">
      <c r="A62" s="692" t="s">
        <v>2761</v>
      </c>
      <c r="B62" s="262">
        <f t="shared" si="16"/>
        <v>1922</v>
      </c>
      <c r="C62" s="200">
        <f t="shared" si="15"/>
        <v>0.2</v>
      </c>
      <c r="D62" s="1162">
        <v>0.25</v>
      </c>
      <c r="E62" s="261">
        <f>'数据-汇总表'!E12</f>
        <v>0</v>
      </c>
      <c r="F62" s="1101">
        <f t="shared" si="14"/>
        <v>0</v>
      </c>
      <c r="G62" s="1107" t="s">
        <v>2762</v>
      </c>
      <c r="H62" s="1102" t="str">
        <f>IF(G62="商业",项目基本情况!B37,IF(G62="办公",项目基本情况!C37,IF(G62="住宅",项目基本情况!D37,项目基本情况!E37)))</f>
        <v>八级</v>
      </c>
      <c r="I62" s="1106">
        <f>SUMIF(修正!A45:A56,H62,修正!G45:G56)</f>
        <v>0.2</v>
      </c>
      <c r="J62" s="1110"/>
      <c r="K62" s="1143"/>
      <c r="L62" s="939"/>
      <c r="M62" s="939"/>
      <c r="N62" s="939"/>
      <c r="O62" s="939"/>
    </row>
    <row r="63" spans="1:15" s="691" customFormat="1">
      <c r="A63" s="692" t="s">
        <v>2763</v>
      </c>
      <c r="B63" s="262">
        <f t="shared" si="16"/>
        <v>1441</v>
      </c>
      <c r="C63" s="200">
        <f t="shared" si="15"/>
        <v>0.15</v>
      </c>
      <c r="D63" s="1162">
        <v>0.25</v>
      </c>
      <c r="E63" s="261">
        <f>'数据-汇总表'!E13</f>
        <v>0</v>
      </c>
      <c r="F63" s="1101">
        <f t="shared" si="14"/>
        <v>0</v>
      </c>
      <c r="G63" s="1107" t="s">
        <v>2764</v>
      </c>
      <c r="H63" s="1102" t="str">
        <f>IF(G63="商业",项目基本情况!B37,IF(G63="办公",项目基本情况!C37,IF(G63="住宅",项目基本情况!D37,项目基本情况!E37)))</f>
        <v>八级</v>
      </c>
      <c r="I63" s="1106">
        <f>SUMIF(修正!A45:A56,H63,修正!H45:H56)</f>
        <v>0.15</v>
      </c>
      <c r="J63" s="1110"/>
      <c r="K63" s="1142"/>
      <c r="L63" s="939"/>
      <c r="M63" s="939"/>
      <c r="N63" s="939"/>
      <c r="O63" s="939"/>
    </row>
    <row r="64" spans="1:15" s="691" customFormat="1">
      <c r="A64" s="692" t="s">
        <v>2765</v>
      </c>
      <c r="B64" s="262">
        <f t="shared" si="16"/>
        <v>1441</v>
      </c>
      <c r="C64" s="200">
        <f t="shared" si="15"/>
        <v>0.15</v>
      </c>
      <c r="D64" s="1162">
        <v>0.25</v>
      </c>
      <c r="E64" s="261">
        <f>'数据-汇总表'!E14</f>
        <v>0</v>
      </c>
      <c r="F64" s="1101">
        <f t="shared" si="14"/>
        <v>0</v>
      </c>
      <c r="G64" s="2699" t="s">
        <v>2755</v>
      </c>
      <c r="H64" s="1102" t="str">
        <f>项目基本情况!B37</f>
        <v>八级</v>
      </c>
      <c r="I64" s="1106">
        <f>SUMIF(修正!A45:A56,H64,修正!H45:H56)</f>
        <v>0.15</v>
      </c>
      <c r="J64" s="1110"/>
      <c r="K64" s="1143"/>
      <c r="L64" s="939"/>
      <c r="M64" s="939"/>
      <c r="N64" s="939"/>
      <c r="O64" s="939"/>
    </row>
    <row r="65" spans="1:17" s="691" customFormat="1" ht="15" thickBot="1">
      <c r="A65" s="692" t="s">
        <v>2766</v>
      </c>
      <c r="B65" s="262">
        <f t="shared" si="16"/>
        <v>1441</v>
      </c>
      <c r="C65" s="200">
        <f t="shared" si="15"/>
        <v>0.15</v>
      </c>
      <c r="D65" s="1162">
        <v>0.25</v>
      </c>
      <c r="E65" s="261">
        <f>'数据-汇总表'!E15</f>
        <v>0</v>
      </c>
      <c r="F65" s="1101">
        <f t="shared" si="14"/>
        <v>0</v>
      </c>
      <c r="G65" s="2700" t="s">
        <v>2760</v>
      </c>
      <c r="H65" s="1112" t="str">
        <f>项目基本情况!C37</f>
        <v>八级</v>
      </c>
      <c r="I65" s="1108">
        <f>SUMIF(修正!A45:A56,H65,修正!H45:H56)</f>
        <v>0.15</v>
      </c>
      <c r="J65" s="1111"/>
      <c r="K65" s="1142"/>
      <c r="L65" s="939"/>
      <c r="M65" s="939"/>
      <c r="N65" s="939"/>
      <c r="O65" s="939"/>
    </row>
    <row r="66" spans="1:17" s="691" customFormat="1" ht="13.5" thickBot="1">
      <c r="A66" s="694" t="s">
        <v>2767</v>
      </c>
      <c r="B66" s="695" t="s">
        <v>28</v>
      </c>
      <c r="C66" s="695" t="s">
        <v>29</v>
      </c>
      <c r="D66" s="695" t="s">
        <v>1029</v>
      </c>
      <c r="E66" s="695">
        <f>IF(B46="楼面地价",SUM(E56:E65),'数据-汇总表'!D3)</f>
        <v>31749.659999999996</v>
      </c>
      <c r="F66" s="696">
        <f>IF(B46="楼面地价",SUM(F56:F65),ROUND(C48*E66/10000,0))</f>
        <v>122039</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2018-3-1</v>
      </c>
      <c r="D68" s="760">
        <f>EDATE(C68,-3)</f>
        <v>43070</v>
      </c>
      <c r="E68" s="760">
        <f>EDATE(D68,-3)</f>
        <v>42979</v>
      </c>
      <c r="F68" s="760">
        <f t="shared" ref="F68:O68" si="17">EDATE(E68,-3)</f>
        <v>42887</v>
      </c>
      <c r="G68" s="760">
        <f t="shared" si="17"/>
        <v>42795</v>
      </c>
      <c r="H68" s="760">
        <f t="shared" si="17"/>
        <v>42705</v>
      </c>
      <c r="I68" s="760">
        <f t="shared" si="17"/>
        <v>42614</v>
      </c>
      <c r="J68" s="760">
        <f t="shared" si="17"/>
        <v>42522</v>
      </c>
      <c r="K68" s="760">
        <f t="shared" si="17"/>
        <v>42430</v>
      </c>
      <c r="L68" s="760">
        <f t="shared" si="17"/>
        <v>42339</v>
      </c>
      <c r="M68" s="760">
        <f t="shared" si="17"/>
        <v>42248</v>
      </c>
      <c r="N68" s="760">
        <f t="shared" si="17"/>
        <v>42156</v>
      </c>
      <c r="O68" s="760">
        <f t="shared" si="17"/>
        <v>42064</v>
      </c>
    </row>
    <row r="69" spans="1:17" ht="21.75" thickBot="1">
      <c r="A69" s="762" t="s">
        <v>2660</v>
      </c>
      <c r="B69" s="758"/>
      <c r="C69" s="763"/>
      <c r="D69" s="763"/>
      <c r="E69" s="763"/>
      <c r="F69" s="764"/>
      <c r="G69" s="764"/>
      <c r="H69" s="763"/>
      <c r="I69" s="763"/>
      <c r="J69" s="1157"/>
      <c r="K69" s="1158"/>
      <c r="L69" s="1159"/>
      <c r="M69" s="1157"/>
      <c r="N69" s="1157"/>
      <c r="O69" s="1157"/>
      <c r="P69" s="503"/>
      <c r="Q69" s="504"/>
    </row>
    <row r="70" spans="1:17" s="508" customFormat="1" ht="15">
      <c r="A70" s="2701" t="s">
        <v>2768</v>
      </c>
      <c r="B70" s="1357"/>
      <c r="C70" s="1570" t="str">
        <f>YEAR(C68)&amp;"-"&amp;ROUNDUP(MONTH(C68)/3,0)</f>
        <v>2018-1</v>
      </c>
      <c r="D70" s="1570" t="str">
        <f>YEAR(D68)&amp;"-"&amp;ROUNDUP(MONTH(D68)/3,0)</f>
        <v>2017-4</v>
      </c>
      <c r="E70" s="1570" t="str">
        <f t="shared" ref="E70:O70" si="18">YEAR(E68)&amp;"-"&amp;ROUNDUP(MONTH(E68)/3,0)</f>
        <v>2017-3</v>
      </c>
      <c r="F70" s="1570" t="str">
        <f t="shared" si="18"/>
        <v>2017-2</v>
      </c>
      <c r="G70" s="1570" t="str">
        <f t="shared" si="18"/>
        <v>2017-1</v>
      </c>
      <c r="H70" s="1570" t="str">
        <f t="shared" si="18"/>
        <v>2016-4</v>
      </c>
      <c r="I70" s="1570" t="str">
        <f t="shared" si="18"/>
        <v>2016-3</v>
      </c>
      <c r="J70" s="1570" t="str">
        <f t="shared" si="18"/>
        <v>2016-2</v>
      </c>
      <c r="K70" s="1570" t="str">
        <f t="shared" si="18"/>
        <v>2016-1</v>
      </c>
      <c r="L70" s="1570" t="str">
        <f t="shared" si="18"/>
        <v>2015-4</v>
      </c>
      <c r="M70" s="1570" t="str">
        <f t="shared" si="18"/>
        <v>2015-3</v>
      </c>
      <c r="N70" s="1570" t="str">
        <f t="shared" si="18"/>
        <v>2015-2</v>
      </c>
      <c r="O70" s="1570" t="str">
        <f t="shared" si="18"/>
        <v>2015-1</v>
      </c>
      <c r="P70" s="507"/>
    </row>
    <row r="71" spans="1:17" s="117" customFormat="1" ht="30" customHeight="1">
      <c r="A71" s="2702" t="s">
        <v>2769</v>
      </c>
      <c r="B71" s="332" t="str">
        <f>"北京市平均增长率"&amp;TEXT(SUMIF(基准地价修正!N21:N25,A71,基准地价修正!P21:P25),"0.00%")</f>
        <v>北京市平均增长率2.55%</v>
      </c>
      <c r="C71" s="603">
        <v>100</v>
      </c>
      <c r="D71" s="595">
        <f>C71-1</f>
        <v>99</v>
      </c>
      <c r="E71" s="595">
        <f t="shared" ref="E71:L71" si="19">D71-1</f>
        <v>98</v>
      </c>
      <c r="F71" s="595">
        <f t="shared" si="19"/>
        <v>97</v>
      </c>
      <c r="G71" s="595">
        <f t="shared" si="19"/>
        <v>96</v>
      </c>
      <c r="H71" s="595">
        <f t="shared" si="19"/>
        <v>95</v>
      </c>
      <c r="I71" s="595">
        <f t="shared" si="19"/>
        <v>94</v>
      </c>
      <c r="J71" s="595">
        <f t="shared" si="19"/>
        <v>93</v>
      </c>
      <c r="K71" s="595">
        <f t="shared" si="19"/>
        <v>92</v>
      </c>
      <c r="L71" s="595">
        <f t="shared" si="19"/>
        <v>91</v>
      </c>
      <c r="M71" s="1565"/>
      <c r="N71" s="595"/>
      <c r="O71" s="1566"/>
      <c r="P71" s="504"/>
    </row>
    <row r="72" spans="1:17" s="117" customFormat="1" ht="15.75" thickBot="1">
      <c r="A72" s="515" t="s">
        <v>2571</v>
      </c>
      <c r="B72" s="516"/>
      <c r="C72" s="517"/>
      <c r="D72" s="518"/>
      <c r="E72" s="518"/>
      <c r="F72" s="518"/>
      <c r="G72" s="518"/>
      <c r="H72" s="518"/>
      <c r="I72" s="518"/>
      <c r="J72" s="518"/>
      <c r="K72" s="518"/>
      <c r="L72" s="518"/>
      <c r="M72" s="519"/>
      <c r="N72" s="518"/>
      <c r="O72" s="1160"/>
      <c r="P72" s="504"/>
      <c r="Q72" s="504"/>
    </row>
    <row r="73" spans="1:17" s="117" customFormat="1" ht="15">
      <c r="A73" s="521" t="s">
        <v>2536</v>
      </c>
      <c r="B73" s="510"/>
      <c r="C73" s="522" t="s">
        <v>2638</v>
      </c>
      <c r="D73" s="2968">
        <v>41120</v>
      </c>
      <c r="E73" s="523"/>
      <c r="F73" s="523"/>
      <c r="G73" s="523"/>
      <c r="H73" s="523"/>
      <c r="I73" s="523"/>
      <c r="J73" s="523"/>
      <c r="K73" s="523"/>
      <c r="L73" s="524"/>
      <c r="M73" s="525"/>
      <c r="N73" s="1149"/>
      <c r="O73" s="1149"/>
      <c r="P73" s="526"/>
      <c r="Q73" s="504"/>
    </row>
    <row r="74" spans="1:17" s="117" customFormat="1" ht="15.75" thickBot="1">
      <c r="A74" s="521"/>
      <c r="B74" s="510"/>
      <c r="C74" s="638">
        <v>100</v>
      </c>
      <c r="D74" s="512"/>
      <c r="E74" s="512"/>
      <c r="F74" s="512"/>
      <c r="G74" s="512"/>
      <c r="H74" s="512"/>
      <c r="I74" s="512"/>
      <c r="J74" s="512"/>
      <c r="K74" s="512"/>
      <c r="L74" s="512"/>
      <c r="M74" s="514"/>
      <c r="N74" s="1149"/>
      <c r="O74" s="1149"/>
      <c r="P74" s="504"/>
      <c r="Q74" s="504"/>
    </row>
    <row r="75" spans="1:17" ht="27">
      <c r="A75" s="527" t="s">
        <v>2574</v>
      </c>
      <c r="B75" s="528" t="s">
        <v>2540</v>
      </c>
      <c r="C75" s="2949" t="s">
        <v>3151</v>
      </c>
      <c r="D75" s="2949" t="s">
        <v>3152</v>
      </c>
      <c r="E75" s="530"/>
      <c r="F75" s="530"/>
      <c r="G75" s="530"/>
      <c r="H75" s="530"/>
      <c r="I75" s="530"/>
      <c r="J75" s="530"/>
      <c r="K75" s="531"/>
      <c r="L75" s="532"/>
      <c r="M75" s="533"/>
      <c r="N75" s="1150"/>
      <c r="O75" s="1150"/>
      <c r="P75" s="45"/>
      <c r="Q75" s="504"/>
    </row>
    <row r="76" spans="1:17" ht="15.75" thickBot="1">
      <c r="A76" s="534"/>
      <c r="B76" s="535"/>
      <c r="C76" s="536">
        <v>100</v>
      </c>
      <c r="D76" s="536">
        <v>95</v>
      </c>
      <c r="E76" s="536"/>
      <c r="F76" s="536"/>
      <c r="G76" s="536"/>
      <c r="H76" s="536"/>
      <c r="I76" s="536"/>
      <c r="J76" s="536"/>
      <c r="K76" s="536"/>
      <c r="L76" s="536"/>
      <c r="M76" s="537"/>
      <c r="N76" s="1151"/>
      <c r="O76" s="1151"/>
      <c r="P76" s="45"/>
      <c r="Q76" s="504"/>
    </row>
    <row r="77" spans="1:17" ht="27.75" thickTop="1">
      <c r="A77" s="534"/>
      <c r="B77" s="538" t="s">
        <v>2543</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v>0</v>
      </c>
      <c r="D80" s="549">
        <v>1</v>
      </c>
      <c r="E80" s="549">
        <v>2</v>
      </c>
      <c r="F80" s="549">
        <v>3</v>
      </c>
      <c r="G80" s="549">
        <v>4</v>
      </c>
      <c r="H80" s="549">
        <v>5</v>
      </c>
      <c r="I80" s="549">
        <v>6</v>
      </c>
      <c r="J80" s="549"/>
      <c r="K80" s="550"/>
      <c r="L80" s="551"/>
      <c r="M80" s="552"/>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t="s">
        <v>3258</v>
      </c>
      <c r="D82" s="2952" t="s">
        <v>3259</v>
      </c>
      <c r="E82" s="554"/>
      <c r="F82" s="554"/>
      <c r="G82" s="554"/>
      <c r="H82" s="555"/>
      <c r="I82" s="555"/>
      <c r="J82" s="555"/>
      <c r="K82" s="555"/>
      <c r="L82" s="556"/>
      <c r="M82" s="557"/>
      <c r="N82" s="1152"/>
      <c r="O82" s="1152"/>
      <c r="P82" s="558"/>
      <c r="Q82" s="559"/>
    </row>
    <row r="83" spans="1:17" s="471" customFormat="1" ht="15.75" thickBot="1">
      <c r="A83" s="553"/>
      <c r="B83" s="543"/>
      <c r="C83" s="560">
        <v>100</v>
      </c>
      <c r="D83" s="536">
        <v>88</v>
      </c>
      <c r="E83" s="536"/>
      <c r="F83" s="536"/>
      <c r="G83" s="536"/>
      <c r="H83" s="536"/>
      <c r="I83" s="536"/>
      <c r="J83" s="536"/>
      <c r="K83" s="536"/>
      <c r="L83" s="536"/>
      <c r="M83" s="537"/>
      <c r="N83" s="1151"/>
      <c r="O83" s="1151"/>
      <c r="P83" s="558"/>
      <c r="Q83" s="559"/>
    </row>
    <row r="84" spans="1:17" s="471" customFormat="1" ht="15.75" thickTop="1">
      <c r="A84" s="553"/>
      <c r="B84" s="538">
        <f>B13</f>
        <v>0</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0</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0"/>
      <c r="O88" s="1150"/>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1"/>
      <c r="O89" s="1151"/>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0"/>
      <c r="O94" s="1150"/>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1"/>
      <c r="O95" s="1151"/>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7"/>
      <c r="M96" s="621"/>
      <c r="N96" s="1149"/>
      <c r="O96" s="1149"/>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1"/>
      <c r="O97" s="1151"/>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1"/>
      <c r="N98" s="1149"/>
      <c r="O98" s="1149"/>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1"/>
      <c r="O99" s="1151"/>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2"/>
      <c r="O100" s="1152"/>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2"/>
      <c r="O101" s="1152"/>
      <c r="P101" s="558"/>
      <c r="Q101" s="559"/>
    </row>
    <row r="102" spans="1:17" s="471" customFormat="1" ht="15.75" thickTop="1">
      <c r="A102" s="553"/>
      <c r="B102" s="546" t="s">
        <v>2641</v>
      </c>
      <c r="C102" s="659" t="s">
        <v>2661</v>
      </c>
      <c r="D102" s="659" t="s">
        <v>2662</v>
      </c>
      <c r="E102" s="659" t="s">
        <v>2663</v>
      </c>
      <c r="F102" s="659" t="s">
        <v>2664</v>
      </c>
      <c r="G102" s="659" t="s">
        <v>2665</v>
      </c>
      <c r="H102" s="600"/>
      <c r="I102" s="600"/>
      <c r="J102" s="600"/>
      <c r="K102" s="600"/>
      <c r="L102" s="600"/>
      <c r="M102" s="1383"/>
      <c r="N102" s="1152"/>
      <c r="O102" s="1152"/>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3"/>
      <c r="N103" s="1152"/>
      <c r="O103" s="1152"/>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0"/>
      <c r="O104" s="1150"/>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1"/>
      <c r="O105" s="1151"/>
      <c r="P105" s="45"/>
      <c r="Q105" s="504"/>
    </row>
    <row r="106" spans="1:17" ht="27.75" thickTop="1">
      <c r="A106" s="534"/>
      <c r="B106" s="538" t="s">
        <v>2677</v>
      </c>
      <c r="C106" s="2953" t="s">
        <v>3160</v>
      </c>
      <c r="D106" s="2953" t="s">
        <v>3161</v>
      </c>
      <c r="E106" s="2953" t="s">
        <v>3162</v>
      </c>
      <c r="F106" s="2953" t="s">
        <v>3163</v>
      </c>
      <c r="G106" s="2953" t="s">
        <v>3164</v>
      </c>
      <c r="H106" s="583"/>
      <c r="I106" s="583"/>
      <c r="J106" s="583"/>
      <c r="K106" s="584"/>
      <c r="L106" s="585"/>
      <c r="M106" s="586"/>
      <c r="N106" s="1150"/>
      <c r="O106" s="1150"/>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1"/>
      <c r="O107" s="1151"/>
      <c r="P107" s="45"/>
      <c r="Q107" s="504"/>
    </row>
    <row r="108" spans="1:17" ht="15.75" thickTop="1">
      <c r="A108" s="534"/>
      <c r="B108" s="538" t="s">
        <v>2736</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4"/>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6"/>
      <c r="E115" s="676"/>
      <c r="F115" s="676"/>
      <c r="G115" s="676"/>
      <c r="H115" s="676"/>
      <c r="I115" s="676"/>
      <c r="J115" s="676"/>
      <c r="K115" s="676"/>
      <c r="L115" s="676"/>
      <c r="M115" s="698"/>
      <c r="N115" s="1151"/>
      <c r="O115" s="1151"/>
      <c r="P115" s="558"/>
      <c r="Q115" s="559"/>
    </row>
    <row r="116" spans="1:17" ht="28.5">
      <c r="A116" s="527" t="s">
        <v>2549</v>
      </c>
      <c r="B116" s="528" t="s">
        <v>2777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40000(含)-80000</v>
      </c>
      <c r="H116" s="529" t="str">
        <f t="shared" si="25"/>
        <v>80000(含)-120000</v>
      </c>
      <c r="I116" s="529" t="str">
        <f t="shared" si="25"/>
        <v>120000(含)-160000</v>
      </c>
      <c r="J116" s="529" t="str">
        <f t="shared" si="25"/>
        <v>160000(含)-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80000</v>
      </c>
      <c r="I117" s="595">
        <v>120000</v>
      </c>
      <c r="J117" s="596">
        <v>160000</v>
      </c>
      <c r="K117" s="596"/>
      <c r="L117" s="597"/>
      <c r="M117" s="598"/>
      <c r="N117" s="1150"/>
      <c r="O117" s="1150"/>
      <c r="P117" s="45"/>
      <c r="Q117" s="504"/>
    </row>
    <row r="118" spans="1:17" ht="15.75" thickBot="1">
      <c r="A118" s="534"/>
      <c r="B118" s="543"/>
      <c r="C118" s="570">
        <v>100</v>
      </c>
      <c r="D118" s="591">
        <v>101</v>
      </c>
      <c r="E118" s="591">
        <v>102</v>
      </c>
      <c r="F118" s="591">
        <v>103</v>
      </c>
      <c r="G118" s="591">
        <v>104</v>
      </c>
      <c r="H118" s="591">
        <v>105</v>
      </c>
      <c r="I118" s="591">
        <v>106</v>
      </c>
      <c r="J118" s="591">
        <v>107</v>
      </c>
      <c r="K118" s="591"/>
      <c r="L118" s="591"/>
      <c r="M118" s="592"/>
      <c r="N118" s="1151"/>
      <c r="O118" s="1151"/>
      <c r="P118" s="45"/>
      <c r="Q118" s="504"/>
    </row>
    <row r="119" spans="1:17" ht="15" thickTop="1">
      <c r="A119" s="599"/>
      <c r="B119" s="538" t="s">
        <v>2778</v>
      </c>
      <c r="C119" s="2956" t="s">
        <v>3172</v>
      </c>
      <c r="D119" s="2956" t="s">
        <v>3174</v>
      </c>
      <c r="E119" s="2954" t="s">
        <v>3169</v>
      </c>
      <c r="F119" s="2954" t="s">
        <v>3170</v>
      </c>
      <c r="G119" s="2954" t="s">
        <v>3171</v>
      </c>
      <c r="H119" s="583"/>
      <c r="I119" s="583"/>
      <c r="J119" s="583"/>
      <c r="K119" s="584"/>
      <c r="L119" s="585"/>
      <c r="M119" s="586"/>
      <c r="N119" s="1150"/>
      <c r="O119" s="1150"/>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1"/>
      <c r="O120" s="1151"/>
      <c r="P120" s="45"/>
      <c r="Q120" s="504"/>
    </row>
    <row r="121" spans="1:17" ht="15" thickTop="1">
      <c r="A121" s="599"/>
      <c r="B121" s="538" t="s">
        <v>2779</v>
      </c>
      <c r="C121" s="2956" t="s">
        <v>3175</v>
      </c>
      <c r="D121" s="2956" t="s">
        <v>3177</v>
      </c>
      <c r="E121" s="2954" t="s">
        <v>3169</v>
      </c>
      <c r="F121" s="2954" t="s">
        <v>3170</v>
      </c>
      <c r="G121" s="2954" t="s">
        <v>3171</v>
      </c>
      <c r="H121" s="583"/>
      <c r="I121" s="583"/>
      <c r="J121" s="583"/>
      <c r="K121" s="584"/>
      <c r="L121" s="585"/>
      <c r="M121" s="586"/>
      <c r="N121" s="1150"/>
      <c r="O121" s="1150"/>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1"/>
      <c r="O122" s="1151"/>
      <c r="P122" s="45"/>
      <c r="Q122" s="504"/>
    </row>
    <row r="123" spans="1:17" s="471" customFormat="1" ht="15" thickTop="1">
      <c r="A123" s="593"/>
      <c r="B123" s="538" t="s">
        <v>2780</v>
      </c>
      <c r="C123" s="2955" t="s">
        <v>2661</v>
      </c>
      <c r="D123" s="2955" t="s">
        <v>2662</v>
      </c>
      <c r="E123" s="2955" t="s">
        <v>2663</v>
      </c>
      <c r="F123" s="2955" t="s">
        <v>2664</v>
      </c>
      <c r="G123" s="2955" t="s">
        <v>2665</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2781</v>
      </c>
      <c r="C125" s="2954" t="s">
        <v>3167</v>
      </c>
      <c r="D125" s="2954" t="s">
        <v>3168</v>
      </c>
      <c r="E125" s="2954" t="s">
        <v>3169</v>
      </c>
      <c r="F125" s="2954" t="s">
        <v>3170</v>
      </c>
      <c r="G125" s="2954" t="s">
        <v>3171</v>
      </c>
      <c r="H125" s="583"/>
      <c r="I125" s="583"/>
      <c r="J125" s="583"/>
      <c r="K125" s="584"/>
      <c r="L125" s="585"/>
      <c r="M125" s="586"/>
      <c r="N125" s="1150"/>
      <c r="O125" s="1150"/>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699"/>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0" t="str">
        <f>项目基本情况!B1</f>
        <v>北京市大兴区黄村镇四街、五街、六街村项目DX00-0208-6001地块4、6-10号楼住宅、地下仓储、地下车库用房出让国有建设用地使用权及在建建筑物房地产抵押价值预评估</v>
      </c>
      <c r="C37" s="3010"/>
      <c r="D37" s="3010"/>
      <c r="E37" s="3010"/>
      <c r="F37" s="3010"/>
      <c r="G37" s="3010"/>
      <c r="H37" s="3010"/>
      <c r="I37" s="3010"/>
    </row>
    <row r="38" spans="1:9">
      <c r="A38" s="1014"/>
      <c r="B38" s="1014"/>
    </row>
    <row r="39" spans="1:9">
      <c r="A39" s="1012" t="s">
        <v>818</v>
      </c>
      <c r="B39" s="1012" t="s">
        <v>820</v>
      </c>
    </row>
    <row r="40" spans="1:9">
      <c r="A40" s="1012"/>
      <c r="B40" s="1940" t="str">
        <f>项目基本情况!B5</f>
        <v>北京绿地京翰房地产开发有限公司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欧红伟（注册号：1120000080)、崔锴（注册号：1120100036)</v>
      </c>
    </row>
    <row r="47" spans="1:9">
      <c r="A47" s="1012"/>
      <c r="B47" s="1012" t="str">
        <f>项目基本情况!K5</f>
        <v/>
      </c>
    </row>
    <row r="48" spans="1:9">
      <c r="A48" s="1012" t="s">
        <v>818</v>
      </c>
      <c r="B48" s="1012" t="s">
        <v>824</v>
      </c>
    </row>
    <row r="49" spans="2:2">
      <c r="B49" s="1940" t="str">
        <f>"康正预评字"&amp;项目基本情况!B2&amp;"号"</f>
        <v>康正预评字2018-1-0122号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H10" sqref="H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c r="C1" s="242"/>
      <c r="D1" s="242"/>
      <c r="E1" s="242"/>
      <c r="F1" s="242"/>
      <c r="G1" s="1377">
        <f>MATCH(B1,'数据-取费表'!A6:A16,0)+5</f>
        <v>7</v>
      </c>
    </row>
    <row r="2" spans="1:9" s="244" customFormat="1" ht="18" customHeight="1">
      <c r="A2" s="245" t="s">
        <v>2316</v>
      </c>
      <c r="B2" s="246">
        <f ca="1">IF(D2="——",C52,C52-E2)</f>
        <v>136024</v>
      </c>
      <c r="C2" s="243" t="s">
        <v>2317</v>
      </c>
      <c r="D2" s="2540" t="s">
        <v>70</v>
      </c>
      <c r="E2" s="1438" t="e">
        <f ca="1">SUMIF(INDIRECT("'"&amp;G2&amp;"'"&amp;"!A:A"),"承租人权益价值",INDIRECT("'"&amp;G2&amp;"'"&amp;"!c:c"))</f>
        <v>#REF!</v>
      </c>
      <c r="F2" s="2541" t="s">
        <v>2317</v>
      </c>
      <c r="G2" s="2542"/>
    </row>
    <row r="3" spans="1:9" s="244" customFormat="1" ht="18" customHeight="1" thickBot="1">
      <c r="A3" s="247" t="s">
        <v>2318</v>
      </c>
      <c r="B3" s="248">
        <f ca="1">ROUND(B2*10000/(IF(B1="",'数据-汇总表'!E3,INDIRECT("'数据-取费表'!k"&amp;$G$1))),0)</f>
        <v>42570</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126273</v>
      </c>
      <c r="D5" s="255" t="s">
        <v>2323</v>
      </c>
      <c r="E5" s="256" t="s">
        <v>2324</v>
      </c>
      <c r="F5" s="256" t="s">
        <v>2325</v>
      </c>
      <c r="G5" s="257"/>
    </row>
    <row r="6" spans="1:9" s="258" customFormat="1" ht="13.5" customHeight="1">
      <c r="A6" s="947" t="s">
        <v>2326</v>
      </c>
      <c r="B6" s="259" t="s">
        <v>2327</v>
      </c>
      <c r="C6" s="260">
        <f>'土地比较法-住宅、综合'!B2</f>
        <v>122039</v>
      </c>
      <c r="D6" s="261"/>
      <c r="E6" s="262"/>
      <c r="F6" s="262"/>
      <c r="G6" s="263"/>
    </row>
    <row r="7" spans="1:9" s="258" customFormat="1" ht="13.5" customHeight="1">
      <c r="A7" s="947" t="s">
        <v>2328</v>
      </c>
      <c r="B7" s="259" t="s">
        <v>2329</v>
      </c>
      <c r="C7" s="264">
        <f>ROUND(C6*F7,0)</f>
        <v>3722</v>
      </c>
      <c r="D7" s="264"/>
      <c r="E7" s="262"/>
      <c r="F7" s="265">
        <f>'数据-取费表'!B48+'数据-取费表'!B49</f>
        <v>3.0499999999999999E-2</v>
      </c>
      <c r="G7" s="263"/>
    </row>
    <row r="8" spans="1:9" s="267" customFormat="1">
      <c r="A8" s="947" t="s">
        <v>2330</v>
      </c>
      <c r="B8" s="259" t="s">
        <v>2331</v>
      </c>
      <c r="C8" s="264">
        <f ca="1">IF(G8="已包含在土地购买价格中","0",IF(B1="",'数据-取费表'!B29,IF(G9="全部缴纳",C9+C10,H9)))</f>
        <v>512</v>
      </c>
      <c r="D8" s="266"/>
      <c r="E8" s="264"/>
      <c r="F8" s="265"/>
      <c r="G8" s="2543" t="s">
        <v>3179</v>
      </c>
    </row>
    <row r="9" spans="1:9" s="258" customFormat="1" ht="13.5" customHeight="1">
      <c r="A9" s="948" t="s">
        <v>800</v>
      </c>
      <c r="B9" s="268" t="s">
        <v>2332</v>
      </c>
      <c r="C9" s="269">
        <f ca="1">ROUND(D9*E9/10000,0)</f>
        <v>508</v>
      </c>
      <c r="D9" s="1030">
        <f ca="1">IF(B1="",'数据-汇总表'!E5,IF(INDIRECT("'数据-取费表'!c"&amp;$G$1)="住宅",INDIRECT("'数据-取费表'!k"&amp;$G$1),0))</f>
        <v>31749.659999999996</v>
      </c>
      <c r="E9" s="269">
        <f>'数据-取费表'!B27</f>
        <v>160</v>
      </c>
      <c r="F9" s="265"/>
      <c r="G9" s="2544" t="s">
        <v>3181</v>
      </c>
      <c r="H9" s="1388">
        <v>742</v>
      </c>
      <c r="I9" s="2545" t="s">
        <v>2333</v>
      </c>
    </row>
    <row r="10" spans="1:9" s="258" customFormat="1" ht="13.5" customHeight="1">
      <c r="A10" s="948" t="s">
        <v>801</v>
      </c>
      <c r="B10" s="268" t="s">
        <v>2334</v>
      </c>
      <c r="C10" s="269">
        <f ca="1">ROUND(D10*E10/10000,0)</f>
        <v>4</v>
      </c>
      <c r="D10" s="1030">
        <f ca="1">IF(B1="",'数据-汇总表'!E6,IF(INDIRECT("'数据-取费表'!c"&amp;$G$1)="住宅",INDIRECT("'数据-取费表'!s"&amp;$G$1),INDIRECT("'数据-取费表'!k"&amp;$G$1)+INDIRECT("'数据-取费表'!s"&amp;$G$1)))</f>
        <v>203</v>
      </c>
      <c r="E10" s="269">
        <f>'数据-取费表'!B28</f>
        <v>200</v>
      </c>
      <c r="F10" s="265"/>
      <c r="G10" s="270"/>
    </row>
    <row r="11" spans="1:9" s="258" customFormat="1" ht="13.5" hidden="1" customHeight="1">
      <c r="A11" s="271" t="s">
        <v>7</v>
      </c>
      <c r="B11" s="259" t="s">
        <v>2335</v>
      </c>
      <c r="C11" s="255"/>
      <c r="D11" s="1032"/>
      <c r="E11" s="262"/>
      <c r="F11" s="262"/>
      <c r="G11" s="263"/>
    </row>
    <row r="12" spans="1:9" s="258" customFormat="1" ht="13.5" hidden="1" customHeight="1">
      <c r="A12" s="271" t="s">
        <v>8</v>
      </c>
      <c r="B12" s="259" t="s">
        <v>2336</v>
      </c>
      <c r="C12" s="255">
        <v>0</v>
      </c>
      <c r="D12" s="1032"/>
      <c r="E12" s="272"/>
      <c r="F12" s="265">
        <v>3.0499999999999999E-2</v>
      </c>
      <c r="G12" s="263"/>
    </row>
    <row r="13" spans="1:9" s="258" customFormat="1" ht="13.5" hidden="1" customHeight="1">
      <c r="A13" s="271" t="s">
        <v>9</v>
      </c>
      <c r="B13" s="259" t="s">
        <v>2337</v>
      </c>
      <c r="C13" s="255"/>
      <c r="D13" s="1032"/>
      <c r="E13" s="262"/>
      <c r="F13" s="262"/>
      <c r="G13" s="263"/>
    </row>
    <row r="14" spans="1:9" s="258" customFormat="1" ht="13.5" hidden="1" customHeight="1">
      <c r="A14" s="271" t="s">
        <v>10</v>
      </c>
      <c r="B14" s="259" t="s">
        <v>2338</v>
      </c>
      <c r="C14" s="255"/>
      <c r="D14" s="1032"/>
      <c r="E14" s="262"/>
      <c r="F14" s="262"/>
      <c r="G14" s="263" t="s">
        <v>2339</v>
      </c>
    </row>
    <row r="15" spans="1:9" s="258" customFormat="1" ht="13.5" hidden="1" customHeight="1">
      <c r="A15" s="271" t="s">
        <v>11</v>
      </c>
      <c r="B15" s="259" t="s">
        <v>2340</v>
      </c>
      <c r="C15" s="264"/>
      <c r="D15" s="1032"/>
      <c r="E15" s="262"/>
      <c r="F15" s="262"/>
      <c r="G15" s="263" t="s">
        <v>2341</v>
      </c>
    </row>
    <row r="16" spans="1:9" s="258" customFormat="1" ht="13.5" hidden="1" customHeight="1">
      <c r="A16" s="271" t="s">
        <v>12</v>
      </c>
      <c r="B16" s="259" t="s">
        <v>2338</v>
      </c>
      <c r="C16" s="264"/>
      <c r="D16" s="1032"/>
      <c r="E16" s="262"/>
      <c r="F16" s="262"/>
      <c r="G16" s="263"/>
    </row>
    <row r="17" spans="1:7" s="258" customFormat="1" ht="13.5" hidden="1" customHeight="1">
      <c r="A17" s="271" t="s">
        <v>13</v>
      </c>
      <c r="B17" s="259" t="s">
        <v>2342</v>
      </c>
      <c r="C17" s="273"/>
      <c r="D17" s="1033"/>
      <c r="E17" s="273"/>
      <c r="F17" s="273"/>
      <c r="G17" s="263" t="s">
        <v>2341</v>
      </c>
    </row>
    <row r="18" spans="1:7" s="258" customFormat="1" ht="13.5" hidden="1" customHeight="1">
      <c r="A18" s="271" t="s">
        <v>14</v>
      </c>
      <c r="B18" s="259" t="s">
        <v>2343</v>
      </c>
      <c r="C18" s="264">
        <v>0</v>
      </c>
      <c r="D18" s="1032"/>
      <c r="E18" s="262"/>
      <c r="F18" s="265">
        <v>3.0499999999999999E-2</v>
      </c>
      <c r="G18" s="263" t="s">
        <v>2344</v>
      </c>
    </row>
    <row r="19" spans="1:7" s="267" customFormat="1" ht="13.5" customHeight="1">
      <c r="A19" s="299" t="s">
        <v>2345</v>
      </c>
      <c r="B19" s="254" t="s">
        <v>2346</v>
      </c>
      <c r="C19" s="255" t="str">
        <f>IF(G19="已包含在土地取得成本中","0",ROUND(D19*E19/10000,0))</f>
        <v>0</v>
      </c>
      <c r="D19" s="1034">
        <f ca="1">D9+D10</f>
        <v>31952.659999999996</v>
      </c>
      <c r="E19" s="255">
        <f>'数据-取费表'!B31</f>
        <v>200</v>
      </c>
      <c r="F19" s="275"/>
      <c r="G19" s="2543" t="s">
        <v>3180</v>
      </c>
    </row>
    <row r="20" spans="1:7" s="258" customFormat="1" ht="13.5" customHeight="1">
      <c r="A20" s="299" t="s">
        <v>2347</v>
      </c>
      <c r="B20" s="254" t="s">
        <v>2348</v>
      </c>
      <c r="C20" s="276">
        <f ca="1">ROUND((C5+C19)*F20,0)</f>
        <v>1263</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2">
        <f ca="1">ROUND(SUM(C23:C25),0)</f>
        <v>0</v>
      </c>
      <c r="D22" s="279">
        <f ca="1">C26</f>
        <v>0</v>
      </c>
      <c r="E22" s="280" t="s">
        <v>2352</v>
      </c>
      <c r="F22" s="281">
        <f ca="1">'数据-取费表'!B40</f>
        <v>4.7500000000000001E-2</v>
      </c>
      <c r="G22" s="278" t="str">
        <f>IF('数据-取费表'!B22&lt;=1,"单利计息","复利计息")</f>
        <v>复利计息</v>
      </c>
    </row>
    <row r="23" spans="1:7" s="258" customFormat="1" ht="13.5" customHeight="1">
      <c r="A23" s="949" t="s">
        <v>2356</v>
      </c>
      <c r="B23" s="259" t="s">
        <v>2357</v>
      </c>
      <c r="C23" s="1353">
        <f ca="1">ROUND(IF('数据-取费表'!B22&lt;=1,C5*F22*'数据-取费表'!B23,C5*(POWER((1+F22),'数据-取费表'!B23)-1)),0)</f>
        <v>0</v>
      </c>
      <c r="D23" s="282"/>
      <c r="E23" s="282"/>
      <c r="F23" s="283"/>
      <c r="G23" s="284" t="s">
        <v>2358</v>
      </c>
    </row>
    <row r="24" spans="1:7" s="258" customFormat="1" ht="13.5" customHeight="1">
      <c r="A24" s="949" t="s">
        <v>2359</v>
      </c>
      <c r="B24" s="259" t="s">
        <v>2360</v>
      </c>
      <c r="C24" s="1353">
        <f ca="1">ROUND(IF('数据-取费表'!B22&lt;=1,C19*F22*('数据-取费表'!B19/2+'数据-取费表'!B21),C19*(POWER((1+F22),('数据-取费表'!B19/2+'数据-取费表'!B21))-1)),0)</f>
        <v>0</v>
      </c>
      <c r="D24" s="282"/>
      <c r="E24" s="282"/>
      <c r="F24" s="283"/>
      <c r="G24" s="284" t="s">
        <v>2361</v>
      </c>
    </row>
    <row r="25" spans="1:7" s="258" customFormat="1" ht="24">
      <c r="A25" s="949" t="s">
        <v>2362</v>
      </c>
      <c r="B25" s="259" t="s">
        <v>2363</v>
      </c>
      <c r="C25" s="1353">
        <f ca="1">ROUND(IF('数据-取费表'!B22&lt;=1,C20*F22*'数据-取费表'!B23/2,C20*(POWER((1+F22),'数据-取费表'!B23/2)-1)),0)</f>
        <v>0</v>
      </c>
      <c r="D25" s="282"/>
      <c r="E25" s="285"/>
      <c r="F25" s="283"/>
      <c r="G25" s="286" t="s">
        <v>2364</v>
      </c>
    </row>
    <row r="26" spans="1:7" s="258" customFormat="1">
      <c r="A26" s="949" t="s">
        <v>795</v>
      </c>
      <c r="B26" s="259" t="s">
        <v>2365</v>
      </c>
      <c r="C26" s="282">
        <f ca="1">ROUND(IF('数据-取费表'!B22&lt;=1,F21*F22*'数据-取费表'!B23/2,F21*(POWER((1+F22),'数据-取费表'!B23/2)-1)),4)</f>
        <v>0</v>
      </c>
      <c r="D26" s="282"/>
      <c r="E26" s="285"/>
      <c r="F26" s="283"/>
      <c r="G26" s="287"/>
    </row>
    <row r="27" spans="1:7" s="258" customFormat="1" ht="24.75">
      <c r="A27" s="299" t="s">
        <v>2366</v>
      </c>
      <c r="B27" s="288" t="s">
        <v>2367</v>
      </c>
      <c r="C27" s="289">
        <f ca="1">C28</f>
        <v>0</v>
      </c>
      <c r="D27" s="279">
        <f ca="1">C29</f>
        <v>0</v>
      </c>
      <c r="E27" s="280" t="s">
        <v>2368</v>
      </c>
      <c r="F27" s="290">
        <f ca="1">IF(B1="",'数据-取费表'!Q16,INDIRECT("'数据-取费表'!q"&amp;$G$1))</f>
        <v>0.15</v>
      </c>
      <c r="G27" s="291" t="s">
        <v>2369</v>
      </c>
    </row>
    <row r="28" spans="1:7" s="258" customFormat="1" ht="13.5" customHeight="1">
      <c r="A28" s="949" t="s">
        <v>791</v>
      </c>
      <c r="B28" s="292" t="s">
        <v>2370</v>
      </c>
      <c r="C28" s="293">
        <f ca="1">ROUND((C5+C19+C20)*F27*'数据-取费表'!B21/'数据-取费表'!B20,0)</f>
        <v>0</v>
      </c>
      <c r="D28" s="279"/>
      <c r="E28" s="280"/>
      <c r="F28" s="290"/>
      <c r="G28" s="291"/>
    </row>
    <row r="29" spans="1:7" s="258" customFormat="1" ht="13.5" customHeight="1">
      <c r="A29" s="949" t="s">
        <v>792</v>
      </c>
      <c r="B29" s="292" t="s">
        <v>2371</v>
      </c>
      <c r="C29" s="282">
        <f ca="1">ROUND(C21*F27*'数据-取费表'!B21/'数据-取费表'!B20,4)</f>
        <v>0</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136024</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0</v>
      </c>
      <c r="D33" s="276"/>
      <c r="E33" s="256"/>
      <c r="F33" s="285"/>
      <c r="G33" s="278"/>
    </row>
    <row r="34" spans="1:7" s="302" customFormat="1" ht="13.5" customHeight="1">
      <c r="A34" s="949" t="s">
        <v>791</v>
      </c>
      <c r="B34" s="259" t="s">
        <v>2379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2380</v>
      </c>
    </row>
    <row r="35" spans="1:7" ht="13.5" customHeight="1">
      <c r="A35" s="949" t="s">
        <v>796</v>
      </c>
      <c r="B35" s="259" t="s">
        <v>2381</v>
      </c>
      <c r="C35" s="264">
        <f ca="1">ROUND(C34*F35,0)</f>
        <v>0</v>
      </c>
      <c r="D35" s="264"/>
      <c r="E35" s="264"/>
      <c r="F35" s="303">
        <f>'数据-取费表'!B33</f>
        <v>0.03</v>
      </c>
      <c r="G35" s="263" t="s">
        <v>2382</v>
      </c>
    </row>
    <row r="36" spans="1:7" ht="24">
      <c r="A36" s="949"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2384</v>
      </c>
    </row>
    <row r="37" spans="1:7" s="302" customFormat="1" ht="13.5" customHeight="1">
      <c r="A37" s="949" t="s">
        <v>798</v>
      </c>
      <c r="B37" s="259" t="s">
        <v>2385</v>
      </c>
      <c r="C37" s="293">
        <f ca="1">ROUND(E37*D37*F34/10000,0)</f>
        <v>0</v>
      </c>
      <c r="D37" s="261">
        <f ca="1">D19</f>
        <v>31952.659999999996</v>
      </c>
      <c r="E37" s="293">
        <f>'数据-取费表'!B35</f>
        <v>200</v>
      </c>
      <c r="F37" s="303"/>
      <c r="G37" s="305" t="s">
        <v>2386</v>
      </c>
    </row>
    <row r="38" spans="1:7" ht="13.5" customHeight="1">
      <c r="A38" s="949" t="s">
        <v>799</v>
      </c>
      <c r="B38" s="259" t="s">
        <v>2387</v>
      </c>
      <c r="C38" s="264">
        <f ca="1">ROUND(C34*F38,0)</f>
        <v>0</v>
      </c>
      <c r="D38" s="264"/>
      <c r="E38" s="264"/>
      <c r="F38" s="303">
        <f>'数据-取费表'!B36</f>
        <v>1.4999999999999999E-2</v>
      </c>
      <c r="G38" s="263" t="s">
        <v>2382</v>
      </c>
    </row>
    <row r="39" spans="1:7" s="258" customFormat="1" ht="13.5" customHeight="1">
      <c r="A39" s="299" t="s">
        <v>2388</v>
      </c>
      <c r="B39" s="254" t="s">
        <v>2389</v>
      </c>
      <c r="C39" s="276">
        <f ca="1">ROUND(C33*F20,0)</f>
        <v>0</v>
      </c>
      <c r="D39" s="276"/>
      <c r="E39" s="276"/>
      <c r="F39" s="277"/>
      <c r="G39" s="278" t="s">
        <v>2390</v>
      </c>
    </row>
    <row r="40" spans="1:7" s="258" customFormat="1" ht="13.5" customHeight="1">
      <c r="A40" s="299" t="s">
        <v>2391</v>
      </c>
      <c r="B40" s="254" t="s">
        <v>2392</v>
      </c>
      <c r="C40" s="1726">
        <f>F21</f>
        <v>0.01</v>
      </c>
      <c r="D40" s="280" t="s">
        <v>2393</v>
      </c>
      <c r="E40" s="276"/>
      <c r="F40" s="277"/>
      <c r="G40" s="278" t="s">
        <v>2394</v>
      </c>
    </row>
    <row r="41" spans="1:7" s="258" customFormat="1" ht="13.5" customHeight="1">
      <c r="A41" s="299" t="s">
        <v>2395</v>
      </c>
      <c r="B41" s="254" t="s">
        <v>2396</v>
      </c>
      <c r="C41" s="276">
        <f ca="1">ROUND(SUM(C42:C43),0)</f>
        <v>0</v>
      </c>
      <c r="D41" s="279">
        <f ca="1">C44</f>
        <v>0</v>
      </c>
      <c r="E41" s="280" t="s">
        <v>2393</v>
      </c>
      <c r="F41" s="281"/>
      <c r="G41" s="278" t="str">
        <f>IF('数据-取费表'!B22&lt;=1,"单利计息","复利计息")</f>
        <v>复利计息</v>
      </c>
    </row>
    <row r="42" spans="1:7" ht="13.5" customHeight="1">
      <c r="A42" s="949" t="s">
        <v>791</v>
      </c>
      <c r="B42" s="259" t="s">
        <v>2397</v>
      </c>
      <c r="C42" s="282">
        <f ca="1">ROUND(IF('数据-取费表'!B22&lt;=1,C33*F22*'数据-取费表'!B21/2,C33*(POWER((1+F22),'数据-取费表'!B21/2)-1)),0)</f>
        <v>0</v>
      </c>
      <c r="D42" s="282"/>
      <c r="E42" s="282"/>
      <c r="F42" s="283"/>
      <c r="G42" s="3240" t="s">
        <v>2398</v>
      </c>
    </row>
    <row r="43" spans="1:7" ht="13.5" customHeight="1">
      <c r="A43" s="949" t="s">
        <v>792</v>
      </c>
      <c r="B43" s="259" t="s">
        <v>2399</v>
      </c>
      <c r="C43" s="282">
        <f ca="1">ROUND(IF('数据-取费表'!B22&lt;=1,C39*F22*'数据-取费表'!B21/2,C39*(POWER((1+F22),'数据-取费表'!B21/2)-1)),0)</f>
        <v>0</v>
      </c>
      <c r="D43" s="282"/>
      <c r="E43" s="282"/>
      <c r="F43" s="283"/>
      <c r="G43" s="3241"/>
    </row>
    <row r="44" spans="1:7" ht="13.5" customHeight="1">
      <c r="A44" s="949" t="s">
        <v>793</v>
      </c>
      <c r="B44" s="259" t="s">
        <v>2400</v>
      </c>
      <c r="C44" s="282">
        <f ca="1">ROUND(IF('数据-取费表'!B22&lt;=1,C40*F22*'数据-取费表'!B21/2,C40*(POWER((1+F22),'数据-取费表'!B21/2)-1)),4)</f>
        <v>0</v>
      </c>
      <c r="D44" s="282"/>
      <c r="E44" s="282"/>
      <c r="F44" s="283"/>
      <c r="G44" s="3242"/>
    </row>
    <row r="45" spans="1:7" s="258" customFormat="1" ht="13.5" customHeight="1">
      <c r="A45" s="299" t="s">
        <v>2401</v>
      </c>
      <c r="B45" s="288" t="s">
        <v>2367</v>
      </c>
      <c r="C45" s="289">
        <f ca="1">C46</f>
        <v>0</v>
      </c>
      <c r="D45" s="279">
        <f ca="1">C47</f>
        <v>1.5E-3</v>
      </c>
      <c r="E45" s="280" t="s">
        <v>2393</v>
      </c>
      <c r="F45" s="290"/>
      <c r="G45" s="291" t="s">
        <v>2402</v>
      </c>
    </row>
    <row r="46" spans="1:7" s="258" customFormat="1" ht="13.5" customHeight="1">
      <c r="A46" s="949" t="s">
        <v>791</v>
      </c>
      <c r="B46" s="292" t="s">
        <v>2403</v>
      </c>
      <c r="C46" s="293">
        <f ca="1">ROUND((C33+C39)*F27,0)</f>
        <v>0</v>
      </c>
      <c r="D46" s="307"/>
      <c r="E46" s="280"/>
      <c r="F46" s="290"/>
      <c r="G46" s="291"/>
    </row>
    <row r="47" spans="1:7" s="258" customFormat="1" ht="13.5" customHeight="1">
      <c r="A47" s="949" t="s">
        <v>792</v>
      </c>
      <c r="B47" s="292" t="s">
        <v>2404</v>
      </c>
      <c r="C47" s="282">
        <f ca="1">ROUND(C40*F27,4)</f>
        <v>1.5E-3</v>
      </c>
      <c r="D47" s="307"/>
      <c r="E47" s="280"/>
      <c r="F47" s="290"/>
      <c r="G47" s="291"/>
    </row>
    <row r="48" spans="1:7" s="258" customFormat="1" ht="13.5" customHeight="1">
      <c r="A48" s="299" t="s">
        <v>2366</v>
      </c>
      <c r="B48" s="254" t="s">
        <v>2405</v>
      </c>
      <c r="C48" s="1726">
        <f>ROUND(F30/(1+'数据-取费表'!C42),4)</f>
        <v>5.2400000000000002E-2</v>
      </c>
      <c r="D48" s="280" t="s">
        <v>2393</v>
      </c>
      <c r="E48" s="276"/>
      <c r="F48" s="281"/>
      <c r="G48" s="278" t="s">
        <v>2406</v>
      </c>
    </row>
    <row r="49" spans="1:7" ht="16.5" customHeight="1">
      <c r="A49" s="299" t="s">
        <v>2372</v>
      </c>
      <c r="B49" s="254" t="s">
        <v>2407</v>
      </c>
      <c r="C49" s="276">
        <f ca="1">ROUND((C33+C39+C41+C45)/(1-C40-D41-D45-C48),0)</f>
        <v>0</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0</v>
      </c>
      <c r="D51" s="276"/>
      <c r="E51" s="276"/>
      <c r="F51" s="308"/>
      <c r="G51" s="278" t="s">
        <v>2414</v>
      </c>
    </row>
    <row r="52" spans="1:7" s="252" customFormat="1" ht="16.5" thickBot="1">
      <c r="A52" s="309" t="s">
        <v>2415</v>
      </c>
      <c r="B52" s="310"/>
      <c r="C52" s="311">
        <f ca="1">C31+C51</f>
        <v>136024</v>
      </c>
      <c r="D52" s="310"/>
      <c r="E52" s="310"/>
      <c r="F52" s="310"/>
      <c r="G52" s="312"/>
    </row>
    <row r="55" spans="1:7" ht="15">
      <c r="B55" s="314" t="s">
        <v>2416</v>
      </c>
      <c r="C55" s="315"/>
    </row>
    <row r="56" spans="1:7">
      <c r="B56" s="317" t="s">
        <v>1514</v>
      </c>
      <c r="C56" s="319">
        <f ca="1">1-C57</f>
        <v>1</v>
      </c>
    </row>
    <row r="57" spans="1:7">
      <c r="B57" s="317" t="s">
        <v>1515</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6" t="s">
        <v>2417</v>
      </c>
      <c r="D1" s="242"/>
      <c r="E1" s="242"/>
      <c r="F1" s="242"/>
      <c r="G1" s="1377">
        <f>MATCH(B1,'数据-取费表'!A6:A16,0)+5</f>
        <v>7</v>
      </c>
      <c r="H1" s="1280" t="str">
        <f>IF(ISERROR(FIND("住宅",B1)),"非住宅","住宅")</f>
        <v>非住宅</v>
      </c>
    </row>
    <row r="2" spans="1:8" s="244" customFormat="1" ht="18" customHeight="1">
      <c r="A2" s="245" t="s">
        <v>2316</v>
      </c>
      <c r="B2" s="246">
        <f ca="1">ROUND(IF(D2="——",C52/10000,C52/10000-E2),0)</f>
        <v>35549</v>
      </c>
      <c r="C2" s="243" t="s">
        <v>2317</v>
      </c>
      <c r="D2" s="2540" t="s">
        <v>70</v>
      </c>
      <c r="E2" s="1438" t="e">
        <f ca="1">SUMIF(INDIRECT("'"&amp;G2&amp;"'"&amp;"!A:A"),"承租人权益价值",INDIRECT("'"&amp;G2&amp;"'"&amp;"!c:c"))</f>
        <v>#REF!</v>
      </c>
      <c r="F2" s="2541" t="s">
        <v>2317</v>
      </c>
      <c r="G2" s="2542"/>
    </row>
    <row r="3" spans="1:8" s="244" customFormat="1" ht="18" customHeight="1" thickBot="1">
      <c r="A3" s="247" t="s">
        <v>2318</v>
      </c>
      <c r="B3" s="248">
        <f ca="1">ROUND(B2*10000/(IF(B1="",'数据-汇总表'!E3,INDIRECT("'数据-取费表'!k"&amp;$G$1))),0)</f>
        <v>11126</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5120546</v>
      </c>
      <c r="D5" s="255" t="s">
        <v>2323</v>
      </c>
      <c r="E5" s="256" t="s">
        <v>2324</v>
      </c>
      <c r="F5" s="256" t="s">
        <v>2325</v>
      </c>
      <c r="G5" s="257"/>
    </row>
    <row r="6" spans="1:8" s="258" customFormat="1" ht="13.5" customHeight="1">
      <c r="A6" s="947" t="s">
        <v>2326</v>
      </c>
      <c r="B6" s="259" t="s">
        <v>2327</v>
      </c>
      <c r="C6" s="260"/>
      <c r="D6" s="261"/>
      <c r="E6" s="262"/>
      <c r="F6" s="262"/>
      <c r="G6" s="263"/>
    </row>
    <row r="7" spans="1:8" s="258" customFormat="1" ht="13.5" customHeight="1">
      <c r="A7" s="947" t="s">
        <v>2328</v>
      </c>
      <c r="B7" s="259" t="s">
        <v>2329</v>
      </c>
      <c r="C7" s="264">
        <f>ROUND(C6*F7,0)</f>
        <v>0</v>
      </c>
      <c r="D7" s="264"/>
      <c r="E7" s="262"/>
      <c r="F7" s="265">
        <f>'数据-取费表'!B48+'数据-取费表'!B49</f>
        <v>3.0499999999999999E-2</v>
      </c>
      <c r="G7" s="263"/>
    </row>
    <row r="8" spans="1:8" s="267" customFormat="1">
      <c r="A8" s="947" t="s">
        <v>2330</v>
      </c>
      <c r="B8" s="259" t="s">
        <v>2331</v>
      </c>
      <c r="C8" s="264">
        <f ca="1">IF(G8="已包含在土地购买价格中",0,C9+C10)</f>
        <v>5120546</v>
      </c>
      <c r="D8" s="266"/>
      <c r="E8" s="264"/>
      <c r="F8" s="265"/>
      <c r="G8" s="2543"/>
    </row>
    <row r="9" spans="1:8" s="258" customFormat="1" ht="13.5" customHeight="1">
      <c r="A9" s="948" t="s">
        <v>800</v>
      </c>
      <c r="B9" s="268" t="s">
        <v>2332</v>
      </c>
      <c r="C9" s="269">
        <f ca="1">ROUND(D9*E9,0)</f>
        <v>5079946</v>
      </c>
      <c r="D9" s="1030">
        <f ca="1">IF(B1="",'数据-汇总表'!E5,IF(INDIRECT("'数据-取费表'!c"&amp;$G$1)="住宅",INDIRECT("'数据-取费表'!k"&amp;$G$1),0))</f>
        <v>31749.659999999996</v>
      </c>
      <c r="E9" s="269">
        <f>'数据-取费表'!B27</f>
        <v>160</v>
      </c>
      <c r="F9" s="265"/>
      <c r="G9" s="270"/>
    </row>
    <row r="10" spans="1:8" s="258" customFormat="1" ht="13.5" customHeight="1">
      <c r="A10" s="948" t="s">
        <v>801</v>
      </c>
      <c r="B10" s="268" t="s">
        <v>2334</v>
      </c>
      <c r="C10" s="269">
        <f ca="1">ROUND(D10*E10,0)</f>
        <v>40600</v>
      </c>
      <c r="D10" s="1030">
        <f ca="1">IF(B1="",'数据-汇总表'!E6,IF(INDIRECT("'数据-取费表'!c"&amp;$G$1)="住宅",INDIRECT("'数据-取费表'!s"&amp;$G$1),INDIRECT("'数据-取费表'!k"&amp;$G$1)+INDIRECT("'数据-取费表'!s"&amp;$G$1)))</f>
        <v>203</v>
      </c>
      <c r="E10" s="269">
        <f>'数据-取费表'!B28</f>
        <v>200</v>
      </c>
      <c r="F10" s="265"/>
      <c r="G10" s="270"/>
    </row>
    <row r="11" spans="1:8" s="258" customFormat="1" ht="13.5" hidden="1" customHeight="1">
      <c r="A11" s="271" t="s">
        <v>7</v>
      </c>
      <c r="B11" s="259" t="s">
        <v>2335</v>
      </c>
      <c r="C11" s="255"/>
      <c r="D11" s="1032"/>
      <c r="E11" s="262"/>
      <c r="F11" s="262"/>
      <c r="G11" s="263"/>
    </row>
    <row r="12" spans="1:8" s="258" customFormat="1" ht="13.5" hidden="1" customHeight="1">
      <c r="A12" s="271" t="s">
        <v>8</v>
      </c>
      <c r="B12" s="259" t="s">
        <v>2418</v>
      </c>
      <c r="C12" s="255">
        <v>0</v>
      </c>
      <c r="D12" s="1032"/>
      <c r="E12" s="272"/>
      <c r="F12" s="265">
        <v>3.0499999999999999E-2</v>
      </c>
      <c r="G12" s="263"/>
    </row>
    <row r="13" spans="1:8" s="258" customFormat="1" ht="13.5" hidden="1" customHeight="1">
      <c r="A13" s="271" t="s">
        <v>9</v>
      </c>
      <c r="B13" s="259" t="s">
        <v>2419</v>
      </c>
      <c r="C13" s="255"/>
      <c r="D13" s="1032"/>
      <c r="E13" s="262"/>
      <c r="F13" s="262"/>
      <c r="G13" s="263"/>
    </row>
    <row r="14" spans="1:8" s="258" customFormat="1" ht="13.5" hidden="1" customHeight="1">
      <c r="A14" s="271" t="s">
        <v>10</v>
      </c>
      <c r="B14" s="259" t="s">
        <v>2331</v>
      </c>
      <c r="C14" s="255"/>
      <c r="D14" s="1032"/>
      <c r="E14" s="262"/>
      <c r="F14" s="262"/>
      <c r="G14" s="263" t="s">
        <v>2420</v>
      </c>
    </row>
    <row r="15" spans="1:8" s="258" customFormat="1" ht="13.5" hidden="1" customHeight="1">
      <c r="A15" s="271" t="s">
        <v>11</v>
      </c>
      <c r="B15" s="259" t="s">
        <v>2421</v>
      </c>
      <c r="C15" s="264"/>
      <c r="D15" s="1032"/>
      <c r="E15" s="262"/>
      <c r="F15" s="262"/>
      <c r="G15" s="263" t="s">
        <v>2422</v>
      </c>
    </row>
    <row r="16" spans="1:8" s="258" customFormat="1" ht="13.5" hidden="1" customHeight="1">
      <c r="A16" s="271" t="s">
        <v>12</v>
      </c>
      <c r="B16" s="259" t="s">
        <v>2331</v>
      </c>
      <c r="C16" s="264"/>
      <c r="D16" s="1032"/>
      <c r="E16" s="262"/>
      <c r="F16" s="262"/>
      <c r="G16" s="263"/>
    </row>
    <row r="17" spans="1:7" s="258" customFormat="1" ht="13.5" hidden="1" customHeight="1">
      <c r="A17" s="271" t="s">
        <v>13</v>
      </c>
      <c r="B17" s="259" t="s">
        <v>2423</v>
      </c>
      <c r="C17" s="273"/>
      <c r="D17" s="1033"/>
      <c r="E17" s="273"/>
      <c r="F17" s="273"/>
      <c r="G17" s="263" t="s">
        <v>2422</v>
      </c>
    </row>
    <row r="18" spans="1:7" s="258" customFormat="1" ht="13.5" hidden="1" customHeight="1">
      <c r="A18" s="271" t="s">
        <v>14</v>
      </c>
      <c r="B18" s="259" t="s">
        <v>2424</v>
      </c>
      <c r="C18" s="264">
        <v>0</v>
      </c>
      <c r="D18" s="1032"/>
      <c r="E18" s="262"/>
      <c r="F18" s="265">
        <v>3.0499999999999999E-2</v>
      </c>
      <c r="G18" s="263" t="s">
        <v>2425</v>
      </c>
    </row>
    <row r="19" spans="1:7" s="267" customFormat="1" ht="13.5" customHeight="1">
      <c r="A19" s="299" t="s">
        <v>2426</v>
      </c>
      <c r="B19" s="254" t="s">
        <v>2427</v>
      </c>
      <c r="C19" s="255">
        <f ca="1">IF(G19="已包含在土地取得成本中","0",ROUND(D19*E19,0))</f>
        <v>6390532</v>
      </c>
      <c r="D19" s="1034">
        <f ca="1">D9+D10</f>
        <v>31952.659999999996</v>
      </c>
      <c r="E19" s="255">
        <f>'数据-取费表'!B31</f>
        <v>200</v>
      </c>
      <c r="F19" s="275"/>
      <c r="G19" s="2543"/>
    </row>
    <row r="20" spans="1:7" s="258" customFormat="1" ht="13.5" customHeight="1">
      <c r="A20" s="299" t="s">
        <v>2428</v>
      </c>
      <c r="B20" s="254" t="s">
        <v>2429</v>
      </c>
      <c r="C20" s="276">
        <f ca="1">ROUND((C5+C19)*F20,0)</f>
        <v>115111</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78">
        <f ca="1">ROUND(SUM(C23:C25),0)</f>
        <v>1124992</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49" t="s">
        <v>2326</v>
      </c>
      <c r="B23" s="259" t="s">
        <v>2437</v>
      </c>
      <c r="C23" s="1379">
        <f ca="1">ROUND(IF('数据-取费表'!B22&lt;=1,C5*F22*'数据-取费表'!B22,C5*(POWER((1+F22),'数据-取费表'!B22)-1)),0)</f>
        <v>498005</v>
      </c>
      <c r="D23" s="282"/>
      <c r="E23" s="282"/>
      <c r="F23" s="283"/>
      <c r="G23" s="284" t="s">
        <v>2438</v>
      </c>
    </row>
    <row r="24" spans="1:7" s="258" customFormat="1" ht="13.5" customHeight="1">
      <c r="A24" s="949" t="s">
        <v>2328</v>
      </c>
      <c r="B24" s="259" t="s">
        <v>2439</v>
      </c>
      <c r="C24" s="1379">
        <f ca="1">ROUND(IF('数据-取费表'!B22&lt;=1,C19*F22*('数据-取费表'!B19/2+'数据-取费表'!B20),C19*(POWER((1+F22),('数据-取费表'!B19/2+'数据-取费表'!B20))-1)),0)</f>
        <v>621519</v>
      </c>
      <c r="D24" s="282"/>
      <c r="E24" s="282"/>
      <c r="F24" s="283"/>
      <c r="G24" s="284" t="s">
        <v>2440</v>
      </c>
    </row>
    <row r="25" spans="1:7" s="258" customFormat="1" ht="24">
      <c r="A25" s="949" t="s">
        <v>2330</v>
      </c>
      <c r="B25" s="259" t="s">
        <v>2441</v>
      </c>
      <c r="C25" s="1379">
        <f ca="1">ROUND(IF('数据-取费表'!B22&lt;=1,C20*F22*'数据-取费表'!B22/2,C20*(POWER((1+F22),'数据-取费表'!B22/2)-1)),0)</f>
        <v>5468</v>
      </c>
      <c r="D25" s="282"/>
      <c r="E25" s="285"/>
      <c r="F25" s="283"/>
      <c r="G25" s="286" t="s">
        <v>2442</v>
      </c>
    </row>
    <row r="26" spans="1:7" s="258" customFormat="1">
      <c r="A26" s="949"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1743928</v>
      </c>
      <c r="D27" s="279">
        <f ca="1">C29</f>
        <v>1.5E-3</v>
      </c>
      <c r="E27" s="280" t="s">
        <v>2368</v>
      </c>
      <c r="F27" s="290">
        <f ca="1">IF(B1="",'数据-取费表'!Q16,INDIRECT("'数据-取费表'!q"&amp;$G$1))</f>
        <v>0.15</v>
      </c>
      <c r="G27" s="291" t="s">
        <v>2369</v>
      </c>
    </row>
    <row r="28" spans="1:7" s="258" customFormat="1" ht="13.5" customHeight="1">
      <c r="A28" s="949" t="s">
        <v>791</v>
      </c>
      <c r="B28" s="292" t="s">
        <v>2370</v>
      </c>
      <c r="C28" s="293">
        <f ca="1">ROUND((C5+C19+C20)*F27,0)</f>
        <v>1743928</v>
      </c>
      <c r="D28" s="279"/>
      <c r="E28" s="280"/>
      <c r="F28" s="290"/>
      <c r="G28" s="291"/>
    </row>
    <row r="29" spans="1:7" s="258" customFormat="1" ht="13.5" customHeight="1">
      <c r="A29" s="949" t="s">
        <v>792</v>
      </c>
      <c r="B29" s="292" t="s">
        <v>2371</v>
      </c>
      <c r="C29" s="282">
        <f ca="1">ROUND(C21*F27,4)</f>
        <v>1.5E-3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15492848</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263008572</v>
      </c>
      <c r="D33" s="276"/>
      <c r="E33" s="256"/>
      <c r="F33" s="285"/>
      <c r="G33" s="278"/>
    </row>
    <row r="34" spans="1:7" s="302" customFormat="1" ht="13.5" customHeight="1">
      <c r="A34" s="949" t="s">
        <v>791</v>
      </c>
      <c r="B34" s="259" t="s">
        <v>2379</v>
      </c>
      <c r="C34" s="264">
        <f ca="1">ROUND(IF(B1="",SUMPRODUCT('数据-取费表'!K6:K14,'数据-取费表'!L6:L14),INDIRECT("'数据-取费表'!l"&amp;$G$1)*INDIRECT("'数据-取费表'!k"&amp;$G$1)+'数据-取费表'!L14*INDIRECT("'数据-取费表'!S"&amp;$G$1)),0)</f>
        <v>238731450</v>
      </c>
      <c r="D34" s="261"/>
      <c r="E34" s="264"/>
      <c r="F34" s="301"/>
      <c r="G34" s="263"/>
    </row>
    <row r="35" spans="1:7" ht="13.5" customHeight="1">
      <c r="A35" s="949" t="s">
        <v>796</v>
      </c>
      <c r="B35" s="259" t="s">
        <v>2381</v>
      </c>
      <c r="C35" s="264">
        <f ca="1">ROUND(C34*F35,0)</f>
        <v>7161944</v>
      </c>
      <c r="D35" s="264"/>
      <c r="E35" s="264"/>
      <c r="F35" s="303">
        <f>'数据-取费表'!B33</f>
        <v>0.03</v>
      </c>
      <c r="G35" s="263" t="s">
        <v>2382</v>
      </c>
    </row>
    <row r="36" spans="1:7" ht="24">
      <c r="A36" s="949" t="s">
        <v>797</v>
      </c>
      <c r="B36" s="259" t="s">
        <v>2383</v>
      </c>
      <c r="C36" s="264">
        <f ca="1">ROUND(IF(B1="",SUM('数据-取费表'!AP6:AP13)*F36,IF(INDIRECT("'数据-取费表'!c"&amp;$G$1)="住宅",INDIRECT("'数据-取费表'!k"&amp;$G$1)*INDIRECT("'数据-取费表'!l"&amp;$G$1)*F36,0)),0)</f>
        <v>7143674</v>
      </c>
      <c r="D36" s="264"/>
      <c r="E36" s="264"/>
      <c r="F36" s="303">
        <f>'数据-取费表'!B34</f>
        <v>0.03</v>
      </c>
      <c r="G36" s="304" t="s">
        <v>2384</v>
      </c>
    </row>
    <row r="37" spans="1:7" s="302" customFormat="1" ht="13.5" customHeight="1">
      <c r="A37" s="949" t="s">
        <v>798</v>
      </c>
      <c r="B37" s="259" t="s">
        <v>2385</v>
      </c>
      <c r="C37" s="293">
        <f ca="1">ROUND(E37*D37,0)</f>
        <v>6390532</v>
      </c>
      <c r="D37" s="261">
        <f ca="1">D19</f>
        <v>31952.659999999996</v>
      </c>
      <c r="E37" s="293">
        <f>'数据-取费表'!B35</f>
        <v>200</v>
      </c>
      <c r="F37" s="303"/>
      <c r="G37" s="305"/>
    </row>
    <row r="38" spans="1:7" ht="13.5" customHeight="1">
      <c r="A38" s="949" t="s">
        <v>799</v>
      </c>
      <c r="B38" s="259" t="s">
        <v>2387</v>
      </c>
      <c r="C38" s="264">
        <f ca="1">ROUND(C34*F38,0)</f>
        <v>3580972</v>
      </c>
      <c r="D38" s="264"/>
      <c r="E38" s="264"/>
      <c r="F38" s="303">
        <f>'数据-取费表'!B36</f>
        <v>1.4999999999999999E-2</v>
      </c>
      <c r="G38" s="263" t="s">
        <v>2382</v>
      </c>
    </row>
    <row r="39" spans="1:7" s="258" customFormat="1" ht="13.5" customHeight="1">
      <c r="A39" s="299" t="s">
        <v>2388</v>
      </c>
      <c r="B39" s="254" t="s">
        <v>2389</v>
      </c>
      <c r="C39" s="276">
        <f ca="1">ROUND(C33*F20,0)</f>
        <v>2630086</v>
      </c>
      <c r="D39" s="276"/>
      <c r="E39" s="276"/>
      <c r="F39" s="277"/>
      <c r="G39" s="278" t="s">
        <v>2390</v>
      </c>
    </row>
    <row r="40" spans="1:7" s="258" customFormat="1" ht="13.5" customHeight="1">
      <c r="A40" s="299" t="s">
        <v>2391</v>
      </c>
      <c r="B40" s="254" t="s">
        <v>2392</v>
      </c>
      <c r="C40" s="1726">
        <f>F21</f>
        <v>0.01</v>
      </c>
      <c r="D40" s="280" t="s">
        <v>2393</v>
      </c>
      <c r="E40" s="276"/>
      <c r="F40" s="277"/>
      <c r="G40" s="278" t="s">
        <v>2394</v>
      </c>
    </row>
    <row r="41" spans="1:7" s="258" customFormat="1" ht="13.5" customHeight="1">
      <c r="A41" s="299" t="s">
        <v>2395</v>
      </c>
      <c r="B41" s="254" t="s">
        <v>2396</v>
      </c>
      <c r="C41" s="276">
        <f ca="1">ROUND(SUM(C42:C43),0)</f>
        <v>12617836</v>
      </c>
      <c r="D41" s="279">
        <f ca="1">C44</f>
        <v>5.0000000000000001E-4</v>
      </c>
      <c r="E41" s="280" t="s">
        <v>2393</v>
      </c>
      <c r="F41" s="281"/>
      <c r="G41" s="278" t="str">
        <f>IF('数据-取费表'!B22&lt;=1,"单利计息","复利计息")</f>
        <v>复利计息</v>
      </c>
    </row>
    <row r="42" spans="1:7" ht="13.5" customHeight="1">
      <c r="A42" s="949" t="s">
        <v>791</v>
      </c>
      <c r="B42" s="259" t="s">
        <v>2397</v>
      </c>
      <c r="C42" s="282">
        <f ca="1">ROUND(IF('数据-取费表'!B22&lt;=1,C33*F22*'数据-取费表'!B20/2,C33*(POWER((1+F22),'数据-取费表'!B20/2)-1)),0)</f>
        <v>12492907</v>
      </c>
      <c r="D42" s="282"/>
      <c r="E42" s="282"/>
      <c r="F42" s="283"/>
      <c r="G42" s="3240" t="s">
        <v>2445</v>
      </c>
    </row>
    <row r="43" spans="1:7" ht="13.5" customHeight="1">
      <c r="A43" s="949" t="s">
        <v>792</v>
      </c>
      <c r="B43" s="259" t="s">
        <v>2399</v>
      </c>
      <c r="C43" s="282">
        <f ca="1">ROUND(IF('数据-取费表'!B22&lt;=1,C39*F22*'数据-取费表'!B20/2,C39*(POWER((1+F22),'数据-取费表'!B20/2)-1)),0)</f>
        <v>124929</v>
      </c>
      <c r="D43" s="282"/>
      <c r="E43" s="282"/>
      <c r="F43" s="283"/>
      <c r="G43" s="3241"/>
    </row>
    <row r="44" spans="1:7" ht="13.5" customHeight="1">
      <c r="A44" s="949" t="s">
        <v>793</v>
      </c>
      <c r="B44" s="259" t="s">
        <v>2400</v>
      </c>
      <c r="C44" s="282">
        <f ca="1">ROUND(IF('数据-取费表'!B22&lt;=1,C40*F22*'数据-取费表'!B20/2,C40*(POWER((1+F22),'数据-取费表'!B20/2)-1)),4)</f>
        <v>5.0000000000000001E-4</v>
      </c>
      <c r="D44" s="282"/>
      <c r="E44" s="282"/>
      <c r="F44" s="283"/>
      <c r="G44" s="3242"/>
    </row>
    <row r="45" spans="1:7" s="258" customFormat="1" ht="13.5" customHeight="1">
      <c r="A45" s="299" t="s">
        <v>2401</v>
      </c>
      <c r="B45" s="288" t="s">
        <v>2367</v>
      </c>
      <c r="C45" s="289">
        <f ca="1">C46</f>
        <v>39845799</v>
      </c>
      <c r="D45" s="279">
        <f ca="1">C47</f>
        <v>1.5E-3</v>
      </c>
      <c r="E45" s="280" t="s">
        <v>2393</v>
      </c>
      <c r="F45" s="290"/>
      <c r="G45" s="291" t="s">
        <v>2402</v>
      </c>
    </row>
    <row r="46" spans="1:7" s="258" customFormat="1" ht="13.5" customHeight="1">
      <c r="A46" s="949" t="s">
        <v>791</v>
      </c>
      <c r="B46" s="292" t="s">
        <v>2403</v>
      </c>
      <c r="C46" s="293">
        <f ca="1">ROUND((C33+C39)*F27,0)</f>
        <v>39845799</v>
      </c>
      <c r="D46" s="307"/>
      <c r="E46" s="280"/>
      <c r="F46" s="290"/>
      <c r="G46" s="291"/>
    </row>
    <row r="47" spans="1:7" s="258" customFormat="1" ht="13.5" customHeight="1">
      <c r="A47" s="949" t="s">
        <v>792</v>
      </c>
      <c r="B47" s="292" t="s">
        <v>2404</v>
      </c>
      <c r="C47" s="282">
        <f ca="1">ROUND(C40*F27,4)</f>
        <v>1.5E-3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339998176</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339998176</v>
      </c>
      <c r="D51" s="276"/>
      <c r="E51" s="276"/>
      <c r="F51" s="308"/>
      <c r="G51" s="278" t="s">
        <v>2414</v>
      </c>
    </row>
    <row r="52" spans="1:7" s="252" customFormat="1" ht="16.5" thickBot="1">
      <c r="A52" s="309" t="s">
        <v>2415</v>
      </c>
      <c r="B52" s="310"/>
      <c r="C52" s="311">
        <f ca="1">C31+C51</f>
        <v>355491024</v>
      </c>
      <c r="D52" s="310"/>
      <c r="E52" s="310"/>
      <c r="F52" s="310"/>
      <c r="G52" s="312"/>
    </row>
    <row r="55" spans="1:7" ht="15">
      <c r="B55" s="314" t="s">
        <v>2416</v>
      </c>
      <c r="C55" s="315"/>
    </row>
    <row r="56" spans="1:7">
      <c r="B56" s="317" t="s">
        <v>1514</v>
      </c>
      <c r="C56" s="319">
        <f ca="1">1-C57</f>
        <v>4.4000000000000039E-2</v>
      </c>
    </row>
    <row r="57" spans="1:7">
      <c r="B57" s="317" t="s">
        <v>1515</v>
      </c>
      <c r="C57" s="318">
        <f ca="1">ROUND(C51/C52,3)</f>
        <v>0.95599999999999996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 sqref="B3"/>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2448</v>
      </c>
      <c r="B1" s="1579"/>
      <c r="C1" s="1580"/>
      <c r="D1" s="1578"/>
      <c r="E1" s="320"/>
      <c r="F1" s="320"/>
      <c r="G1" s="1579"/>
      <c r="H1" s="320"/>
      <c r="I1" s="320"/>
      <c r="J1" s="320"/>
      <c r="K1" s="320">
        <f>MATCH(C1,'数据-取费表'!A6:A16,0)+5</f>
        <v>7</v>
      </c>
    </row>
    <row r="2" spans="1:33" ht="18" customHeight="1">
      <c r="A2" s="245" t="s">
        <v>2316</v>
      </c>
      <c r="B2" s="248">
        <f ca="1">C32</f>
        <v>152425</v>
      </c>
      <c r="C2" s="320" t="s">
        <v>2449</v>
      </c>
      <c r="D2" s="320"/>
      <c r="E2" s="320"/>
      <c r="F2" s="320"/>
      <c r="G2" s="320"/>
      <c r="H2" s="320"/>
      <c r="I2" s="320"/>
      <c r="J2" s="320"/>
      <c r="K2" s="320"/>
    </row>
    <row r="3" spans="1:33" ht="18" customHeight="1" thickBot="1">
      <c r="A3" s="247" t="s">
        <v>2318</v>
      </c>
      <c r="B3" s="248">
        <f ca="1">ROUND(B2*10000/IF(C1="",'数据-汇总表'!E3,INDIRECT("'数据-取费表'!K"&amp;$K$1)),0)</f>
        <v>47703</v>
      </c>
      <c r="C3" s="320" t="s">
        <v>2450</v>
      </c>
      <c r="D3" s="320"/>
      <c r="E3" s="320"/>
      <c r="F3" s="320"/>
      <c r="G3" s="320"/>
      <c r="H3" s="320"/>
      <c r="I3" s="320"/>
      <c r="J3" s="320"/>
      <c r="K3" s="320"/>
    </row>
    <row r="4" spans="1:33" s="954" customFormat="1" ht="16.5" customHeight="1">
      <c r="A4" s="951" t="s">
        <v>2451</v>
      </c>
      <c r="B4" s="952"/>
      <c r="C4" s="994">
        <f>SUM(C8:K8)</f>
        <v>243091</v>
      </c>
      <c r="D4" s="952"/>
      <c r="E4" s="952"/>
      <c r="F4" s="952"/>
      <c r="G4" s="952"/>
      <c r="H4" s="952"/>
      <c r="I4" s="952"/>
      <c r="J4" s="952"/>
      <c r="K4" s="953"/>
    </row>
    <row r="5" spans="1:33" s="958" customFormat="1" ht="15">
      <c r="A5" s="955" t="s">
        <v>2452</v>
      </c>
      <c r="B5" s="956" t="s">
        <v>2453</v>
      </c>
      <c r="C5" s="2547" t="s">
        <v>3063</v>
      </c>
      <c r="D5" s="2547" t="s">
        <v>3062</v>
      </c>
      <c r="E5" s="2547" t="s">
        <v>3226</v>
      </c>
      <c r="F5" s="2547"/>
      <c r="G5" s="2547"/>
      <c r="H5" s="2547"/>
      <c r="I5" s="2547"/>
      <c r="J5" s="2547"/>
      <c r="K5" s="2547"/>
      <c r="L5" s="2971" t="s">
        <v>3063</v>
      </c>
      <c r="M5" s="2971" t="s">
        <v>3062</v>
      </c>
      <c r="N5" s="2971" t="s">
        <v>3235</v>
      </c>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2454</v>
      </c>
      <c r="C6" s="960">
        <f>'比较法-住宅'!B3</f>
        <v>76565</v>
      </c>
      <c r="D6" s="960">
        <v>0</v>
      </c>
      <c r="E6" s="960">
        <f ca="1">'收益法-地下仓储'!B3</f>
        <v>0</v>
      </c>
      <c r="F6" s="960"/>
      <c r="G6" s="960"/>
      <c r="H6" s="960"/>
      <c r="I6" s="960"/>
      <c r="J6" s="960"/>
      <c r="K6" s="961"/>
      <c r="L6" s="2972">
        <v>75883</v>
      </c>
      <c r="M6" s="2972">
        <v>7151</v>
      </c>
      <c r="N6" s="2972">
        <v>6810</v>
      </c>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2455</v>
      </c>
      <c r="B7" s="140" t="s">
        <v>2456</v>
      </c>
      <c r="C7" s="321">
        <f>SUMIF('数据-汇总表'!$C19:$C33,假设开发法!C5,'数据-汇总表'!$E19:$E33)</f>
        <v>31749.659999999996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2972">
        <v>51907.199999999997</v>
      </c>
      <c r="M7" s="2972">
        <v>11120.72</v>
      </c>
      <c r="N7" s="2972">
        <v>283.42</v>
      </c>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8" t="s">
        <v>2457</v>
      </c>
      <c r="B8" s="177" t="s">
        <v>2458</v>
      </c>
      <c r="C8" s="995">
        <f>'比较法-住宅'!B2</f>
        <v>243091</v>
      </c>
      <c r="D8" s="995">
        <v>0</v>
      </c>
      <c r="E8" s="995">
        <v>0</v>
      </c>
      <c r="F8" s="996"/>
      <c r="G8" s="996"/>
      <c r="H8" s="996"/>
      <c r="I8" s="996"/>
      <c r="J8" s="996"/>
      <c r="K8" s="997"/>
      <c r="L8" s="2972">
        <v>393887</v>
      </c>
      <c r="M8" s="2972">
        <v>7952</v>
      </c>
      <c r="N8" s="2972">
        <v>193</v>
      </c>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2459</v>
      </c>
      <c r="B9" s="952"/>
      <c r="C9" s="952"/>
      <c r="D9" s="952"/>
      <c r="E9" s="952"/>
      <c r="F9" s="952"/>
      <c r="G9" s="952"/>
      <c r="H9" s="952"/>
      <c r="I9" s="952"/>
      <c r="J9" s="952"/>
      <c r="K9" s="953"/>
    </row>
    <row r="10" spans="1:33" s="968" customFormat="1" ht="13.5" customHeight="1">
      <c r="A10" s="955" t="s">
        <v>2460</v>
      </c>
      <c r="B10" s="8" t="s">
        <v>2461</v>
      </c>
      <c r="C10" s="964" t="s">
        <v>2462</v>
      </c>
      <c r="D10" s="965" t="s">
        <v>2463</v>
      </c>
      <c r="E10" s="965" t="s">
        <v>2464</v>
      </c>
      <c r="F10" s="965" t="s">
        <v>2465</v>
      </c>
      <c r="G10" s="8"/>
      <c r="H10" s="966"/>
      <c r="I10" s="966"/>
      <c r="J10" s="966"/>
      <c r="K10" s="967"/>
    </row>
    <row r="11" spans="1:33" s="973" customFormat="1" ht="13.5" customHeight="1">
      <c r="A11" s="969" t="s">
        <v>1334</v>
      </c>
      <c r="B11" s="970" t="s">
        <v>2466</v>
      </c>
      <c r="C11" s="323">
        <f ca="1">IF(C1="",'数据-取费表'!P16,INDIRECT("'数据-取费表'!p"&amp;$K$1)+INDIRECT("'数据-取费表'!ar"&amp;$K$1))</f>
        <v>23873</v>
      </c>
      <c r="D11" s="971"/>
      <c r="E11" s="375"/>
      <c r="F11" s="972">
        <f ca="1">1-IF('数据-取费表'!B24=0,1,IF(C1="",'数据-取费表'!N16,INDIRECT("'数据-取费表'!n"&amp;$K$1)))</f>
        <v>1</v>
      </c>
      <c r="G11" s="8"/>
      <c r="H11" s="966"/>
      <c r="I11" s="966"/>
      <c r="J11" s="966"/>
      <c r="K11" s="967"/>
    </row>
    <row r="12" spans="1:33" s="973" customFormat="1" ht="13.5" customHeight="1">
      <c r="A12" s="969" t="s">
        <v>1335</v>
      </c>
      <c r="B12" s="970" t="s">
        <v>2467</v>
      </c>
      <c r="C12" s="24">
        <f ca="1">ROUND(C11*F12,0)</f>
        <v>716</v>
      </c>
      <c r="D12" s="971"/>
      <c r="E12" s="375"/>
      <c r="F12" s="974">
        <f>'数据-取费表'!B33</f>
        <v>0.03</v>
      </c>
      <c r="G12" s="8" t="s">
        <v>2468</v>
      </c>
      <c r="H12" s="966"/>
      <c r="I12" s="966"/>
      <c r="J12" s="966"/>
      <c r="K12" s="967"/>
    </row>
    <row r="13" spans="1:33" s="973" customFormat="1" ht="13.5" customHeight="1">
      <c r="A13" s="969" t="s">
        <v>1336</v>
      </c>
      <c r="B13" s="970" t="s">
        <v>2469</v>
      </c>
      <c r="C13" s="24">
        <f ca="1">ROUND(IF(C1="",SUMIF('数据-取费表'!C:C,"住宅",'数据-取费表'!P:P)*F13,IF(INDIRECT("'数据-取费表'!c"&amp;$K$1)="住宅",INDIRECT("'数据-取费表'!P"&amp;$K$1)*F13,0)),0)</f>
        <v>714</v>
      </c>
      <c r="D13" s="1031"/>
      <c r="E13" s="375"/>
      <c r="F13" s="974">
        <f>'数据-取费表'!B34</f>
        <v>0.03</v>
      </c>
      <c r="G13" s="8" t="s">
        <v>2470</v>
      </c>
      <c r="H13" s="966"/>
      <c r="I13" s="966"/>
      <c r="J13" s="966"/>
      <c r="K13" s="967"/>
    </row>
    <row r="14" spans="1:33" s="975" customFormat="1" ht="13.5" customHeight="1">
      <c r="A14" s="969" t="s">
        <v>1337</v>
      </c>
      <c r="B14" s="970" t="s">
        <v>2471</v>
      </c>
      <c r="C14" s="24">
        <f ca="1">ROUND(D14*E14*F11/10000,0)</f>
        <v>639</v>
      </c>
      <c r="D14" s="1031">
        <f ca="1">IF(C1="",'数据-汇总表'!E3,INDIRECT("'数据-取费表'!K"&amp;$K$1)+INDIRECT("'数据-取费表'!S"&amp;$K$1))</f>
        <v>31952.659999999996</v>
      </c>
      <c r="E14" s="24">
        <f>'数据-取费表'!B35</f>
        <v>200</v>
      </c>
      <c r="F14" s="974"/>
      <c r="G14" s="8" t="s">
        <v>2472</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2473</v>
      </c>
      <c r="C15" s="981">
        <f ca="1">ROUND(C11*F15,0)</f>
        <v>358</v>
      </c>
      <c r="D15" s="976"/>
      <c r="E15" s="981"/>
      <c r="F15" s="982">
        <f>'数据-取费表'!B36</f>
        <v>1.4999999999999999E-2</v>
      </c>
      <c r="G15" s="140" t="s">
        <v>2474</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2475</v>
      </c>
      <c r="C16" s="981">
        <f ca="1">SUM(C11:C15)</f>
        <v>26300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2476</v>
      </c>
      <c r="C17" s="24">
        <f ca="1">ROUND(D17*E17/10000,0)</f>
        <v>0</v>
      </c>
      <c r="D17" s="1031">
        <f ca="1">D14</f>
        <v>31952.659999999996</v>
      </c>
      <c r="E17" s="24">
        <f>'数据-取费表'!B32</f>
        <v>0</v>
      </c>
      <c r="F17" s="976"/>
      <c r="G17" s="140" t="s">
        <v>2477</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2478</v>
      </c>
      <c r="C18" s="24">
        <f ca="1">C19+C20-IF(C1="",'数据-取费表'!B29,IF(G18="已全部缴纳",C19+C20,H18))</f>
        <v>0</v>
      </c>
      <c r="D18" s="1031"/>
      <c r="E18" s="24"/>
      <c r="F18" s="974"/>
      <c r="G18" s="2549" t="s">
        <v>3212</v>
      </c>
      <c r="H18" s="1575"/>
      <c r="I18" s="2550" t="s">
        <v>2479</v>
      </c>
      <c r="J18" s="977"/>
      <c r="K18" s="978"/>
    </row>
    <row r="19" spans="1:33" s="973" customFormat="1" ht="13.5" customHeight="1">
      <c r="A19" s="969" t="s">
        <v>805</v>
      </c>
      <c r="B19" s="970" t="s">
        <v>2480</v>
      </c>
      <c r="C19" s="24">
        <f ca="1">ROUND(D19*E19/10000,0)</f>
        <v>508</v>
      </c>
      <c r="D19" s="1031">
        <f ca="1">IF(C1="",'数据-汇总表'!E5,IF(INDIRECT("'数据-取费表'!c"&amp;$K$1)="住宅",INDIRECT("'数据-取费表'!k"&amp;$K$1),0))</f>
        <v>31749.659999999996</v>
      </c>
      <c r="E19" s="24">
        <f>'数据-取费表'!B27</f>
        <v>160</v>
      </c>
      <c r="F19" s="974"/>
      <c r="G19" s="15"/>
      <c r="H19" s="1577"/>
      <c r="I19" s="979"/>
      <c r="J19" s="979"/>
      <c r="K19" s="980"/>
    </row>
    <row r="20" spans="1:33" s="973" customFormat="1" ht="13.5" customHeight="1">
      <c r="A20" s="969" t="s">
        <v>806</v>
      </c>
      <c r="B20" s="970" t="s">
        <v>2481</v>
      </c>
      <c r="C20" s="24">
        <f ca="1">ROUND(D20*E20/10000,0)</f>
        <v>4</v>
      </c>
      <c r="D20" s="1031">
        <f ca="1">IF(C1="",'数据-汇总表'!E6,IF(INDIRECT("'数据-取费表'!c"&amp;$K$1)="住宅",INDIRECT("'数据-取费表'!s"&amp;$K$1),INDIRECT("'数据-取费表'!k"&amp;$K$1)+INDIRECT("'数据-取费表'!s"&amp;$K$1)))</f>
        <v>203</v>
      </c>
      <c r="E20" s="24">
        <f>'数据-取费表'!B28</f>
        <v>200</v>
      </c>
      <c r="F20" s="974"/>
      <c r="G20" s="15"/>
      <c r="H20" s="979"/>
      <c r="I20" s="979"/>
      <c r="J20" s="979"/>
      <c r="K20" s="980"/>
    </row>
    <row r="21" spans="1:33" s="973" customFormat="1" ht="13.5" customHeight="1">
      <c r="A21" s="959" t="s">
        <v>802</v>
      </c>
      <c r="B21" s="983" t="s">
        <v>2482</v>
      </c>
      <c r="C21" s="984">
        <f ca="1">C16+C17+C18</f>
        <v>26300</v>
      </c>
      <c r="D21" s="985"/>
      <c r="E21" s="325"/>
      <c r="F21" s="325"/>
      <c r="G21" s="140" t="s">
        <v>2483</v>
      </c>
      <c r="H21" s="977"/>
      <c r="I21" s="977"/>
      <c r="J21" s="977"/>
      <c r="K21" s="978"/>
    </row>
    <row r="22" spans="1:33" s="973" customFormat="1" ht="13.5" customHeight="1">
      <c r="A22" s="959" t="s">
        <v>2455</v>
      </c>
      <c r="B22" s="983" t="s">
        <v>2484</v>
      </c>
      <c r="C22" s="984">
        <f ca="1">ROUND(C21*F22,0)</f>
        <v>263</v>
      </c>
      <c r="D22" s="325"/>
      <c r="E22" s="325"/>
      <c r="F22" s="986">
        <f>'数据-取费表'!B37</f>
        <v>0.01</v>
      </c>
      <c r="G22" s="8" t="s">
        <v>2485</v>
      </c>
      <c r="H22" s="966"/>
      <c r="I22" s="966"/>
      <c r="J22" s="966"/>
      <c r="K22" s="967"/>
    </row>
    <row r="23" spans="1:33" s="973" customFormat="1" ht="13.5" customHeight="1">
      <c r="A23" s="959" t="s">
        <v>2457</v>
      </c>
      <c r="B23" s="983" t="s">
        <v>2486</v>
      </c>
      <c r="C23" s="984">
        <f ca="1">ROUND(C4*F23*F11,0)</f>
        <v>2431</v>
      </c>
      <c r="D23" s="325"/>
      <c r="E23" s="325"/>
      <c r="F23" s="986">
        <f>'数据-取费表'!B38</f>
        <v>0.01</v>
      </c>
      <c r="G23" s="8" t="s">
        <v>2487</v>
      </c>
      <c r="H23" s="966"/>
      <c r="I23" s="966"/>
      <c r="J23" s="966"/>
      <c r="K23" s="967"/>
    </row>
    <row r="24" spans="1:33" s="973" customFormat="1" ht="13.5" customHeight="1">
      <c r="A24" s="959" t="s">
        <v>2488</v>
      </c>
      <c r="B24" s="983" t="s">
        <v>2489</v>
      </c>
      <c r="C24" s="324">
        <f>ROUND(F24/(1+'数据-取费表'!C42),4)</f>
        <v>2.9000000000000001E-2</v>
      </c>
      <c r="D24" s="325" t="s">
        <v>15</v>
      </c>
      <c r="E24" s="325"/>
      <c r="F24" s="986">
        <f>'数据-取费表'!B48+'数据-取费表'!B49</f>
        <v>3.0499999999999999E-2</v>
      </c>
      <c r="G24" s="8" t="s">
        <v>2490</v>
      </c>
      <c r="H24" s="988"/>
      <c r="I24" s="988"/>
      <c r="J24" s="988"/>
      <c r="K24" s="989"/>
    </row>
    <row r="25" spans="1:33" s="973" customFormat="1" ht="13.5" customHeight="1">
      <c r="A25" s="959" t="s">
        <v>2491</v>
      </c>
      <c r="B25" s="985" t="s">
        <v>2492</v>
      </c>
      <c r="C25" s="1354">
        <f ca="1">C27</f>
        <v>1377</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2493</v>
      </c>
      <c r="C26" s="1355">
        <f ca="1">ROUND(IF('数据-取费表'!B22&lt;=1,(1+C24)*F25*'数据-取费表'!B24,(1+C24)*(POWER((1+F25),'数据-取费表'!B24)-1)),4)</f>
        <v>0.10009999999999999</v>
      </c>
      <c r="D26" s="328"/>
      <c r="E26" s="329"/>
      <c r="F26" s="330"/>
      <c r="G26" s="2551"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2494</v>
      </c>
      <c r="C27" s="1356">
        <f ca="1">ROUND(IF('数据-取费表'!B22&lt;=1,(C21+C22+C23)*F25*'数据-取费表'!B24/2,(C21+C22+C23)*(POWER((1+F25),'数据-取费表'!B24/2)-1)),0)</f>
        <v>1377</v>
      </c>
      <c r="D27" s="328"/>
      <c r="E27" s="329"/>
      <c r="F27" s="330"/>
      <c r="G27" s="2551" t="str">
        <f>IF('数据-取费表'!B22&lt;=1,"（1）-（3）项×年利率×建设期÷2","（1）-（3）项×((1+年利率)^(建设期÷2)-1)")</f>
        <v>（1）-（3）项×((1+年利率)^(建设期÷2)-1)</v>
      </c>
      <c r="H27" s="977"/>
      <c r="I27" s="977"/>
      <c r="J27" s="977"/>
      <c r="K27" s="978"/>
    </row>
    <row r="28" spans="1:33" s="333" customFormat="1" ht="13.5" customHeight="1">
      <c r="A28" s="959" t="s">
        <v>2495</v>
      </c>
      <c r="B28" s="2552" t="s">
        <v>2496</v>
      </c>
      <c r="C28" s="331">
        <f ca="1">C30</f>
        <v>4349</v>
      </c>
      <c r="D28" s="324">
        <f ca="1">C29</f>
        <v>0.15440000000000001</v>
      </c>
      <c r="E28" s="326" t="s">
        <v>15</v>
      </c>
      <c r="F28" s="332">
        <f ca="1">IF(C1="",'数据-取费表'!Q16,INDIRECT("'数据-取费表'!q"&amp;$K$1))</f>
        <v>0.15</v>
      </c>
      <c r="G28" s="987"/>
      <c r="H28" s="988"/>
      <c r="I28" s="988"/>
      <c r="J28" s="988"/>
      <c r="K28" s="989"/>
    </row>
    <row r="29" spans="1:33" s="335" customFormat="1" ht="13.5" customHeight="1">
      <c r="A29" s="969" t="s">
        <v>803</v>
      </c>
      <c r="B29" s="992" t="s">
        <v>2497</v>
      </c>
      <c r="C29" s="328">
        <f ca="1">ROUND((1+C24)*F28*'数据-取费表'!B24/'数据-取费表'!B20,4)</f>
        <v>0.15440000000000001</v>
      </c>
      <c r="D29" s="328"/>
      <c r="E29" s="329"/>
      <c r="F29" s="334"/>
      <c r="G29" s="140" t="s">
        <v>2498</v>
      </c>
      <c r="H29" s="977"/>
      <c r="I29" s="977"/>
      <c r="J29" s="977"/>
      <c r="K29" s="978"/>
    </row>
    <row r="30" spans="1:33" s="335" customFormat="1" ht="13.5" customHeight="1">
      <c r="A30" s="969" t="s">
        <v>804</v>
      </c>
      <c r="B30" s="992" t="s">
        <v>2499</v>
      </c>
      <c r="C30" s="336">
        <f ca="1">ROUND((C21+C22+C23)*F28,0)</f>
        <v>4349</v>
      </c>
      <c r="D30" s="328"/>
      <c r="E30" s="329"/>
      <c r="F30" s="334"/>
      <c r="G30" s="140"/>
      <c r="H30" s="977"/>
      <c r="I30" s="977"/>
      <c r="J30" s="977"/>
      <c r="K30" s="978"/>
    </row>
    <row r="31" spans="1:33" s="973" customFormat="1" ht="13.5" customHeight="1" thickBot="1">
      <c r="A31" s="2553" t="s">
        <v>2500</v>
      </c>
      <c r="B31" s="1003" t="s">
        <v>2501</v>
      </c>
      <c r="C31" s="1004">
        <f>ROUND(C4*F31/(1+'数据-取费表'!C42),0)</f>
        <v>12733</v>
      </c>
      <c r="D31" s="1005"/>
      <c r="E31" s="1006"/>
      <c r="F31" s="1007">
        <f>'数据-取费表'!B41</f>
        <v>5.5000000000000007E-2</v>
      </c>
      <c r="G31" s="1008" t="s">
        <v>2502</v>
      </c>
      <c r="H31" s="1009"/>
      <c r="I31" s="1009"/>
      <c r="J31" s="1009"/>
      <c r="K31" s="1010"/>
    </row>
    <row r="32" spans="1:33" s="968" customFormat="1" ht="13.5" customHeight="1" thickBot="1">
      <c r="A32" s="998" t="s">
        <v>2503</v>
      </c>
      <c r="B32" s="999"/>
      <c r="C32" s="1000">
        <f ca="1">ROUND((C4-C21-C22-C23-C25-C28-C31)/(1+C24+D25+D28),0)</f>
        <v>152425</v>
      </c>
      <c r="D32" s="999"/>
      <c r="E32" s="999"/>
      <c r="F32" s="999"/>
      <c r="G32" s="1001" t="s">
        <v>2504</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1"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c r="D1" s="1818"/>
      <c r="E1" s="1819" t="s">
        <v>1387</v>
      </c>
      <c r="F1" s="1281" t="b">
        <f>J53</f>
        <v>0</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0">
        <f ca="1">C6+C10+C12</f>
        <v>0</v>
      </c>
      <c r="D5" s="1820" t="s">
        <v>1602</v>
      </c>
      <c r="E5" s="1291"/>
      <c r="F5" s="1292"/>
      <c r="G5" s="1849"/>
      <c r="H5" s="344">
        <v>1</v>
      </c>
      <c r="I5" s="345" t="s">
        <v>1601</v>
      </c>
      <c r="J5" s="1290">
        <f ca="1">J6+J10+J12</f>
        <v>0</v>
      </c>
      <c r="K5" s="1820" t="s">
        <v>1602</v>
      </c>
      <c r="L5" s="1291"/>
      <c r="M5" s="1292"/>
    </row>
    <row r="6" spans="1:37" ht="18" customHeight="1">
      <c r="A6" s="1289" t="s">
        <v>1035</v>
      </c>
      <c r="B6" s="3243" t="s">
        <v>1403</v>
      </c>
      <c r="C6" s="1294">
        <f ca="1">ROUND(F6*F8*F7*(1-F9),0)</f>
        <v>0</v>
      </c>
      <c r="D6" s="164" t="s">
        <v>3017</v>
      </c>
      <c r="E6" s="347" t="s">
        <v>1405</v>
      </c>
      <c r="F6" s="348">
        <f ca="1">INDIRECT("'数据-取费表'!u"&amp;$G$1)</f>
        <v>0</v>
      </c>
      <c r="G6" s="1849"/>
      <c r="H6" s="1289" t="s">
        <v>1035</v>
      </c>
      <c r="I6" s="3243" t="s">
        <v>1403</v>
      </c>
      <c r="J6" s="346">
        <f ca="1">ROUND(M6*M8*M7*(1-M9),0)</f>
        <v>0</v>
      </c>
      <c r="K6" s="1832" t="s">
        <v>3020</v>
      </c>
      <c r="L6" s="347" t="s">
        <v>1405</v>
      </c>
      <c r="M6" s="348">
        <f ca="1">INDIRECT("'数据-取费表'!z"&amp;$G$1)</f>
        <v>0</v>
      </c>
    </row>
    <row r="7" spans="1:37" ht="18" customHeight="1">
      <c r="A7" s="1293"/>
      <c r="B7" s="3244"/>
      <c r="C7" s="1295"/>
      <c r="D7" s="352"/>
      <c r="E7" s="1296" t="s">
        <v>1406</v>
      </c>
      <c r="F7" s="348">
        <f ca="1">IF(INDIRECT("'数据-取费表'!ah"&amp;$G$1)="",INDIRECT("'数据-取费表'!k"&amp;$G$1),INDIRECT("'数据-取费表'!ah"&amp;$G$1))</f>
        <v>0</v>
      </c>
      <c r="G7" s="1849"/>
      <c r="H7" s="349"/>
      <c r="I7" s="3244"/>
      <c r="J7" s="351"/>
      <c r="K7" s="352"/>
      <c r="L7" s="347" t="s">
        <v>1406</v>
      </c>
      <c r="M7" s="348">
        <f ca="1">F7</f>
        <v>0</v>
      </c>
    </row>
    <row r="8" spans="1:37" ht="18" customHeight="1">
      <c r="A8" s="349"/>
      <c r="B8" s="3244"/>
      <c r="C8" s="351"/>
      <c r="D8" s="352"/>
      <c r="E8" s="347" t="s">
        <v>1407</v>
      </c>
      <c r="F8" s="348">
        <f ca="1">INDIRECT("'数据-取费表'!ai"&amp;$G$1)</f>
        <v>0</v>
      </c>
      <c r="G8" s="1849"/>
      <c r="H8" s="349"/>
      <c r="I8" s="3244"/>
      <c r="J8" s="351"/>
      <c r="K8" s="352"/>
      <c r="L8" s="347" t="s">
        <v>1407</v>
      </c>
      <c r="M8" s="348">
        <f ca="1">INDIRECT("'数据-取费表'!ai"&amp;$G$1)</f>
        <v>0</v>
      </c>
    </row>
    <row r="9" spans="1:37" ht="18" customHeight="1">
      <c r="A9" s="349"/>
      <c r="B9" s="3245"/>
      <c r="C9" s="351"/>
      <c r="D9" s="352"/>
      <c r="E9" s="347" t="s">
        <v>1408</v>
      </c>
      <c r="F9" s="357">
        <f ca="1">INDIRECT("'数据-取费表'!w"&amp;$G$1)</f>
        <v>0</v>
      </c>
      <c r="G9" s="1849"/>
      <c r="H9" s="349"/>
      <c r="I9" s="3245"/>
      <c r="J9" s="351"/>
      <c r="K9" s="352"/>
      <c r="L9" s="358" t="s">
        <v>1408</v>
      </c>
      <c r="M9" s="359">
        <f ca="1">INDIRECT("'数据-取费表'!ab"&amp;$G$1)</f>
        <v>0</v>
      </c>
    </row>
    <row r="10" spans="1:37" ht="18" customHeight="1">
      <c r="A10" s="1289" t="s">
        <v>1039</v>
      </c>
      <c r="B10" s="1821" t="s">
        <v>1409</v>
      </c>
      <c r="C10" s="361">
        <f ca="1">ROUND(IF(F10="押一",F6*F8*F7/12*F11,IF(F10="押二",F6*F8*F7/12*2*F11,IF(F10="押三",F6*F8*F7/12*3*F11,C11*F11))),0)</f>
        <v>0</v>
      </c>
      <c r="D10" s="1822" t="s">
        <v>3018</v>
      </c>
      <c r="E10" s="358" t="s">
        <v>1411</v>
      </c>
      <c r="F10" s="1364"/>
      <c r="G10" s="1849"/>
      <c r="H10" s="1289" t="s">
        <v>1039</v>
      </c>
      <c r="I10" s="1821" t="s">
        <v>1409</v>
      </c>
      <c r="J10" s="346">
        <f ca="1">ROUND(IF(M10="押一",M6*M8*M7/12*M11,IF(M10="押二",M6*M8*M7/12*2*M11,IF(M10="押三",M6*M8*M7/12*3*M11,J11*M11))),0)</f>
        <v>0</v>
      </c>
      <c r="K10" s="1833" t="s">
        <v>3019</v>
      </c>
      <c r="L10" s="358" t="s">
        <v>1411</v>
      </c>
      <c r="M10" s="1364"/>
    </row>
    <row r="11" spans="1:37" ht="18" customHeight="1">
      <c r="A11" s="353"/>
      <c r="B11" s="1823" t="s">
        <v>1603</v>
      </c>
      <c r="C11" s="1176"/>
      <c r="D11" s="352"/>
      <c r="E11" s="358" t="s">
        <v>1413</v>
      </c>
      <c r="F11" s="359">
        <f ca="1">'数据-取费表'!B39</f>
        <v>1.4999999999999999E-2</v>
      </c>
      <c r="G11" s="1849"/>
      <c r="H11" s="1297"/>
      <c r="I11" s="1823" t="s">
        <v>1604</v>
      </c>
      <c r="J11" s="1176"/>
      <c r="K11" s="747"/>
      <c r="L11" s="358"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5">
        <f ca="1">ROUND(C29*F13,0)</f>
        <v>0</v>
      </c>
      <c r="D13" s="1329" t="s">
        <v>1416</v>
      </c>
      <c r="E13" s="1329" t="s">
        <v>1417</v>
      </c>
      <c r="F13" s="1330">
        <f ca="1">INDIRECT("'数据-取费表'!y"&amp;$G$1)</f>
        <v>0</v>
      </c>
      <c r="G13" s="1849"/>
      <c r="H13" s="1327">
        <v>2</v>
      </c>
      <c r="I13" s="1328" t="s">
        <v>1415</v>
      </c>
      <c r="J13" s="1288">
        <f ca="1">ROUND(J14*J15,0)</f>
        <v>0</v>
      </c>
      <c r="K13" s="1335" t="s">
        <v>1416</v>
      </c>
      <c r="L13" s="1850"/>
      <c r="M13" s="1851"/>
    </row>
    <row r="14" spans="1:37" ht="18" customHeight="1">
      <c r="A14" s="1199" t="s">
        <v>1034</v>
      </c>
      <c r="B14" s="347" t="s">
        <v>1418</v>
      </c>
      <c r="C14" s="363">
        <f ca="1">ROUND(INDIRECT("'数据-取费表'!l"&amp;$G$1)*F43+'数据-取费表'!L14*INDIRECT("'数据-取费表'!S"&amp;$G$1),0)</f>
        <v>0</v>
      </c>
      <c r="D14" s="1798" t="s">
        <v>1419</v>
      </c>
      <c r="E14" s="1792"/>
      <c r="F14" s="364"/>
      <c r="G14" s="1849"/>
      <c r="H14" s="1199" t="s">
        <v>1035</v>
      </c>
      <c r="I14" s="347" t="s">
        <v>1420</v>
      </c>
      <c r="J14" s="24">
        <f ca="1">C29</f>
        <v>0</v>
      </c>
      <c r="K14" s="15"/>
      <c r="L14" s="977"/>
      <c r="M14" s="978"/>
    </row>
    <row r="15" spans="1:37" s="1856" customFormat="1" ht="18" customHeight="1" thickBot="1">
      <c r="A15" s="1199" t="s">
        <v>1036</v>
      </c>
      <c r="B15" s="347" t="s">
        <v>1421</v>
      </c>
      <c r="C15" s="24">
        <f ca="1">ROUND(C14*F15,0)</f>
        <v>0</v>
      </c>
      <c r="D15" s="365" t="s">
        <v>1422</v>
      </c>
      <c r="E15" s="365" t="s">
        <v>1423</v>
      </c>
      <c r="F15" s="366">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1424</v>
      </c>
      <c r="C16" s="24">
        <f ca="1">ROUND(INDIRECT("'数据-取费表'!l"&amp;$G$1)*F43*F16,0)</f>
        <v>0</v>
      </c>
      <c r="D16" s="347" t="s">
        <v>1422</v>
      </c>
      <c r="E16" s="347" t="s">
        <v>1423</v>
      </c>
      <c r="F16" s="367">
        <f ca="1">IF(INDIRECT("'数据-取费表'!c"&amp;$G$1)="住宅",'数据-取费表'!B34,0)</f>
        <v>0</v>
      </c>
      <c r="G16" s="1849"/>
      <c r="H16" s="1327" t="s">
        <v>1030</v>
      </c>
      <c r="I16" s="1328" t="s">
        <v>1425</v>
      </c>
      <c r="J16" s="355">
        <f ca="1">ROUND(J17+J22+J23+J24,0)</f>
        <v>0</v>
      </c>
      <c r="K16" s="1335" t="s">
        <v>1426</v>
      </c>
      <c r="L16" s="1336"/>
      <c r="M16" s="1292"/>
    </row>
    <row r="17" spans="1:37" s="1856" customFormat="1" ht="18" customHeight="1">
      <c r="A17" s="1199" t="s">
        <v>1390</v>
      </c>
      <c r="B17" s="347" t="s">
        <v>1427</v>
      </c>
      <c r="C17" s="24">
        <f ca="1">ROUND(F17*(F43+INDIRECT("'数据-取费表'!S"&amp;$G$1)),0)</f>
        <v>0</v>
      </c>
      <c r="D17" s="347" t="s">
        <v>1428</v>
      </c>
      <c r="E17" s="347" t="s">
        <v>1429</v>
      </c>
      <c r="F17" s="26">
        <f>'数据-取费表'!B35</f>
        <v>200</v>
      </c>
      <c r="G17" s="1852"/>
      <c r="H17" s="1199" t="s">
        <v>1035</v>
      </c>
      <c r="I17" s="347" t="s">
        <v>1430</v>
      </c>
      <c r="J17" s="24">
        <f ca="1">ROUND(IF(项目基本情况!B11="自然人",J5*M17,J18+J19+J20),0)</f>
        <v>0</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1433</v>
      </c>
      <c r="C18" s="24">
        <f ca="1">ROUND(C14*F18,0)</f>
        <v>0</v>
      </c>
      <c r="D18" s="347" t="s">
        <v>1422</v>
      </c>
      <c r="E18" s="347" t="s">
        <v>1423</v>
      </c>
      <c r="F18" s="367">
        <f>'数据-取费表'!B36</f>
        <v>1.4999999999999999E-2</v>
      </c>
      <c r="G18" s="1852"/>
      <c r="H18" s="1199" t="s">
        <v>1034</v>
      </c>
      <c r="I18" s="347" t="s">
        <v>1434</v>
      </c>
      <c r="J18" s="24">
        <f ca="1">ROUND(J5*M18/(1+'数据-取费表'!C42),0)</f>
        <v>0</v>
      </c>
      <c r="K18" s="1796" t="s">
        <v>1435</v>
      </c>
      <c r="L18" s="347" t="s">
        <v>1423</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1436</v>
      </c>
      <c r="C19" s="24">
        <f ca="1">SUM(C14:C18)</f>
        <v>0</v>
      </c>
      <c r="D19" s="140" t="s">
        <v>1437</v>
      </c>
      <c r="E19" s="1816"/>
      <c r="F19" s="26"/>
      <c r="G19" s="1849"/>
      <c r="H19" s="1199" t="s">
        <v>1036</v>
      </c>
      <c r="I19" s="347" t="s">
        <v>1438</v>
      </c>
      <c r="J19" s="24">
        <f ca="1">IF(K19="按租金收入计税",ROUND(J5*M19,0),ROUND(C29*M19*0.7,0))</f>
        <v>0</v>
      </c>
      <c r="K19" s="1826" t="s">
        <v>1439</v>
      </c>
      <c r="L19" s="347" t="s">
        <v>1423</v>
      </c>
      <c r="M19" s="367">
        <f>IF(K19="按租金收入计税",'数据-取费表'!B51,'数据-取费表'!B50)</f>
        <v>1.2E-2</v>
      </c>
    </row>
    <row r="20" spans="1:37" s="1856" customFormat="1" ht="18" customHeight="1">
      <c r="A20" s="1199" t="s">
        <v>1039</v>
      </c>
      <c r="B20" s="347" t="s">
        <v>1440</v>
      </c>
      <c r="C20" s="24">
        <f ca="1">ROUND(C19*F20,0)</f>
        <v>0</v>
      </c>
      <c r="D20" s="369" t="s">
        <v>1441</v>
      </c>
      <c r="E20" s="347" t="s">
        <v>1423</v>
      </c>
      <c r="F20" s="367">
        <f>'数据-取费表'!B37</f>
        <v>0.01</v>
      </c>
      <c r="G20" s="1852"/>
      <c r="H20" s="1199" t="s">
        <v>1389</v>
      </c>
      <c r="I20" s="164" t="s">
        <v>1442</v>
      </c>
      <c r="J20" s="25">
        <f ca="1">ROUND(M20*M21,0)</f>
        <v>0</v>
      </c>
      <c r="K20" s="370" t="s">
        <v>1443</v>
      </c>
      <c r="L20" s="347" t="s">
        <v>1444</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1445</v>
      </c>
      <c r="C21" s="24" t="s">
        <v>1</v>
      </c>
      <c r="D21" s="369" t="s">
        <v>1446</v>
      </c>
      <c r="E21" s="347" t="s">
        <v>1447</v>
      </c>
      <c r="F21" s="367">
        <f>'数据-取费表'!B38</f>
        <v>0.01</v>
      </c>
      <c r="G21" s="1852"/>
      <c r="H21" s="372"/>
      <c r="I21" s="356"/>
      <c r="J21" s="29"/>
      <c r="K21" s="373"/>
      <c r="L21" s="347" t="s">
        <v>1448</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1449</v>
      </c>
      <c r="C22" s="24"/>
      <c r="D22" s="140" t="str">
        <f>IF(F23&lt;=1,"单利计息。","复利计息。")&amp;"建造成本、管理费用、销售费用产生的利息。"</f>
        <v>复利计息。建造成本、管理费用、销售费用产生的利息。</v>
      </c>
      <c r="E22" s="1816"/>
      <c r="F22" s="26"/>
      <c r="G22" s="1849"/>
      <c r="H22" s="1199" t="s">
        <v>1039</v>
      </c>
      <c r="I22" s="347" t="s">
        <v>1450</v>
      </c>
      <c r="J22" s="24">
        <f ca="1">ROUND(J14*M22,0)</f>
        <v>0</v>
      </c>
      <c r="K22" s="1796" t="s">
        <v>1451</v>
      </c>
      <c r="L22" s="347" t="s">
        <v>1423</v>
      </c>
      <c r="M22" s="374">
        <f ca="1">INDIRECT("'数据-取费表'!Ak"&amp;$G$1)</f>
        <v>0</v>
      </c>
    </row>
    <row r="23" spans="1:37" s="1856" customFormat="1" ht="18" customHeight="1">
      <c r="A23" s="1199"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2"/>
      <c r="H23" s="1199" t="s">
        <v>1075</v>
      </c>
      <c r="I23" s="347" t="s">
        <v>1454</v>
      </c>
      <c r="J23" s="24">
        <f ca="1">ROUND(J13*M23,0)</f>
        <v>0</v>
      </c>
      <c r="K23" s="1796" t="s">
        <v>1455</v>
      </c>
      <c r="L23" s="347" t="s">
        <v>1456</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7" t="s">
        <v>1393</v>
      </c>
      <c r="I24" s="1338" t="s">
        <v>1440</v>
      </c>
      <c r="J24" s="1339">
        <f ca="1">ROUND(J5*M24,0)</f>
        <v>0</v>
      </c>
      <c r="K24" s="1340" t="s">
        <v>1460</v>
      </c>
      <c r="L24" s="1338" t="s">
        <v>1456</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1461</v>
      </c>
      <c r="B25" s="347" t="s">
        <v>1462</v>
      </c>
      <c r="C25" s="24"/>
      <c r="D25" s="140" t="s">
        <v>1463</v>
      </c>
      <c r="E25" s="1816"/>
      <c r="F25" s="26"/>
      <c r="G25" s="1849"/>
      <c r="H25" s="1327" t="s">
        <v>1031</v>
      </c>
      <c r="I25" s="1342" t="s">
        <v>1464</v>
      </c>
      <c r="J25" s="355">
        <f ca="1">J5-J16</f>
        <v>0</v>
      </c>
      <c r="K25" s="1343" t="s">
        <v>1465</v>
      </c>
      <c r="L25" s="1344"/>
      <c r="M25" s="1345"/>
    </row>
    <row r="26" spans="1:37" ht="18" customHeight="1">
      <c r="A26" s="1199" t="s">
        <v>1034</v>
      </c>
      <c r="B26" s="347" t="s">
        <v>1466</v>
      </c>
      <c r="C26" s="24">
        <f ca="1">ROUND((C19+C20)*F26,0)</f>
        <v>0</v>
      </c>
      <c r="D26" s="369" t="s">
        <v>1467</v>
      </c>
      <c r="E26" s="358" t="s">
        <v>1468</v>
      </c>
      <c r="F26" s="357">
        <f ca="1">INDIRECT("'数据-取费表'!q"&amp;$G$1)</f>
        <v>0</v>
      </c>
      <c r="G26" s="1849"/>
      <c r="H26" s="344" t="s">
        <v>1032</v>
      </c>
      <c r="I26" s="345" t="s">
        <v>1469</v>
      </c>
      <c r="J26" s="346">
        <f ca="1">IF(J5&lt;&gt;0,ROUND(J25*(1-((1+M28)/(1+M26))^M27)/(M26-M28),0),0)</f>
        <v>0</v>
      </c>
      <c r="K26" s="370" t="s">
        <v>1470</v>
      </c>
      <c r="L26" s="347" t="s">
        <v>1471</v>
      </c>
      <c r="M26" s="357">
        <f ca="1">INDIRECT("'数据-取费表'!I"&amp;$G$1)</f>
        <v>0</v>
      </c>
    </row>
    <row r="27" spans="1:37" ht="18" customHeight="1">
      <c r="A27" s="1199" t="s">
        <v>1036</v>
      </c>
      <c r="B27" s="347" t="s">
        <v>1472</v>
      </c>
      <c r="C27" s="24">
        <f ca="1">ROUND(F21*F26,4)</f>
        <v>0</v>
      </c>
      <c r="D27" s="369" t="s">
        <v>1473</v>
      </c>
      <c r="E27" s="365"/>
      <c r="F27" s="366"/>
      <c r="G27" s="1849"/>
      <c r="H27" s="349"/>
      <c r="I27" s="350"/>
      <c r="J27" s="351"/>
      <c r="K27" s="378" t="s">
        <v>1474</v>
      </c>
      <c r="L27" s="347" t="s">
        <v>1475</v>
      </c>
      <c r="M27" s="379">
        <f ca="1">INDIRECT("'数据-取费表'!ag"&amp;$G$1)</f>
        <v>0</v>
      </c>
    </row>
    <row r="28" spans="1:37" s="1856" customFormat="1" ht="18" customHeight="1">
      <c r="A28" s="1199" t="s">
        <v>1037</v>
      </c>
      <c r="B28" s="347" t="s">
        <v>1476</v>
      </c>
      <c r="C28" s="24">
        <f>ROUND(F28/(1+'数据-取费表'!C42),4)</f>
        <v>5.2400000000000002E-2</v>
      </c>
      <c r="D28" s="369" t="s">
        <v>1477</v>
      </c>
      <c r="E28" s="347" t="s">
        <v>1423</v>
      </c>
      <c r="F28" s="367">
        <f>'数据-取费表'!B41</f>
        <v>5.5000000000000007E-2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0</v>
      </c>
      <c r="D29" s="1340"/>
      <c r="E29" s="1338"/>
      <c r="F29" s="1341"/>
      <c r="G29" s="1852"/>
      <c r="H29" s="380" t="s">
        <v>1033</v>
      </c>
      <c r="I29" s="381" t="s">
        <v>1480</v>
      </c>
      <c r="J29" s="382">
        <f ca="1">ROUND(J26/(1+F40)^F41,0)</f>
        <v>0</v>
      </c>
      <c r="K29" s="383" t="s">
        <v>1481</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5">
        <f ca="1">ROUND(C31+C36+C37+C38,0)</f>
        <v>0</v>
      </c>
      <c r="D30" s="1335" t="s">
        <v>1426</v>
      </c>
      <c r="E30" s="1336"/>
      <c r="F30" s="1292"/>
      <c r="G30" s="1849"/>
      <c r="H30" s="744"/>
      <c r="I30" s="745"/>
      <c r="J30" s="746"/>
      <c r="K30" s="747"/>
      <c r="L30" s="748"/>
      <c r="M30" s="749"/>
    </row>
    <row r="31" spans="1:37" ht="18" customHeight="1">
      <c r="A31" s="1199" t="s">
        <v>1035</v>
      </c>
      <c r="B31" s="347" t="s">
        <v>1430</v>
      </c>
      <c r="C31" s="24">
        <f ca="1">ROUND(IF(项目基本情况!B11="自然人",C5*F31,C32+C33+C34),0)</f>
        <v>0</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7" t="s">
        <v>1434</v>
      </c>
      <c r="C32" s="24">
        <f ca="1">IF(项目基本情况!B11="自然人","——",ROUND(C5*F32/(1+'数据-取费表'!C42),0))</f>
        <v>0</v>
      </c>
      <c r="D32" s="1796" t="s">
        <v>1435</v>
      </c>
      <c r="E32" s="347" t="s">
        <v>1423</v>
      </c>
      <c r="F32" s="377">
        <f>'数据-取费表'!B41</f>
        <v>5.5000000000000007E-2</v>
      </c>
      <c r="G32" s="1849"/>
      <c r="H32" s="744"/>
      <c r="I32" s="745"/>
      <c r="J32" s="746"/>
      <c r="K32" s="747"/>
      <c r="L32" s="748"/>
      <c r="M32" s="749"/>
    </row>
    <row r="33" spans="1:18" ht="18" customHeight="1">
      <c r="A33" s="1199" t="s">
        <v>1036</v>
      </c>
      <c r="B33" s="347" t="s">
        <v>1438</v>
      </c>
      <c r="C33" s="24">
        <f ca="1">IF(项目基本情况!B11="自然人","——",IF(D33="按租金收入计税",ROUND(C5*F33,0),IF(D33="按房产原值计税",ROUND(C29*F33*0.7,0),INDIRECT("'数据-取费表'!Aj"&amp;$G$1))))</f>
        <v>0</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89" t="s">
        <v>1389</v>
      </c>
      <c r="B34" s="164" t="s">
        <v>1442</v>
      </c>
      <c r="C34" s="25">
        <f ca="1">IF(项目基本情况!B11="自然人","——",ROUND(F34*F35,))</f>
        <v>0</v>
      </c>
      <c r="D34" s="370" t="s">
        <v>1443</v>
      </c>
      <c r="E34" s="347" t="s">
        <v>1444</v>
      </c>
      <c r="F34" s="371">
        <f>'数据-取费表'!B52</f>
        <v>1.5</v>
      </c>
      <c r="G34" s="1849"/>
      <c r="H34" s="744"/>
      <c r="I34" s="1858"/>
      <c r="J34" s="1859"/>
      <c r="K34" s="1861"/>
      <c r="L34" s="1862"/>
      <c r="M34" s="1862"/>
    </row>
    <row r="35" spans="1:18" ht="18" customHeight="1">
      <c r="A35" s="1351"/>
      <c r="B35" s="1349"/>
      <c r="C35" s="29"/>
      <c r="D35" s="373"/>
      <c r="E35" s="347" t="s">
        <v>1448</v>
      </c>
      <c r="F35" s="348">
        <f ca="1">INDIRECT("'数据-取费表'!r"&amp;$G$1)</f>
        <v>0</v>
      </c>
      <c r="G35" s="1849"/>
      <c r="H35" s="744"/>
      <c r="I35" s="1858"/>
      <c r="J35" s="1859"/>
      <c r="K35" s="1860"/>
      <c r="L35" s="1857"/>
      <c r="M35" s="1857"/>
    </row>
    <row r="36" spans="1:18" ht="18" customHeight="1">
      <c r="A36" s="1350" t="s">
        <v>1039</v>
      </c>
      <c r="B36" s="347" t="s">
        <v>1450</v>
      </c>
      <c r="C36" s="24">
        <f ca="1">ROUND(C29*F36,0)</f>
        <v>0</v>
      </c>
      <c r="D36" s="1796" t="s">
        <v>1483</v>
      </c>
      <c r="E36" s="347" t="s">
        <v>1423</v>
      </c>
      <c r="F36" s="374">
        <f ca="1">INDIRECT("'数据-取费表'!Ak"&amp;$G$1)</f>
        <v>0</v>
      </c>
      <c r="G36" s="1849"/>
      <c r="H36" s="1857"/>
      <c r="I36" s="1858"/>
      <c r="J36" s="1859"/>
      <c r="K36" s="750"/>
      <c r="L36" s="1857"/>
      <c r="M36" s="1857"/>
    </row>
    <row r="37" spans="1:18" ht="18" customHeight="1">
      <c r="A37" s="1199" t="s">
        <v>1075</v>
      </c>
      <c r="B37" s="347" t="s">
        <v>1454</v>
      </c>
      <c r="C37" s="24">
        <f ca="1">ROUND(C13*F37,0)</f>
        <v>0</v>
      </c>
      <c r="D37" s="1796" t="s">
        <v>1455</v>
      </c>
      <c r="E37" s="347" t="s">
        <v>1456</v>
      </c>
      <c r="F37" s="376">
        <f ca="1">INDIRECT("'数据-取费表'!Al"&amp;$G$1)</f>
        <v>0</v>
      </c>
      <c r="G37" s="1849"/>
      <c r="H37" s="1857"/>
      <c r="I37" s="1858"/>
      <c r="J37" s="1859"/>
      <c r="K37" s="750"/>
      <c r="L37" s="1857"/>
      <c r="M37" s="1857"/>
    </row>
    <row r="38" spans="1:18" ht="18" customHeight="1" thickBot="1">
      <c r="A38" s="1337" t="s">
        <v>1393</v>
      </c>
      <c r="B38" s="1338" t="s">
        <v>1440</v>
      </c>
      <c r="C38" s="1339">
        <f ca="1">ROUND(C5*F38,1)</f>
        <v>0</v>
      </c>
      <c r="D38" s="1340" t="s">
        <v>1460</v>
      </c>
      <c r="E38" s="1338" t="s">
        <v>1456</v>
      </c>
      <c r="F38" s="1334">
        <f ca="1">INDIRECT("'数据-取费表'!Am"&amp;$G$1)</f>
        <v>0</v>
      </c>
      <c r="G38" s="1849"/>
      <c r="H38" s="1857"/>
      <c r="I38" s="1858"/>
      <c r="J38" s="1859"/>
      <c r="K38" s="1863"/>
      <c r="L38" s="1857"/>
      <c r="M38" s="1857"/>
    </row>
    <row r="39" spans="1:18" ht="24.6" customHeight="1" thickTop="1">
      <c r="A39" s="1327" t="s">
        <v>1031</v>
      </c>
      <c r="B39" s="1342" t="s">
        <v>1484</v>
      </c>
      <c r="C39" s="355">
        <f ca="1">C5-C30</f>
        <v>0</v>
      </c>
      <c r="D39" s="1343" t="s">
        <v>1485</v>
      </c>
      <c r="E39" s="1344"/>
      <c r="F39" s="1345"/>
      <c r="G39" s="1849"/>
      <c r="H39" s="1857"/>
      <c r="I39" s="1858"/>
      <c r="J39" s="1859"/>
      <c r="K39" s="1863"/>
      <c r="L39" s="1857"/>
      <c r="M39" s="1857"/>
    </row>
    <row r="40" spans="1:18" ht="18" customHeight="1">
      <c r="A40" s="344" t="s">
        <v>1032</v>
      </c>
      <c r="B40" s="345" t="s">
        <v>1486</v>
      </c>
      <c r="C40" s="346" t="e">
        <f ca="1">ROUND(C39*(1-((1+F42)/(1+F40))^F41)/(F40-F42),0)</f>
        <v>#DIV/0!</v>
      </c>
      <c r="D40" s="370" t="s">
        <v>1470</v>
      </c>
      <c r="E40" s="347" t="s">
        <v>1471</v>
      </c>
      <c r="F40" s="357">
        <f ca="1">INDIRECT("'数据-取费表'!I"&amp;$G$1)</f>
        <v>0</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t="e">
        <f ca="1">ROUND(C40/F43,0)</f>
        <v>#DIV/0!</v>
      </c>
      <c r="D43" s="383" t="s">
        <v>1489</v>
      </c>
      <c r="E43" s="384" t="s">
        <v>1490</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5"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5" thickBot="1">
      <c r="A47" s="1163" t="s">
        <v>1396</v>
      </c>
      <c r="B47" s="1195" t="s">
        <v>1397</v>
      </c>
      <c r="C47" s="1195" t="s">
        <v>1398</v>
      </c>
      <c r="D47" s="1195" t="s">
        <v>1399</v>
      </c>
      <c r="E47" s="1277" t="s">
        <v>1400</v>
      </c>
      <c r="F47" s="1278"/>
      <c r="G47" s="791"/>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28.5" thickBot="1">
      <c r="A48" s="1358" t="s">
        <v>1135</v>
      </c>
      <c r="B48" s="345" t="s">
        <v>1401</v>
      </c>
      <c r="C48" s="1815">
        <f ca="1">C49+C53+C55</f>
        <v>0</v>
      </c>
      <c r="D48" s="1360"/>
      <c r="E48" s="1361"/>
      <c r="F48" s="1179"/>
      <c r="G48" s="791"/>
      <c r="H48" s="792"/>
      <c r="I48" s="1885" t="s">
        <v>1531</v>
      </c>
      <c r="J48" s="1886"/>
      <c r="K48" s="1887" t="s">
        <v>1532</v>
      </c>
      <c r="L48" s="1888">
        <f ca="1">INDIRECT("'数据-取费表'!f"&amp;$G$1)</f>
        <v>0</v>
      </c>
      <c r="O48" s="1882" t="s">
        <v>1041</v>
      </c>
      <c r="P48" s="1883" t="s">
        <v>1533</v>
      </c>
      <c r="Q48" s="1884" t="e">
        <f ca="1">J60</f>
        <v>#DIV/0!</v>
      </c>
      <c r="R48" s="1884" t="s">
        <v>1534</v>
      </c>
    </row>
    <row r="49" spans="1:18" s="1840" customFormat="1" ht="13.5" thickBot="1">
      <c r="A49" s="1192" t="s">
        <v>1136</v>
      </c>
      <c r="B49" s="1827" t="s">
        <v>1491</v>
      </c>
      <c r="C49" s="1362">
        <f ca="1">ROUND(F49*F51*F50*(1-F52),0)</f>
        <v>0</v>
      </c>
      <c r="D49" s="1274" t="s">
        <v>1404</v>
      </c>
      <c r="E49" s="1828" t="s">
        <v>1492</v>
      </c>
      <c r="F49" s="1279"/>
      <c r="G49" s="1889"/>
      <c r="H49" s="792"/>
      <c r="I49" s="1885" t="s">
        <v>1535</v>
      </c>
      <c r="J49" s="1890"/>
      <c r="K49" s="1887" t="s">
        <v>1536</v>
      </c>
      <c r="L49" s="1891"/>
      <c r="O49" s="1892" t="s">
        <v>1042</v>
      </c>
      <c r="P49" s="1883" t="s">
        <v>1537</v>
      </c>
      <c r="Q49" s="1884">
        <f ca="1">C29</f>
        <v>0</v>
      </c>
      <c r="R49" s="1884" t="s">
        <v>1530</v>
      </c>
    </row>
    <row r="50" spans="1:18" s="1840" customFormat="1" ht="13.5" thickBot="1">
      <c r="A50" s="1193"/>
      <c r="B50" s="1196"/>
      <c r="C50" s="1197"/>
      <c r="D50" s="1170"/>
      <c r="E50" s="1275" t="s">
        <v>1406</v>
      </c>
      <c r="F50" s="1276">
        <f ca="1">F7</f>
        <v>0</v>
      </c>
      <c r="H50" s="792"/>
      <c r="I50" s="1885" t="s">
        <v>1538</v>
      </c>
      <c r="J50" s="1893">
        <f>SUMPRODUCT((I63:I65=J47)*(J62:L62=J48)*(J63:L65))</f>
        <v>0</v>
      </c>
      <c r="K50" s="1887" t="s">
        <v>1539</v>
      </c>
      <c r="L50" s="1891"/>
      <c r="M50" s="1894"/>
      <c r="O50" s="1892" t="s">
        <v>1043</v>
      </c>
      <c r="P50" s="1883" t="s">
        <v>1540</v>
      </c>
      <c r="Q50" s="1895" t="e">
        <f ca="1">J58</f>
        <v>#DIV/0!</v>
      </c>
      <c r="R50" s="1884"/>
    </row>
    <row r="51" spans="1:18" s="1840" customFormat="1" ht="13.5" thickBot="1">
      <c r="A51" s="1194"/>
      <c r="B51" s="1196"/>
      <c r="C51" s="1197"/>
      <c r="D51" s="1170"/>
      <c r="E51" s="1198" t="s">
        <v>1407</v>
      </c>
      <c r="F51" s="348">
        <f ca="1">F8</f>
        <v>0</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t="b">
        <f>J53</f>
        <v>0</v>
      </c>
      <c r="R52" s="1884" t="s">
        <v>1547</v>
      </c>
    </row>
    <row r="53" spans="1:18" s="1840" customFormat="1" ht="30.75" customHeight="1" thickBot="1">
      <c r="A53" s="1359" t="s">
        <v>1137</v>
      </c>
      <c r="B53" s="369" t="s">
        <v>1409</v>
      </c>
      <c r="C53" s="361">
        <f ca="1">ROUND(IF(F53="押一",F49*F51*F50/12*F11,IF(F53="押二",F49*F51*F50/12*2*F11,IF(F53="押三",F49*F51*F50/12*3*F11,C54*F11))),0)</f>
        <v>0</v>
      </c>
      <c r="D53" s="1822" t="s">
        <v>1410</v>
      </c>
      <c r="E53" s="358" t="s">
        <v>1411</v>
      </c>
      <c r="F53" s="1364"/>
      <c r="I53" s="1903" t="s">
        <v>1548</v>
      </c>
      <c r="J53" s="1904" t="b">
        <f>IF(M47="住宅",J51,IF(D1="——",MIN(J51,L48),IF(D1="在建（套用方法）",MIN(J51,L48-'数据-取费表'!B24),IF(D1="土地（套用方法）",MIN(J51,L48-'数据-取费表'!B20)))))</f>
        <v>0</v>
      </c>
      <c r="K53" s="3246" t="s">
        <v>1549</v>
      </c>
      <c r="L53" s="3247"/>
      <c r="O53" s="1882" t="s">
        <v>1046</v>
      </c>
      <c r="P53" s="1883" t="s">
        <v>1550</v>
      </c>
      <c r="Q53" s="1884" t="e">
        <f ca="1">Q47+Q48</f>
        <v>#DIV/0!</v>
      </c>
      <c r="R53" s="1884" t="s">
        <v>1047</v>
      </c>
    </row>
    <row r="54" spans="1:18" s="1840" customFormat="1" ht="13.5" thickBot="1">
      <c r="A54" s="1192"/>
      <c r="B54" s="1939" t="s">
        <v>1604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4">
        <v>2</v>
      </c>
      <c r="B56" s="1175" t="s">
        <v>1415</v>
      </c>
      <c r="C56" s="276">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75" thickBot="1">
      <c r="A57" s="1916"/>
      <c r="B57" s="1167" t="s">
        <v>1479</v>
      </c>
      <c r="C57" s="282">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75" thickBot="1">
      <c r="A58" s="360" t="s">
        <v>1030</v>
      </c>
      <c r="B58" s="1175" t="s">
        <v>1425</v>
      </c>
      <c r="C58" s="361">
        <f ca="1">ROUND(C59+C64+C65+C66,0)</f>
        <v>0</v>
      </c>
      <c r="D58" s="1177" t="s">
        <v>1426</v>
      </c>
      <c r="E58" s="1178"/>
      <c r="F58" s="1179"/>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ROUND(IF(项目基本情况!B11="自然人",C48*F59,C60+C61+C62),0)</f>
        <v>0</v>
      </c>
      <c r="D59" s="1180" t="s">
        <v>1431</v>
      </c>
      <c r="E59" s="1181" t="s">
        <v>1432</v>
      </c>
      <c r="F59" s="368"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IF(项目基本情况!B11="自然人","——",ROUND(C48*F60/(1+'数据-取费表'!C42),0))</f>
        <v>0</v>
      </c>
      <c r="D60" s="1181" t="s">
        <v>1435</v>
      </c>
      <c r="E60" s="1167" t="s">
        <v>1423</v>
      </c>
      <c r="F60" s="377">
        <f t="shared" ref="F60:F66" si="0">F32</f>
        <v>5.5000000000000007E-2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5" thickBot="1">
      <c r="A61" s="1199" t="s">
        <v>1493</v>
      </c>
      <c r="B61" s="1167" t="s">
        <v>1494</v>
      </c>
      <c r="C61" s="24">
        <f ca="1">IF(项目基本情况!B11="自然人","——",IF(D61="按租金收入计税",ROUND(C48*F61,0),IF(D61="按房产原值计税",ROUND(C57*F61*0.7,0),INDIRECT("'数据-取费表'!Aj"&amp;$G$1))))</f>
        <v>0</v>
      </c>
      <c r="D61" s="1826" t="s">
        <v>1439</v>
      </c>
      <c r="E61" s="1167" t="s">
        <v>1495</v>
      </c>
      <c r="F61" s="367">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5" thickBot="1">
      <c r="A62" s="1199" t="s">
        <v>1496</v>
      </c>
      <c r="B62" s="1166" t="s">
        <v>1497</v>
      </c>
      <c r="C62" s="25">
        <f ca="1">IF(项目基本情况!B11="自然人","——",ROUND(F62*F63,0))</f>
        <v>0</v>
      </c>
      <c r="D62" s="1182" t="s">
        <v>1498</v>
      </c>
      <c r="E62" s="1167" t="s">
        <v>1499</v>
      </c>
      <c r="F62" s="371">
        <f t="shared" si="0"/>
        <v>1.5</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5" thickBot="1">
      <c r="A63" s="372"/>
      <c r="B63" s="1173"/>
      <c r="C63" s="29"/>
      <c r="D63" s="1183"/>
      <c r="E63" s="1167" t="s">
        <v>1500</v>
      </c>
      <c r="F63" s="348">
        <f t="shared" ca="1" si="0"/>
        <v>0</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4">
        <f ca="1">ROUND(C57*F64,0)</f>
        <v>0</v>
      </c>
      <c r="D64" s="1181" t="s">
        <v>1503</v>
      </c>
      <c r="E64" s="1167" t="s">
        <v>1495</v>
      </c>
      <c r="F64" s="374">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ROUND(C56*F65,0)</f>
        <v>0</v>
      </c>
      <c r="D65" s="1181" t="s">
        <v>1455</v>
      </c>
      <c r="E65" s="1167" t="s">
        <v>1456</v>
      </c>
      <c r="F65" s="376">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5" thickBot="1">
      <c r="A66" s="1199" t="s">
        <v>1505</v>
      </c>
      <c r="B66" s="1167" t="s">
        <v>1440</v>
      </c>
      <c r="C66" s="24">
        <f ca="1">ROUND(C48*F66,0)</f>
        <v>0</v>
      </c>
      <c r="D66" s="1181" t="s">
        <v>1506</v>
      </c>
      <c r="E66" s="1167" t="s">
        <v>1423</v>
      </c>
      <c r="F66" s="357">
        <f t="shared" ca="1" si="0"/>
        <v>0</v>
      </c>
      <c r="O66" s="1882" t="s">
        <v>1041</v>
      </c>
      <c r="P66" s="1883" t="s">
        <v>1559</v>
      </c>
      <c r="Q66" s="1884" t="e">
        <f ca="1">L60</f>
        <v>#DIV/0!</v>
      </c>
      <c r="R66" s="1884" t="s">
        <v>1582</v>
      </c>
    </row>
    <row r="67" spans="1:18" s="1840" customFormat="1" ht="16.5" thickBot="1">
      <c r="A67" s="1174" t="s">
        <v>1031</v>
      </c>
      <c r="B67" s="1184" t="s">
        <v>1464</v>
      </c>
      <c r="C67" s="361">
        <f ca="1">C48-C58</f>
        <v>0</v>
      </c>
      <c r="D67" s="1180" t="s">
        <v>1465</v>
      </c>
      <c r="E67" s="1185"/>
      <c r="F67" s="1186"/>
      <c r="O67" s="1892" t="s">
        <v>1042</v>
      </c>
      <c r="P67" s="1883" t="s">
        <v>1563</v>
      </c>
      <c r="Q67" s="1931">
        <f ca="1">L51</f>
        <v>0</v>
      </c>
      <c r="R67" s="1884" t="s">
        <v>1583</v>
      </c>
    </row>
    <row r="68" spans="1:18" s="1840" customFormat="1" ht="16.5" thickBot="1">
      <c r="A68" s="1164" t="s">
        <v>1032</v>
      </c>
      <c r="B68" s="1165" t="s">
        <v>1486</v>
      </c>
      <c r="C68" s="346" t="e">
        <f ca="1">ROUND(C67*(1-((1+F70)/(1+F68))^F69)/(F68-F70),0)</f>
        <v>#DIV/0!</v>
      </c>
      <c r="D68" s="1182" t="s">
        <v>1470</v>
      </c>
      <c r="E68" s="1167" t="s">
        <v>1471</v>
      </c>
      <c r="F68" s="357">
        <f ca="1">F40</f>
        <v>0</v>
      </c>
      <c r="O68" s="1892" t="s">
        <v>1043</v>
      </c>
      <c r="P68" s="1932" t="s">
        <v>1584</v>
      </c>
      <c r="Q68" s="1884">
        <f ca="1">ROUND(Q69-Q70*Q71,0)</f>
        <v>0</v>
      </c>
      <c r="R68" s="1884" t="s">
        <v>1051</v>
      </c>
    </row>
    <row r="69" spans="1:18" s="1840" customFormat="1" ht="13.5" thickBot="1">
      <c r="A69" s="1168"/>
      <c r="B69" s="1169"/>
      <c r="C69" s="351"/>
      <c r="D69" s="1187" t="s">
        <v>1474</v>
      </c>
      <c r="E69" s="1167" t="s">
        <v>1475</v>
      </c>
      <c r="F69" s="379">
        <f ca="1">F41</f>
        <v>0</v>
      </c>
      <c r="O69" s="1892" t="s">
        <v>1048</v>
      </c>
      <c r="P69" s="1932" t="s">
        <v>1585</v>
      </c>
      <c r="Q69" s="1884">
        <f ca="1">C39</f>
        <v>0</v>
      </c>
      <c r="R69" s="1884" t="s">
        <v>1530</v>
      </c>
    </row>
    <row r="70" spans="1:18" s="1840" customFormat="1" ht="13.5" thickBot="1">
      <c r="A70" s="1171"/>
      <c r="B70" s="1172"/>
      <c r="C70" s="355"/>
      <c r="D70" s="1183"/>
      <c r="E70" s="1167" t="s">
        <v>1478</v>
      </c>
      <c r="F70" s="1273">
        <f ca="1">F42</f>
        <v>0</v>
      </c>
      <c r="O70" s="1892" t="s">
        <v>1049</v>
      </c>
      <c r="P70" s="1932" t="s">
        <v>1586</v>
      </c>
      <c r="Q70" s="1884">
        <f ca="1">C13</f>
        <v>0</v>
      </c>
      <c r="R70" s="1884" t="s">
        <v>1530</v>
      </c>
    </row>
    <row r="71" spans="1:18" s="1840" customFormat="1" ht="13.5" thickBot="1">
      <c r="A71" s="1188" t="s">
        <v>1033</v>
      </c>
      <c r="B71" s="1189" t="s">
        <v>1488</v>
      </c>
      <c r="C71" s="382" t="e">
        <f ca="1">ROUND(C68/F71,0)</f>
        <v>#DIV/0!</v>
      </c>
      <c r="D71" s="1190" t="s">
        <v>1489</v>
      </c>
      <c r="E71" s="1191" t="s">
        <v>1490</v>
      </c>
      <c r="F71" s="385">
        <f ca="1">F43</f>
        <v>0</v>
      </c>
      <c r="O71" s="1892" t="s">
        <v>1050</v>
      </c>
      <c r="P71" s="1932" t="s">
        <v>1587</v>
      </c>
      <c r="Q71" s="1895">
        <f ca="1">C76</f>
        <v>0</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建设期及建筑物耐用年限下的土地年期修正系数Kn</v>
      </c>
      <c r="Q74" s="1884" t="e">
        <f ca="1">L59</f>
        <v>#DIV/0!</v>
      </c>
      <c r="R74" s="1884" t="s">
        <v>1570</v>
      </c>
    </row>
    <row r="75" spans="1:18" ht="13.5" thickBot="1">
      <c r="A75" s="1840"/>
      <c r="B75" s="386" t="s">
        <v>1507</v>
      </c>
      <c r="C75" s="387">
        <f ca="1">ROUND(C13*C76,0)</f>
        <v>0</v>
      </c>
      <c r="D75" s="1840"/>
      <c r="E75" s="1840"/>
      <c r="F75" s="1840"/>
      <c r="K75" s="1866"/>
      <c r="L75" s="1840"/>
      <c r="O75" s="1882" t="s">
        <v>1046</v>
      </c>
      <c r="P75" s="1883" t="s">
        <v>1550</v>
      </c>
      <c r="Q75" s="1884" t="e">
        <f ca="1">Q65+Q66</f>
        <v>#DIV/0!</v>
      </c>
      <c r="R75" s="1884" t="s">
        <v>1047</v>
      </c>
    </row>
    <row r="76" spans="1:18">
      <c r="B76" s="388" t="s">
        <v>1508</v>
      </c>
      <c r="C76" s="389">
        <f ca="1">INDIRECT("'数据-取费表'!j"&amp;$G$1)</f>
        <v>0</v>
      </c>
      <c r="I76" s="1840"/>
      <c r="J76" s="1840"/>
      <c r="K76" s="1866"/>
      <c r="L76" s="1840"/>
    </row>
    <row r="77" spans="1:18">
      <c r="B77" s="390" t="s">
        <v>1509</v>
      </c>
      <c r="C77" s="391"/>
      <c r="I77" s="1840"/>
      <c r="J77" s="1840"/>
      <c r="K77" s="1866"/>
      <c r="L77" s="1840"/>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4" t="s">
        <v>2512</v>
      </c>
      <c r="B1" s="2555"/>
      <c r="C1" s="2555"/>
      <c r="D1" s="2555"/>
      <c r="E1" s="2556"/>
    </row>
    <row r="2" spans="1:6" ht="15.75">
      <c r="A2" s="2557" t="s">
        <v>2316</v>
      </c>
      <c r="B2" s="2558">
        <f ca="1">SUMIF(B6:B13,"&lt;&gt;#ref!",B6:B13)</f>
        <v>0</v>
      </c>
      <c r="C2" s="2559" t="s">
        <v>2505</v>
      </c>
      <c r="D2" s="2560" t="s">
        <v>2506</v>
      </c>
      <c r="E2" s="2561">
        <f>SUM(E6:E13)</f>
        <v>0</v>
      </c>
    </row>
    <row r="3" spans="1:6" ht="15.75">
      <c r="A3" s="2557" t="s">
        <v>1395</v>
      </c>
      <c r="B3" s="2558" t="e">
        <f ca="1">ROUND(B2*10000/E2,0)</f>
        <v>#DIV/0!</v>
      </c>
      <c r="C3" s="2559" t="s">
        <v>2513</v>
      </c>
      <c r="D3" s="2562"/>
      <c r="E3" s="2563"/>
    </row>
    <row r="4" spans="1:6" ht="15.75">
      <c r="A4" s="2564"/>
      <c r="B4" s="2562"/>
      <c r="C4" s="2562"/>
      <c r="D4" s="2562"/>
      <c r="E4" s="2563"/>
    </row>
    <row r="5" spans="1:6" ht="15">
      <c r="A5" s="2565" t="s">
        <v>2507</v>
      </c>
      <c r="B5" s="3248" t="s">
        <v>2508</v>
      </c>
      <c r="C5" s="3248"/>
      <c r="D5" s="2566"/>
      <c r="E5" s="2567" t="s">
        <v>2509</v>
      </c>
      <c r="F5" s="2568" t="s">
        <v>2510</v>
      </c>
    </row>
    <row r="6" spans="1:6">
      <c r="A6" s="2569">
        <f>'数据-取费表'!AN6</f>
        <v>0</v>
      </c>
      <c r="B6" s="2568" t="e">
        <f ca="1">IF(F6="是",'数据-取费表'!AO6,0)</f>
        <v>#REF!</v>
      </c>
      <c r="C6" s="2559" t="s">
        <v>2505</v>
      </c>
      <c r="D6" s="2562"/>
      <c r="E6" s="2570">
        <f>IF(OR(A6=0,F6="否"),0,'数据-取费表'!K6+'数据-取费表'!S6)</f>
        <v>0</v>
      </c>
      <c r="F6" s="2571" t="s">
        <v>2511</v>
      </c>
    </row>
    <row r="7" spans="1:6">
      <c r="A7" s="2569">
        <f>'数据-取费表'!AN7</f>
        <v>0</v>
      </c>
      <c r="B7" s="2568" t="e">
        <f ca="1">IF(F7="是",'数据-取费表'!AO7,0)</f>
        <v>#REF!</v>
      </c>
      <c r="C7" s="2559" t="s">
        <v>2505</v>
      </c>
      <c r="D7" s="2562"/>
      <c r="E7" s="2570">
        <f>IF(OR(A7=0,F7="否"),0,'数据-取费表'!K7+'数据-取费表'!S7)</f>
        <v>0</v>
      </c>
      <c r="F7" s="2571" t="s">
        <v>2511</v>
      </c>
    </row>
    <row r="8" spans="1:6">
      <c r="A8" s="2569">
        <f>'数据-取费表'!AN8</f>
        <v>0</v>
      </c>
      <c r="B8" s="2568" t="e">
        <f ca="1">IF(F8="是",'数据-取费表'!AO8,0)</f>
        <v>#REF!</v>
      </c>
      <c r="C8" s="2559" t="s">
        <v>2505</v>
      </c>
      <c r="D8" s="2562"/>
      <c r="E8" s="2570">
        <f>IF(OR(A8=0,F8="否"),0,'数据-取费表'!K8+'数据-取费表'!S8)</f>
        <v>0</v>
      </c>
      <c r="F8" s="2571" t="s">
        <v>2511</v>
      </c>
    </row>
    <row r="9" spans="1:6">
      <c r="A9" s="2569">
        <f>'数据-取费表'!AN9</f>
        <v>0</v>
      </c>
      <c r="B9" s="2568" t="e">
        <f ca="1">IF(F9="是",'数据-取费表'!AO9,0)</f>
        <v>#REF!</v>
      </c>
      <c r="C9" s="2559" t="s">
        <v>2505</v>
      </c>
      <c r="D9" s="2562"/>
      <c r="E9" s="2570">
        <f>IF(OR(A9=0,F9="否"),0,'数据-取费表'!K9+'数据-取费表'!S9)</f>
        <v>0</v>
      </c>
      <c r="F9" s="2571" t="s">
        <v>2511</v>
      </c>
    </row>
    <row r="10" spans="1:6">
      <c r="A10" s="2569">
        <f>'数据-取费表'!AN10</f>
        <v>0</v>
      </c>
      <c r="B10" s="2568" t="e">
        <f ca="1">IF(F10="是",'数据-取费表'!AO10,0)</f>
        <v>#REF!</v>
      </c>
      <c r="C10" s="2559" t="s">
        <v>2505</v>
      </c>
      <c r="D10" s="2562"/>
      <c r="E10" s="2570">
        <f>IF(OR(A10=0,F10="否"),0,'数据-取费表'!K10+'数据-取费表'!S10)</f>
        <v>0</v>
      </c>
      <c r="F10" s="2571" t="s">
        <v>2511</v>
      </c>
    </row>
    <row r="11" spans="1:6">
      <c r="A11" s="2569">
        <f>'数据-取费表'!AN11</f>
        <v>0</v>
      </c>
      <c r="B11" s="2568" t="e">
        <f ca="1">IF(F11="是",'数据-取费表'!AO11,0)</f>
        <v>#REF!</v>
      </c>
      <c r="C11" s="2559" t="s">
        <v>2505</v>
      </c>
      <c r="D11" s="2562"/>
      <c r="E11" s="2570">
        <f>IF(OR(A11=0,F11="否"),0,'数据-取费表'!K11+'数据-取费表'!S11)</f>
        <v>0</v>
      </c>
      <c r="F11" s="2571" t="s">
        <v>2511</v>
      </c>
    </row>
    <row r="12" spans="1:6">
      <c r="A12" s="2569">
        <f>'数据-取费表'!AN12</f>
        <v>0</v>
      </c>
      <c r="B12" s="2568" t="e">
        <f ca="1">IF(F12="是",'数据-取费表'!AO12,0)</f>
        <v>#REF!</v>
      </c>
      <c r="C12" s="2559" t="s">
        <v>2505</v>
      </c>
      <c r="D12" s="2562"/>
      <c r="E12" s="2570">
        <f>IF(OR(A12=0,F12="否"),0,'数据-取费表'!K12+'数据-取费表'!S12)</f>
        <v>0</v>
      </c>
      <c r="F12" s="2571" t="s">
        <v>2511</v>
      </c>
    </row>
    <row r="13" spans="1:6" ht="15" thickBot="1">
      <c r="A13" s="2572">
        <f>'数据-取费表'!AN13</f>
        <v>0</v>
      </c>
      <c r="B13" s="2568" t="e">
        <f ca="1">IF(F13="是",'数据-取费表'!AO13,0)</f>
        <v>#REF!</v>
      </c>
      <c r="C13" s="2573" t="s">
        <v>2505</v>
      </c>
      <c r="D13" s="2574"/>
      <c r="E13" s="2570">
        <f>IF(OR(A13=0,F13="否"),0,'数据-取费表'!K13+'数据-取费表'!S13)</f>
        <v>0</v>
      </c>
      <c r="F13" s="2571"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1076</v>
      </c>
      <c r="B1" s="3250"/>
      <c r="C1" s="3251"/>
      <c r="D1" s="3252">
        <f>SUM(I10,I15,I20,I21,I23)</f>
        <v>0</v>
      </c>
      <c r="E1" s="3252"/>
      <c r="F1" s="3252"/>
      <c r="G1" s="3252"/>
      <c r="H1" s="3252"/>
      <c r="I1" s="3253"/>
    </row>
    <row r="2" spans="1:9">
      <c r="A2" s="3254" t="s">
        <v>1077</v>
      </c>
      <c r="B2" s="3255" t="s">
        <v>1078</v>
      </c>
      <c r="C2" s="3255"/>
      <c r="D2" s="1299" t="s">
        <v>1079</v>
      </c>
      <c r="E2" s="1299" t="s">
        <v>1080</v>
      </c>
      <c r="F2" s="1299" t="s">
        <v>1081</v>
      </c>
      <c r="G2" s="1299" t="s">
        <v>1082</v>
      </c>
      <c r="H2" s="1299" t="s">
        <v>1083</v>
      </c>
      <c r="I2" s="1300" t="s">
        <v>1084</v>
      </c>
    </row>
    <row r="3" spans="1:9">
      <c r="A3" s="3254"/>
      <c r="B3" s="3255" t="s">
        <v>1085</v>
      </c>
      <c r="C3" s="3255"/>
      <c r="D3" s="1301"/>
      <c r="E3" s="1299"/>
      <c r="F3" s="1302"/>
      <c r="G3" s="1302"/>
      <c r="H3" s="1303"/>
      <c r="I3" s="1304">
        <f>ROUND(D3*E3*F3*G3*H3/10000,0)</f>
        <v>0</v>
      </c>
    </row>
    <row r="4" spans="1:9">
      <c r="A4" s="3254"/>
      <c r="B4" s="3255" t="s">
        <v>1086</v>
      </c>
      <c r="C4" s="3255"/>
      <c r="D4" s="1301"/>
      <c r="E4" s="1299"/>
      <c r="F4" s="1302"/>
      <c r="G4" s="1302"/>
      <c r="H4" s="1303"/>
      <c r="I4" s="1304">
        <f t="shared" ref="I4:I9" si="0">ROUND(D4*E4*F4*G4*H4/10000,0)</f>
        <v>0</v>
      </c>
    </row>
    <row r="5" spans="1:9">
      <c r="A5" s="3254"/>
      <c r="B5" s="3255" t="s">
        <v>1087</v>
      </c>
      <c r="C5" s="3255"/>
      <c r="D5" s="1301"/>
      <c r="E5" s="1299"/>
      <c r="F5" s="1302"/>
      <c r="G5" s="1302"/>
      <c r="H5" s="1303"/>
      <c r="I5" s="1304">
        <f t="shared" si="0"/>
        <v>0</v>
      </c>
    </row>
    <row r="6" spans="1:9">
      <c r="A6" s="3254"/>
      <c r="B6" s="3255" t="s">
        <v>1088</v>
      </c>
      <c r="C6" s="3255"/>
      <c r="D6" s="1301"/>
      <c r="E6" s="1299"/>
      <c r="F6" s="1302"/>
      <c r="G6" s="1302"/>
      <c r="H6" s="1303"/>
      <c r="I6" s="1304">
        <f t="shared" si="0"/>
        <v>0</v>
      </c>
    </row>
    <row r="7" spans="1:9">
      <c r="A7" s="3254"/>
      <c r="B7" s="3255" t="s">
        <v>1089</v>
      </c>
      <c r="C7" s="3255"/>
      <c r="D7" s="1301"/>
      <c r="E7" s="1299"/>
      <c r="F7" s="1302"/>
      <c r="G7" s="1302"/>
      <c r="H7" s="1303"/>
      <c r="I7" s="1304">
        <f t="shared" si="0"/>
        <v>0</v>
      </c>
    </row>
    <row r="8" spans="1:9">
      <c r="A8" s="3254"/>
      <c r="B8" s="3255" t="s">
        <v>1090</v>
      </c>
      <c r="C8" s="3255"/>
      <c r="D8" s="1301"/>
      <c r="E8" s="1299"/>
      <c r="F8" s="1302"/>
      <c r="G8" s="1302"/>
      <c r="H8" s="1303"/>
      <c r="I8" s="1304">
        <f t="shared" si="0"/>
        <v>0</v>
      </c>
    </row>
    <row r="9" spans="1:9">
      <c r="A9" s="3254"/>
      <c r="B9" s="3255" t="s">
        <v>1091</v>
      </c>
      <c r="C9" s="3255"/>
      <c r="D9" s="1301"/>
      <c r="E9" s="1299"/>
      <c r="F9" s="1302"/>
      <c r="G9" s="1302"/>
      <c r="H9" s="1303"/>
      <c r="I9" s="1304">
        <f t="shared" si="0"/>
        <v>0</v>
      </c>
    </row>
    <row r="10" spans="1:9">
      <c r="A10" s="3254"/>
      <c r="B10" s="3256" t="s">
        <v>1092</v>
      </c>
      <c r="C10" s="3256"/>
      <c r="D10" s="1305"/>
      <c r="E10" s="1305" t="e">
        <f>ROUND(D1*10000/D10/H9,0)</f>
        <v>#DIV/0!</v>
      </c>
      <c r="F10" s="1306"/>
      <c r="G10" s="1306"/>
      <c r="H10" s="1307"/>
      <c r="I10" s="1308">
        <f>SUM(I3:I9)</f>
        <v>0</v>
      </c>
    </row>
    <row r="11" spans="1:9" ht="14.25">
      <c r="A11" s="3254" t="s">
        <v>1093</v>
      </c>
      <c r="B11" s="3255" t="s">
        <v>1094</v>
      </c>
      <c r="C11" s="3255"/>
      <c r="D11" s="1301" t="s">
        <v>1095</v>
      </c>
      <c r="E11" s="1301" t="s">
        <v>1096</v>
      </c>
      <c r="F11" s="1302" t="s">
        <v>1097</v>
      </c>
      <c r="G11" s="1302" t="s">
        <v>1083</v>
      </c>
      <c r="H11" s="1309" t="s">
        <v>1098</v>
      </c>
      <c r="I11" s="1300" t="s">
        <v>1084</v>
      </c>
    </row>
    <row r="12" spans="1:9">
      <c r="A12" s="3254"/>
      <c r="B12" s="3255" t="s">
        <v>1099</v>
      </c>
      <c r="C12" s="3255"/>
      <c r="D12" s="1301"/>
      <c r="E12" s="1301"/>
      <c r="F12" s="1302"/>
      <c r="G12" s="1303"/>
      <c r="H12" s="1310"/>
      <c r="I12" s="1300">
        <f>ROUND(D12*E12*F12*G12/10000,0)</f>
        <v>0</v>
      </c>
    </row>
    <row r="13" spans="1:9">
      <c r="A13" s="3254"/>
      <c r="B13" s="3255" t="s">
        <v>1100</v>
      </c>
      <c r="C13" s="3255"/>
      <c r="D13" s="1301"/>
      <c r="E13" s="1301"/>
      <c r="F13" s="1302"/>
      <c r="G13" s="1303"/>
      <c r="H13" s="1310"/>
      <c r="I13" s="1300">
        <f>ROUND(D13*E13*F13*G13/10000,0)</f>
        <v>0</v>
      </c>
    </row>
    <row r="14" spans="1:9">
      <c r="A14" s="3254"/>
      <c r="B14" s="3255" t="s">
        <v>1101</v>
      </c>
      <c r="C14" s="3255"/>
      <c r="D14" s="1301"/>
      <c r="E14" s="1301"/>
      <c r="F14" s="1302"/>
      <c r="G14" s="1303"/>
      <c r="H14" s="1310"/>
      <c r="I14" s="1300">
        <f>ROUND(D14*E14*F14*G14/10000,0)</f>
        <v>0</v>
      </c>
    </row>
    <row r="15" spans="1:9">
      <c r="A15" s="3254"/>
      <c r="B15" s="3256" t="s">
        <v>1092</v>
      </c>
      <c r="C15" s="3256"/>
      <c r="D15" s="1305"/>
      <c r="E15" s="1305">
        <f>SUM(E12:E14)</f>
        <v>0</v>
      </c>
      <c r="F15" s="1306"/>
      <c r="G15" s="1303"/>
      <c r="H15" s="1310"/>
      <c r="I15" s="1311">
        <f>SUM(I12:I14)</f>
        <v>0</v>
      </c>
    </row>
    <row r="16" spans="1:9" ht="24">
      <c r="A16" s="3254" t="s">
        <v>1102</v>
      </c>
      <c r="B16" s="3255" t="s">
        <v>1103</v>
      </c>
      <c r="C16" s="3255"/>
      <c r="D16" s="1301" t="s">
        <v>1079</v>
      </c>
      <c r="E16" s="1312" t="s">
        <v>1104</v>
      </c>
      <c r="F16" s="1302" t="s">
        <v>1105</v>
      </c>
      <c r="G16" s="1303" t="s">
        <v>1083</v>
      </c>
      <c r="H16" s="1309" t="s">
        <v>1098</v>
      </c>
      <c r="I16" s="1300" t="s">
        <v>1084</v>
      </c>
    </row>
    <row r="17" spans="1:9" ht="14.25">
      <c r="A17" s="3254"/>
      <c r="B17" s="3255" t="s">
        <v>1106</v>
      </c>
      <c r="C17" s="3255"/>
      <c r="D17" s="1301"/>
      <c r="E17" s="1301"/>
      <c r="F17" s="1302"/>
      <c r="G17" s="1303"/>
      <c r="H17" s="1313"/>
      <c r="I17" s="1314">
        <f>ROUND(D17*E17*F17*G17/10000,0)</f>
        <v>0</v>
      </c>
    </row>
    <row r="18" spans="1:9" ht="14.25">
      <c r="A18" s="3254"/>
      <c r="B18" s="3255" t="s">
        <v>1107</v>
      </c>
      <c r="C18" s="3255"/>
      <c r="D18" s="1301"/>
      <c r="E18" s="1301"/>
      <c r="F18" s="1302"/>
      <c r="G18" s="1303"/>
      <c r="H18" s="1313"/>
      <c r="I18" s="1314">
        <f>ROUND(D18*E18*F18*G18/10000,0)</f>
        <v>0</v>
      </c>
    </row>
    <row r="19" spans="1:9" ht="14.25">
      <c r="A19" s="3254"/>
      <c r="B19" s="3255" t="s">
        <v>1108</v>
      </c>
      <c r="C19" s="3255"/>
      <c r="D19" s="1301"/>
      <c r="E19" s="1301"/>
      <c r="F19" s="1302"/>
      <c r="G19" s="1303"/>
      <c r="H19" s="1313"/>
      <c r="I19" s="1314">
        <f>ROUND(D19*E19*F19*G19/10000,0)</f>
        <v>0</v>
      </c>
    </row>
    <row r="20" spans="1:9">
      <c r="A20" s="3254"/>
      <c r="B20" s="3256" t="s">
        <v>1092</v>
      </c>
      <c r="C20" s="3256"/>
      <c r="D20" s="1305">
        <f>SUM(D17:D19)</f>
        <v>0</v>
      </c>
      <c r="E20" s="1305"/>
      <c r="F20" s="1306"/>
      <c r="G20" s="1303"/>
      <c r="H20" s="1310"/>
      <c r="I20" s="1311">
        <f>SUM(I17:I19)</f>
        <v>0</v>
      </c>
    </row>
    <row r="21" spans="1:9">
      <c r="A21" s="3254" t="s">
        <v>1109</v>
      </c>
      <c r="B21" s="3258"/>
      <c r="C21" s="3258"/>
      <c r="D21" s="3258"/>
      <c r="E21" s="3258"/>
      <c r="F21" s="3258"/>
      <c r="G21" s="3258"/>
      <c r="H21" s="1763">
        <v>0.1</v>
      </c>
      <c r="I21" s="1308">
        <f>ROUND(I10*H21,0)</f>
        <v>0</v>
      </c>
    </row>
    <row r="22" spans="1:9" ht="14.25">
      <c r="A22" s="3259" t="s">
        <v>1110</v>
      </c>
      <c r="B22" s="3260"/>
      <c r="C22" s="3261"/>
      <c r="D22" s="1315" t="s">
        <v>1111</v>
      </c>
      <c r="E22" s="1315" t="s">
        <v>1112</v>
      </c>
      <c r="F22" s="1316" t="s">
        <v>1113</v>
      </c>
      <c r="G22" s="1316" t="s">
        <v>1114</v>
      </c>
      <c r="H22" s="1309" t="s">
        <v>1115</v>
      </c>
      <c r="I22" s="1300" t="s">
        <v>1116</v>
      </c>
    </row>
    <row r="23" spans="1:9" ht="14.25" thickBot="1">
      <c r="A23" s="3262"/>
      <c r="B23" s="3263"/>
      <c r="C23" s="3264"/>
      <c r="D23" s="1317"/>
      <c r="E23" s="1317"/>
      <c r="F23" s="1317"/>
      <c r="G23" s="1318"/>
      <c r="H23" s="1319"/>
      <c r="I23" s="1320">
        <f>ROUND(E23*D23*F23*(1-G23)/10000,0)</f>
        <v>0</v>
      </c>
    </row>
    <row r="26" spans="1:9">
      <c r="A26" s="1321" t="s">
        <v>1117</v>
      </c>
      <c r="B26" s="1321"/>
      <c r="C26" s="1321"/>
      <c r="D26" s="1321"/>
      <c r="E26" s="3265">
        <f>C27-C30-C31-C32</f>
        <v>0</v>
      </c>
      <c r="F26" s="3265"/>
      <c r="G26" s="3265"/>
      <c r="H26" s="1735" t="s">
        <v>1340</v>
      </c>
    </row>
    <row r="27" spans="1:9">
      <c r="A27" s="1322">
        <v>1</v>
      </c>
      <c r="B27" s="1323" t="s">
        <v>1118</v>
      </c>
      <c r="C27" s="1323">
        <f>C28+C29</f>
        <v>0</v>
      </c>
      <c r="D27" s="1323"/>
      <c r="E27" s="3266"/>
      <c r="F27" s="3266"/>
      <c r="G27" s="3266"/>
    </row>
    <row r="28" spans="1:9">
      <c r="A28" s="1324" t="s">
        <v>1119</v>
      </c>
      <c r="B28" s="1323" t="s">
        <v>1120</v>
      </c>
      <c r="C28" s="1323"/>
      <c r="D28" s="1323"/>
      <c r="E28" s="3266"/>
      <c r="F28" s="3266"/>
      <c r="G28" s="3266"/>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57"/>
      <c r="F32" s="3257"/>
      <c r="G32" s="3257"/>
    </row>
    <row r="33" spans="1:7" hidden="1">
      <c r="A33" s="3267" t="s">
        <v>1129</v>
      </c>
      <c r="B33" s="3268"/>
      <c r="C33" s="3268"/>
      <c r="D33" s="3269"/>
      <c r="E33" s="3265"/>
      <c r="F33" s="3265"/>
      <c r="G33" s="3265"/>
    </row>
    <row r="34" spans="1:7" hidden="1">
      <c r="A34" s="1326">
        <v>1</v>
      </c>
      <c r="B34" s="1323" t="s">
        <v>1130</v>
      </c>
      <c r="C34" s="1323"/>
      <c r="D34" s="1323"/>
      <c r="E34" s="3266"/>
      <c r="F34" s="3266"/>
      <c r="G34" s="3266"/>
    </row>
    <row r="35" spans="1:7" hidden="1">
      <c r="A35" s="1326">
        <v>2</v>
      </c>
      <c r="B35" s="1323" t="s">
        <v>1131</v>
      </c>
      <c r="C35" s="1323"/>
      <c r="D35" s="1323"/>
      <c r="E35" s="3266"/>
      <c r="F35" s="3266"/>
      <c r="G35" s="3266"/>
    </row>
    <row r="36" spans="1:7" hidden="1">
      <c r="A36" s="1326">
        <v>3</v>
      </c>
      <c r="B36" s="1323" t="s">
        <v>1132</v>
      </c>
      <c r="C36" s="1323"/>
      <c r="D36" s="1323"/>
      <c r="E36" s="3266"/>
      <c r="F36" s="3266"/>
      <c r="G36" s="3266"/>
    </row>
    <row r="37" spans="1:7" hidden="1">
      <c r="A37" s="1326">
        <v>4</v>
      </c>
      <c r="B37" s="1323" t="s">
        <v>1133</v>
      </c>
      <c r="C37" s="1323"/>
      <c r="D37" s="1323"/>
      <c r="E37" s="3266"/>
      <c r="F37" s="3266"/>
      <c r="G37" s="3266"/>
    </row>
    <row r="38" spans="1:7" hidden="1">
      <c r="A38" s="3267" t="s">
        <v>1134</v>
      </c>
      <c r="B38" s="3268"/>
      <c r="C38" s="3268"/>
      <c r="D38" s="3269"/>
      <c r="E38" s="3265"/>
      <c r="F38" s="3265"/>
      <c r="G38" s="32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B2" sqref="B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2514</v>
      </c>
      <c r="B1" s="2575" t="s">
        <v>2515</v>
      </c>
      <c r="C1" s="1632" t="s">
        <v>2516</v>
      </c>
      <c r="D1" s="1619" t="s">
        <v>3063</v>
      </c>
      <c r="E1" s="2576"/>
      <c r="F1" s="2577" t="s">
        <v>2517</v>
      </c>
      <c r="G1" s="1629" t="s">
        <v>2518</v>
      </c>
      <c r="H1" s="1628"/>
      <c r="I1" s="1628"/>
      <c r="J1" s="1628"/>
      <c r="K1" s="1630"/>
      <c r="L1" s="1631"/>
      <c r="M1" s="1632"/>
      <c r="N1" s="1632"/>
      <c r="O1" s="1632"/>
      <c r="P1" s="2578"/>
      <c r="Q1" s="1618"/>
      <c r="R1" s="1618"/>
      <c r="S1" s="1618"/>
      <c r="T1" s="1618"/>
      <c r="U1" s="1618"/>
      <c r="V1" s="1618"/>
      <c r="W1" s="1618"/>
      <c r="X1" s="1618"/>
      <c r="Y1" s="1618"/>
      <c r="Z1" s="1618"/>
      <c r="AA1" s="1618"/>
      <c r="AB1" s="1618"/>
      <c r="AC1" s="1626"/>
    </row>
    <row r="2" spans="1:29" s="393" customFormat="1" ht="28.5" customHeight="1" thickTop="1">
      <c r="A2" s="1615" t="s">
        <v>1394</v>
      </c>
      <c r="B2" s="1416">
        <f>IF(C2="——",ROUND(C49*D3/10000,0),ROUND(C49*D3/10000,0)-D2)</f>
        <v>243091</v>
      </c>
      <c r="C2" s="2579" t="s">
        <v>70</v>
      </c>
      <c r="D2" s="1363" t="e">
        <f ca="1">SUMIF(INDIRECT("'"&amp;F2&amp;"'"&amp;"!A:A"),"承租人权益价值",INDIRECT("'"&amp;F2&amp;"'"&amp;"!c:c"))</f>
        <v>#REF!</v>
      </c>
      <c r="E2" s="2580" t="s">
        <v>2519</v>
      </c>
      <c r="F2" s="2581"/>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1395</v>
      </c>
      <c r="B3" s="399">
        <f>IF(C2="——",C49,ROUND(B2*10000/D3,0))</f>
        <v>76565</v>
      </c>
      <c r="C3" s="400" t="s">
        <v>2520</v>
      </c>
      <c r="D3" s="399">
        <f>IF(D1="",'数据-汇总表'!E3,SUMIF('数据-汇总表'!$C19:$C33,D1,'数据-汇总表'!$E19:$E33))</f>
        <v>31749.659999999996</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ht="15">
      <c r="A4" s="401" t="s">
        <v>2521</v>
      </c>
      <c r="B4" s="402"/>
      <c r="C4" s="3215" t="s">
        <v>2522</v>
      </c>
      <c r="D4" s="3216"/>
      <c r="E4" s="3217" t="s">
        <v>2523</v>
      </c>
      <c r="F4" s="3218"/>
      <c r="G4" s="3215" t="s">
        <v>2524</v>
      </c>
      <c r="H4" s="3216"/>
      <c r="I4" s="3215" t="s">
        <v>2525</v>
      </c>
      <c r="J4" s="3216"/>
      <c r="K4" s="2589" t="s">
        <v>2526</v>
      </c>
      <c r="L4" s="1128"/>
      <c r="M4" s="1129"/>
      <c r="N4" s="1129"/>
      <c r="O4" s="1129"/>
      <c r="P4" s="3219" t="s">
        <v>2527</v>
      </c>
      <c r="Q4" s="3220"/>
      <c r="R4" s="3201" t="s">
        <v>2523</v>
      </c>
      <c r="S4" s="3202"/>
      <c r="T4" s="3201" t="s">
        <v>2524</v>
      </c>
      <c r="U4" s="3202"/>
      <c r="V4" s="3227" t="s">
        <v>2525</v>
      </c>
      <c r="W4" s="3227"/>
      <c r="X4" s="1811"/>
      <c r="Y4" s="3201" t="s">
        <v>2527</v>
      </c>
      <c r="Z4" s="3202"/>
      <c r="AA4" s="3196" t="s">
        <v>2523</v>
      </c>
      <c r="AB4" s="3196" t="s">
        <v>2524</v>
      </c>
      <c r="AC4" s="3196" t="s">
        <v>2525</v>
      </c>
    </row>
    <row r="5" spans="1:29" ht="15">
      <c r="A5" s="404"/>
      <c r="B5" s="405"/>
      <c r="C5" s="3211" t="s">
        <v>2528</v>
      </c>
      <c r="D5" s="3208"/>
      <c r="E5" s="3270" t="s">
        <v>3255</v>
      </c>
      <c r="F5" s="3206"/>
      <c r="G5" s="3207" t="s">
        <v>3256</v>
      </c>
      <c r="H5" s="3208"/>
      <c r="I5" s="3207" t="s">
        <v>3257</v>
      </c>
      <c r="J5" s="3208"/>
      <c r="K5" s="2590"/>
      <c r="L5" s="1128"/>
      <c r="M5" s="1129"/>
      <c r="N5" s="1129"/>
      <c r="O5" s="1129"/>
      <c r="P5" s="3221"/>
      <c r="Q5" s="3222"/>
      <c r="R5" s="3203"/>
      <c r="S5" s="3204"/>
      <c r="T5" s="3203"/>
      <c r="U5" s="3204"/>
      <c r="V5" s="3227"/>
      <c r="W5" s="3227"/>
      <c r="X5" s="1811"/>
      <c r="Y5" s="3203"/>
      <c r="Z5" s="3204"/>
      <c r="AA5" s="3197"/>
      <c r="AB5" s="3197"/>
      <c r="AC5" s="3197"/>
    </row>
    <row r="6" spans="1:29" ht="15.75" thickBot="1">
      <c r="A6" s="406"/>
      <c r="B6" s="407"/>
      <c r="C6" s="3209" t="s">
        <v>2532</v>
      </c>
      <c r="D6" s="3210"/>
      <c r="E6" s="3271" t="s">
        <v>3183</v>
      </c>
      <c r="F6" s="3213"/>
      <c r="G6" s="3272" t="s">
        <v>3184</v>
      </c>
      <c r="H6" s="3210"/>
      <c r="I6" s="3272" t="s">
        <v>3184</v>
      </c>
      <c r="J6" s="3210"/>
      <c r="K6" s="2590" t="s">
        <v>2533</v>
      </c>
      <c r="L6" s="1128"/>
      <c r="M6" s="1129"/>
      <c r="N6" s="1129"/>
      <c r="O6" s="1129"/>
      <c r="P6" s="3223"/>
      <c r="Q6" s="3224"/>
      <c r="R6" s="3203"/>
      <c r="S6" s="3204"/>
      <c r="T6" s="3225"/>
      <c r="U6" s="3226"/>
      <c r="V6" s="3227"/>
      <c r="W6" s="3227"/>
      <c r="X6" s="1811"/>
      <c r="Y6" s="3225"/>
      <c r="Z6" s="3226"/>
      <c r="AA6" s="3198"/>
      <c r="AB6" s="3198"/>
      <c r="AC6" s="3198"/>
    </row>
    <row r="7" spans="1:29" s="117" customFormat="1" ht="15.75" thickBot="1">
      <c r="A7" s="408" t="s">
        <v>2534</v>
      </c>
      <c r="B7" s="409"/>
      <c r="C7" s="410">
        <f>'数据-取费表'!B2</f>
        <v>43165</v>
      </c>
      <c r="D7" s="411">
        <v>100</v>
      </c>
      <c r="E7" s="2981">
        <v>43142</v>
      </c>
      <c r="F7" s="2982">
        <f>SUMIF(58:58,YEAR(E7)&amp;"-"&amp;MONTH(E7),59:59)</f>
        <v>100</v>
      </c>
      <c r="G7" s="412">
        <v>43095</v>
      </c>
      <c r="H7" s="411">
        <f>SUMIF(58:58,YEAR(G7)&amp;"-"&amp;MONTH(G7),59:59)</f>
        <v>98</v>
      </c>
      <c r="I7" s="412">
        <v>43086</v>
      </c>
      <c r="J7" s="411">
        <f>SUMIF(58:58,YEAR(I7)&amp;"-"&amp;MONTH(I7),59:59)</f>
        <v>98</v>
      </c>
      <c r="K7" s="2591"/>
      <c r="L7" s="1130"/>
      <c r="M7" s="1131"/>
      <c r="N7" s="1131"/>
      <c r="O7" s="1131"/>
      <c r="P7" s="3199" t="s">
        <v>2535</v>
      </c>
      <c r="Q7" s="3228"/>
      <c r="R7" s="769" t="s">
        <v>23</v>
      </c>
      <c r="S7" s="770">
        <f t="shared" ref="S7:S15" si="0">F7</f>
        <v>100</v>
      </c>
      <c r="T7" s="769" t="s">
        <v>23</v>
      </c>
      <c r="U7" s="770">
        <f t="shared" ref="U7:U15" si="1">H7</f>
        <v>98</v>
      </c>
      <c r="V7" s="769" t="s">
        <v>23</v>
      </c>
      <c r="W7" s="770">
        <f t="shared" ref="W7:W15" si="2">J7</f>
        <v>98</v>
      </c>
      <c r="X7" s="771"/>
      <c r="Y7" s="3199" t="s">
        <v>2535</v>
      </c>
      <c r="Z7" s="3200"/>
      <c r="AA7" s="772">
        <f>D7/F7</f>
        <v>1</v>
      </c>
      <c r="AB7" s="772">
        <f>D7/H7</f>
        <v>1.0204081632653061</v>
      </c>
      <c r="AC7" s="772">
        <f>D7/J7</f>
        <v>1.0204081632653061</v>
      </c>
    </row>
    <row r="8" spans="1:29" s="117" customFormat="1" ht="15.75" thickBot="1">
      <c r="A8" s="408" t="s">
        <v>2536</v>
      </c>
      <c r="B8" s="409"/>
      <c r="C8" s="414" t="s">
        <v>2537</v>
      </c>
      <c r="D8" s="411">
        <v>100</v>
      </c>
      <c r="E8" s="414" t="s">
        <v>2537</v>
      </c>
      <c r="F8" s="413">
        <f>SUMIF(61:61,E8,62:62)-SUMIF(61:61,C8,62:62)+100</f>
        <v>100</v>
      </c>
      <c r="G8" s="414" t="s">
        <v>2537</v>
      </c>
      <c r="H8" s="411">
        <f>SUMIF(61:61,G8,62:62)-SUMIF(61:61,C8,62:62)+100</f>
        <v>100</v>
      </c>
      <c r="I8" s="414" t="s">
        <v>2537</v>
      </c>
      <c r="J8" s="411">
        <f>SUMIF(61:61,I8,62:62)-SUMIF(61:61,C8,62:62)+100</f>
        <v>100</v>
      </c>
      <c r="K8" s="2591"/>
      <c r="L8" s="1130"/>
      <c r="M8" s="1131"/>
      <c r="N8" s="1131"/>
      <c r="O8" s="1131"/>
      <c r="P8" s="3199" t="s">
        <v>2538</v>
      </c>
      <c r="Q8" s="3200"/>
      <c r="R8" s="769" t="s">
        <v>23</v>
      </c>
      <c r="S8" s="770">
        <f t="shared" si="0"/>
        <v>100</v>
      </c>
      <c r="T8" s="769" t="s">
        <v>23</v>
      </c>
      <c r="U8" s="770">
        <f t="shared" si="1"/>
        <v>100</v>
      </c>
      <c r="V8" s="769" t="s">
        <v>23</v>
      </c>
      <c r="W8" s="770">
        <f t="shared" si="2"/>
        <v>100</v>
      </c>
      <c r="X8" s="771"/>
      <c r="Y8" s="3199" t="s">
        <v>2538</v>
      </c>
      <c r="Z8" s="3200"/>
      <c r="AA8" s="772">
        <f t="shared" ref="AA8:AA19" si="3">D8/F8</f>
        <v>1</v>
      </c>
      <c r="AB8" s="772">
        <f t="shared" ref="AB8:AB19" si="4">D8/H8</f>
        <v>1</v>
      </c>
      <c r="AC8" s="772">
        <f t="shared" ref="AC8:AC19" si="5">D8/J8</f>
        <v>1</v>
      </c>
    </row>
    <row r="9" spans="1:29" s="117" customFormat="1">
      <c r="A9" s="415" t="s">
        <v>2539</v>
      </c>
      <c r="B9" s="71" t="s">
        <v>2540</v>
      </c>
      <c r="C9" s="2957" t="s">
        <v>3185</v>
      </c>
      <c r="D9" s="135">
        <v>100</v>
      </c>
      <c r="E9" s="417" t="s">
        <v>3059</v>
      </c>
      <c r="F9" s="418">
        <f>SUMIF(63:63,E9,64:64)-SUMIF(63:63,C9,64:64)+100</f>
        <v>100</v>
      </c>
      <c r="G9" s="417" t="s">
        <v>3059</v>
      </c>
      <c r="H9" s="135">
        <f>SUMIF(63:63,G9,64:64)-SUMIF(63:63,C9,64:64)+100</f>
        <v>100</v>
      </c>
      <c r="I9" s="417" t="s">
        <v>3059</v>
      </c>
      <c r="J9" s="135">
        <f>SUMIF(63:63,I9,64:64)-SUMIF(63:63,C9,64:64)+100</f>
        <v>100</v>
      </c>
      <c r="K9" s="2591"/>
      <c r="L9" s="1130"/>
      <c r="M9" s="1131"/>
      <c r="N9" s="1131"/>
      <c r="O9" s="1131"/>
      <c r="P9" s="3238" t="s">
        <v>2541</v>
      </c>
      <c r="Q9" s="1793" t="str">
        <f t="shared" ref="Q9:Q15" si="6">B9</f>
        <v>用途</v>
      </c>
      <c r="R9" s="769" t="s">
        <v>17</v>
      </c>
      <c r="S9" s="770">
        <f t="shared" si="0"/>
        <v>100</v>
      </c>
      <c r="T9" s="769" t="s">
        <v>17</v>
      </c>
      <c r="U9" s="770">
        <f t="shared" si="1"/>
        <v>100</v>
      </c>
      <c r="V9" s="769" t="s">
        <v>17</v>
      </c>
      <c r="W9" s="770">
        <f t="shared" si="2"/>
        <v>100</v>
      </c>
      <c r="X9" s="771"/>
      <c r="Y9" s="3076" t="s">
        <v>2542</v>
      </c>
      <c r="Z9" s="55" t="str">
        <f t="shared" ref="Z9:Z15" si="7">Q9</f>
        <v>用途</v>
      </c>
      <c r="AA9" s="772">
        <f t="shared" si="3"/>
        <v>1</v>
      </c>
      <c r="AB9" s="772">
        <f t="shared" si="4"/>
        <v>1</v>
      </c>
      <c r="AC9" s="772">
        <f t="shared" si="5"/>
        <v>1</v>
      </c>
    </row>
    <row r="10" spans="1:29" s="427" customFormat="1" ht="27">
      <c r="A10" s="421"/>
      <c r="B10" s="422" t="s">
        <v>2543</v>
      </c>
      <c r="C10" s="423" t="s">
        <v>3186</v>
      </c>
      <c r="D10" s="136">
        <v>100</v>
      </c>
      <c r="E10" s="423" t="s">
        <v>3186</v>
      </c>
      <c r="F10" s="425">
        <f>SUMIF(65:65,E10,66:66)-SUMIF(65:65,C10,66:66)+100</f>
        <v>100</v>
      </c>
      <c r="G10" s="423" t="s">
        <v>3186</v>
      </c>
      <c r="H10" s="136">
        <f>SUMIF(65:65,G10,66:66)-SUMIF(65:65,C10,66:66)+100</f>
        <v>100</v>
      </c>
      <c r="I10" s="423" t="s">
        <v>3186</v>
      </c>
      <c r="J10" s="136">
        <f>SUMIF(65:65,I10,66:66)-SUMIF(65:65,C10,66:66)+100</f>
        <v>100</v>
      </c>
      <c r="K10" s="426">
        <v>1</v>
      </c>
      <c r="L10" s="1133"/>
      <c r="M10" s="1134"/>
      <c r="N10" s="1134"/>
      <c r="O10" s="1134"/>
      <c r="P10" s="3238"/>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75" thickBot="1">
      <c r="A11" s="428"/>
      <c r="B11" s="422" t="s">
        <v>2544</v>
      </c>
      <c r="C11" s="429">
        <f>'土地比较法-住宅、综合'!C11</f>
        <v>2.8</v>
      </c>
      <c r="D11" s="136">
        <v>100</v>
      </c>
      <c r="E11" s="430">
        <v>2.5</v>
      </c>
      <c r="F11" s="425">
        <f>LOOKUP(E11,68:68,69:69)-LOOKUP(C11,68:68,69:69)+100</f>
        <v>100</v>
      </c>
      <c r="G11" s="429">
        <v>2.5</v>
      </c>
      <c r="H11" s="136">
        <f>LOOKUP(G11,68:68,69:69)-LOOKUP(C11,68:68,69:69)+100</f>
        <v>100</v>
      </c>
      <c r="I11" s="429">
        <v>2.2000000000000002</v>
      </c>
      <c r="J11" s="136">
        <f>LOOKUP(I11,68:68,69:69)-LOOKUP(C11,68:68,69:69)+100</f>
        <v>100</v>
      </c>
      <c r="K11" s="426">
        <f>'土地比较法-住宅、综合'!K11</f>
        <v>2</v>
      </c>
      <c r="L11" s="1136"/>
      <c r="M11" s="1129"/>
      <c r="N11" s="1129"/>
      <c r="O11" s="1129"/>
      <c r="P11" s="3238"/>
      <c r="Q11" s="1793" t="str">
        <f t="shared" si="6"/>
        <v>容积率</v>
      </c>
      <c r="R11" s="769" t="s">
        <v>21</v>
      </c>
      <c r="S11" s="770">
        <f t="shared" si="0"/>
        <v>100</v>
      </c>
      <c r="T11" s="769" t="s">
        <v>21</v>
      </c>
      <c r="U11" s="770">
        <f t="shared" si="1"/>
        <v>100</v>
      </c>
      <c r="V11" s="769" t="s">
        <v>21</v>
      </c>
      <c r="W11" s="770">
        <f t="shared" si="2"/>
        <v>100</v>
      </c>
      <c r="X11" s="771"/>
      <c r="Y11" s="3076"/>
      <c r="Z11" s="55" t="str">
        <f t="shared" si="7"/>
        <v>容积率</v>
      </c>
      <c r="AA11" s="772">
        <f t="shared" si="3"/>
        <v>1</v>
      </c>
      <c r="AB11" s="772">
        <f t="shared" si="4"/>
        <v>1</v>
      </c>
      <c r="AC11" s="772">
        <f t="shared" si="5"/>
        <v>1</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0"/>
      <c r="M12" s="1131"/>
      <c r="N12" s="1131"/>
      <c r="O12" s="1131"/>
      <c r="P12" s="3238"/>
      <c r="Q12" s="1793">
        <f t="shared" si="6"/>
        <v>111</v>
      </c>
      <c r="R12" s="769" t="s">
        <v>21</v>
      </c>
      <c r="S12" s="770">
        <f t="shared" si="0"/>
        <v>100</v>
      </c>
      <c r="T12" s="769" t="s">
        <v>21</v>
      </c>
      <c r="U12" s="770">
        <f t="shared" si="1"/>
        <v>100</v>
      </c>
      <c r="V12" s="769" t="s">
        <v>21</v>
      </c>
      <c r="W12" s="770">
        <f t="shared" si="2"/>
        <v>100</v>
      </c>
      <c r="X12" s="771"/>
      <c r="Y12" s="3076"/>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8"/>
      <c r="M13" s="1129"/>
      <c r="N13" s="1129"/>
      <c r="O13" s="1129"/>
      <c r="P13" s="3238"/>
      <c r="Q13" s="1793">
        <f t="shared" si="6"/>
        <v>111</v>
      </c>
      <c r="R13" s="769" t="s">
        <v>21</v>
      </c>
      <c r="S13" s="770">
        <f t="shared" si="0"/>
        <v>100</v>
      </c>
      <c r="T13" s="769" t="s">
        <v>21</v>
      </c>
      <c r="U13" s="770">
        <f t="shared" si="1"/>
        <v>100</v>
      </c>
      <c r="V13" s="769" t="s">
        <v>21</v>
      </c>
      <c r="W13" s="770">
        <f t="shared" si="2"/>
        <v>100</v>
      </c>
      <c r="X13" s="771"/>
      <c r="Y13" s="3076"/>
      <c r="Z13" s="55">
        <f t="shared" si="7"/>
        <v>111</v>
      </c>
      <c r="AA13" s="772">
        <f t="shared" si="3"/>
        <v>1</v>
      </c>
      <c r="AB13" s="772">
        <f t="shared" si="4"/>
        <v>1</v>
      </c>
      <c r="AC13" s="772">
        <f t="shared" si="5"/>
        <v>1</v>
      </c>
    </row>
    <row r="14" spans="1:29" ht="15.75"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8"/>
      <c r="M14" s="1129"/>
      <c r="N14" s="1129"/>
      <c r="O14" s="1129"/>
      <c r="P14" s="3238"/>
      <c r="Q14" s="1793">
        <f t="shared" si="6"/>
        <v>111</v>
      </c>
      <c r="R14" s="769" t="s">
        <v>21</v>
      </c>
      <c r="S14" s="770">
        <f t="shared" si="0"/>
        <v>100</v>
      </c>
      <c r="T14" s="769" t="s">
        <v>21</v>
      </c>
      <c r="U14" s="770">
        <f t="shared" si="1"/>
        <v>100</v>
      </c>
      <c r="V14" s="769" t="s">
        <v>21</v>
      </c>
      <c r="W14" s="770">
        <f t="shared" si="2"/>
        <v>100</v>
      </c>
      <c r="X14" s="771"/>
      <c r="Y14" s="3076"/>
      <c r="Z14" s="55">
        <f t="shared" si="7"/>
        <v>111</v>
      </c>
      <c r="AA14" s="772">
        <f t="shared" si="3"/>
        <v>1</v>
      </c>
      <c r="AB14" s="772">
        <f t="shared" si="4"/>
        <v>1</v>
      </c>
      <c r="AC14" s="772">
        <f t="shared" si="5"/>
        <v>1</v>
      </c>
    </row>
    <row r="15" spans="1:29" ht="71.25">
      <c r="A15" s="440" t="s">
        <v>2545</v>
      </c>
      <c r="B15" s="69" t="s">
        <v>2082</v>
      </c>
      <c r="C15" s="2595" t="str">
        <f>估价对象房地状况!C3</f>
        <v>估价对象周边有新安里、双河北里等住宅小区，综合评价居住社区成熟度较好</v>
      </c>
      <c r="D15" s="441">
        <v>100</v>
      </c>
      <c r="E15" s="444"/>
      <c r="F15" s="441">
        <f>SUMIF(76:76,E16,77:77)-SUMIF(76:76,C16,77:77)+100</f>
        <v>100</v>
      </c>
      <c r="G15" s="442"/>
      <c r="H15" s="441">
        <f>SUMIF(76:76,G16,77:77)-SUMIF(76:76,C16,77:77)+100</f>
        <v>100</v>
      </c>
      <c r="I15" s="442"/>
      <c r="J15" s="441">
        <f>SUMIF(76:76,I16,77:77)-SUMIF(76:76,C16,77:77)+100</f>
        <v>98</v>
      </c>
      <c r="K15" s="445">
        <f>'土地比较法-住宅、综合'!K15</f>
        <v>2</v>
      </c>
      <c r="L15" s="1138"/>
      <c r="M15" s="1129"/>
      <c r="N15" s="1129"/>
      <c r="O15" s="1129"/>
      <c r="P15" s="3279" t="s">
        <v>2546</v>
      </c>
      <c r="Q15" s="1808" t="str">
        <f t="shared" si="6"/>
        <v>居住社区成熟度</v>
      </c>
      <c r="R15" s="773" t="s">
        <v>21</v>
      </c>
      <c r="S15" s="774">
        <f t="shared" si="0"/>
        <v>100</v>
      </c>
      <c r="T15" s="773" t="s">
        <v>21</v>
      </c>
      <c r="U15" s="774">
        <f t="shared" si="1"/>
        <v>100</v>
      </c>
      <c r="V15" s="773" t="s">
        <v>21</v>
      </c>
      <c r="W15" s="774">
        <f t="shared" si="2"/>
        <v>98</v>
      </c>
      <c r="X15" s="1811"/>
      <c r="Y15" s="3229" t="s">
        <v>2546</v>
      </c>
      <c r="Z15" s="1812" t="str">
        <f t="shared" si="7"/>
        <v>居住社区成熟度</v>
      </c>
      <c r="AA15" s="1809">
        <f t="shared" si="3"/>
        <v>1</v>
      </c>
      <c r="AB15" s="1809">
        <f t="shared" si="4"/>
        <v>1</v>
      </c>
      <c r="AC15" s="1809">
        <f t="shared" si="5"/>
        <v>1.0204081632653061</v>
      </c>
    </row>
    <row r="16" spans="1:29" ht="15">
      <c r="A16" s="428"/>
      <c r="B16" s="446"/>
      <c r="C16" s="447" t="s">
        <v>3072</v>
      </c>
      <c r="D16" s="448"/>
      <c r="E16" s="447" t="s">
        <v>3072</v>
      </c>
      <c r="F16" s="448"/>
      <c r="G16" s="447" t="s">
        <v>3072</v>
      </c>
      <c r="H16" s="450"/>
      <c r="I16" s="447" t="s">
        <v>3157</v>
      </c>
      <c r="J16" s="448"/>
      <c r="K16" s="2598"/>
      <c r="L16" s="1138"/>
      <c r="M16" s="1129"/>
      <c r="N16" s="1129"/>
      <c r="O16" s="1129"/>
      <c r="P16" s="3280"/>
      <c r="Q16" s="1808"/>
      <c r="R16" s="773"/>
      <c r="S16" s="774"/>
      <c r="T16" s="773"/>
      <c r="U16" s="774"/>
      <c r="V16" s="773"/>
      <c r="W16" s="774"/>
      <c r="X16" s="1811"/>
      <c r="Y16" s="3230"/>
      <c r="Z16" s="1812"/>
      <c r="AA16" s="1809">
        <v>1</v>
      </c>
      <c r="AB16" s="1809">
        <v>1</v>
      </c>
      <c r="AC16" s="1809">
        <v>1</v>
      </c>
    </row>
    <row r="17" spans="1:29" ht="71.25">
      <c r="A17" s="428"/>
      <c r="B17" s="451" t="s">
        <v>2088</v>
      </c>
      <c r="C17" s="2599" t="str">
        <f>估价对象房地状况!C6</f>
        <v>估价对象周边有849、兴23路等公交线路，综合评价交通便捷度一般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v>2</v>
      </c>
      <c r="L17" s="1138"/>
      <c r="M17" s="1129"/>
      <c r="N17" s="1129"/>
      <c r="O17" s="1129"/>
      <c r="P17" s="3280"/>
      <c r="Q17" s="1808" t="str">
        <f>B17</f>
        <v>交通便捷度</v>
      </c>
      <c r="R17" s="773" t="s">
        <v>21</v>
      </c>
      <c r="S17" s="774">
        <f>F17</f>
        <v>100</v>
      </c>
      <c r="T17" s="773" t="s">
        <v>21</v>
      </c>
      <c r="U17" s="774">
        <f>H17</f>
        <v>100</v>
      </c>
      <c r="V17" s="773" t="s">
        <v>21</v>
      </c>
      <c r="W17" s="774">
        <f>J17</f>
        <v>100</v>
      </c>
      <c r="X17" s="1811"/>
      <c r="Y17" s="3230"/>
      <c r="Z17" s="1812" t="str">
        <f>Q17</f>
        <v>交通便捷度</v>
      </c>
      <c r="AA17" s="1809">
        <f t="shared" si="3"/>
        <v>1</v>
      </c>
      <c r="AB17" s="1809">
        <f t="shared" si="4"/>
        <v>1</v>
      </c>
      <c r="AC17" s="1809">
        <f t="shared" si="5"/>
        <v>1</v>
      </c>
    </row>
    <row r="18" spans="1:29" ht="15">
      <c r="A18" s="428"/>
      <c r="B18" s="456"/>
      <c r="C18" s="447" t="s">
        <v>3157</v>
      </c>
      <c r="D18" s="450"/>
      <c r="E18" s="447" t="s">
        <v>3157</v>
      </c>
      <c r="F18" s="450"/>
      <c r="G18" s="447" t="s">
        <v>3157</v>
      </c>
      <c r="H18" s="448"/>
      <c r="I18" s="447" t="s">
        <v>3157</v>
      </c>
      <c r="J18" s="448"/>
      <c r="K18" s="2598"/>
      <c r="L18" s="1138"/>
      <c r="M18" s="1129"/>
      <c r="N18" s="1129"/>
      <c r="O18" s="1129"/>
      <c r="P18" s="3280"/>
      <c r="Q18" s="1808"/>
      <c r="R18" s="773"/>
      <c r="S18" s="774"/>
      <c r="T18" s="773"/>
      <c r="U18" s="774"/>
      <c r="V18" s="773"/>
      <c r="W18" s="774"/>
      <c r="X18" s="1811"/>
      <c r="Y18" s="3230"/>
      <c r="Z18" s="1812"/>
      <c r="AA18" s="1809">
        <v>1</v>
      </c>
      <c r="AB18" s="1809">
        <v>1</v>
      </c>
      <c r="AC18" s="1809">
        <v>1</v>
      </c>
    </row>
    <row r="19" spans="1:29" ht="42.75">
      <c r="A19" s="428"/>
      <c r="B19" s="451" t="s">
        <v>2087</v>
      </c>
      <c r="C19" s="2599" t="str">
        <f>估价对象房地状况!C7</f>
        <v>估价对象所在区域公共配套设施齐备较齐备</v>
      </c>
      <c r="D19" s="455">
        <v>100</v>
      </c>
      <c r="E19" s="459"/>
      <c r="F19" s="455">
        <f>SUMIF(80:80,E20,81:81)-SUMIF(80:80,C20,81:81)+100</f>
        <v>100</v>
      </c>
      <c r="G19" s="457"/>
      <c r="H19" s="450">
        <f>SUMIF(80:80,G20,81:81)-SUMIF(80:80,C20,81:81)+100</f>
        <v>100</v>
      </c>
      <c r="I19" s="457"/>
      <c r="J19" s="450">
        <f>SUMIF(80:80,I20,81:81)-SUMIF(80:80,C20,81:81)+100</f>
        <v>98</v>
      </c>
      <c r="K19" s="445">
        <v>2</v>
      </c>
      <c r="L19" s="1138"/>
      <c r="M19" s="1129"/>
      <c r="N19" s="1129"/>
      <c r="O19" s="1129"/>
      <c r="P19" s="3280"/>
      <c r="Q19" s="1808" t="str">
        <f>B19</f>
        <v>公共配套设施</v>
      </c>
      <c r="R19" s="773" t="s">
        <v>21</v>
      </c>
      <c r="S19" s="774">
        <f>F19</f>
        <v>100</v>
      </c>
      <c r="T19" s="773" t="s">
        <v>21</v>
      </c>
      <c r="U19" s="774">
        <f>H19</f>
        <v>100</v>
      </c>
      <c r="V19" s="773" t="s">
        <v>21</v>
      </c>
      <c r="W19" s="774">
        <f>J19</f>
        <v>98</v>
      </c>
      <c r="X19" s="1811"/>
      <c r="Y19" s="3230"/>
      <c r="Z19" s="1812" t="str">
        <f>Q19</f>
        <v>公共配套设施</v>
      </c>
      <c r="AA19" s="1809">
        <f t="shared" si="3"/>
        <v>1</v>
      </c>
      <c r="AB19" s="1809">
        <f t="shared" si="4"/>
        <v>1</v>
      </c>
      <c r="AC19" s="1809">
        <f t="shared" si="5"/>
        <v>1.0204081632653061</v>
      </c>
    </row>
    <row r="20" spans="1:29" ht="15">
      <c r="A20" s="428"/>
      <c r="B20" s="456"/>
      <c r="C20" s="447" t="s">
        <v>3072</v>
      </c>
      <c r="D20" s="448"/>
      <c r="E20" s="447" t="s">
        <v>3072</v>
      </c>
      <c r="F20" s="448"/>
      <c r="G20" s="447" t="s">
        <v>3072</v>
      </c>
      <c r="H20" s="448"/>
      <c r="I20" s="447" t="s">
        <v>3157</v>
      </c>
      <c r="J20" s="448"/>
      <c r="K20" s="2598"/>
      <c r="L20" s="1138"/>
      <c r="M20" s="1129"/>
      <c r="N20" s="1129"/>
      <c r="O20" s="1129"/>
      <c r="P20" s="3280"/>
      <c r="Q20" s="1808"/>
      <c r="R20" s="773"/>
      <c r="S20" s="774"/>
      <c r="T20" s="773"/>
      <c r="U20" s="774"/>
      <c r="V20" s="773"/>
      <c r="W20" s="774"/>
      <c r="X20" s="1811"/>
      <c r="Y20" s="3230"/>
      <c r="Z20" s="1812"/>
      <c r="AA20" s="1809">
        <v>1</v>
      </c>
      <c r="AB20" s="1809">
        <v>1</v>
      </c>
      <c r="AC20" s="1809">
        <v>1</v>
      </c>
    </row>
    <row r="21" spans="1:29" ht="28.5">
      <c r="A21" s="428"/>
      <c r="B21" s="1382" t="s">
        <v>2089</v>
      </c>
      <c r="C21" s="2599" t="str">
        <f>估价对象房地状况!C8</f>
        <v>区域基础设施水平达七通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38"/>
      <c r="M21" s="1129"/>
      <c r="N21" s="1129"/>
      <c r="O21" s="1129"/>
      <c r="P21" s="3280"/>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D21/F21</f>
        <v>1</v>
      </c>
      <c r="AB21" s="1809">
        <f>D21/H21</f>
        <v>1</v>
      </c>
      <c r="AC21" s="1809">
        <f>D21/J21</f>
        <v>1</v>
      </c>
    </row>
    <row r="22" spans="1:29" ht="15">
      <c r="A22" s="428"/>
      <c r="B22" s="1382"/>
      <c r="C22" s="2600" t="s">
        <v>3158</v>
      </c>
      <c r="D22" s="448"/>
      <c r="E22" s="2600" t="s">
        <v>3158</v>
      </c>
      <c r="F22" s="448"/>
      <c r="G22" s="2600" t="s">
        <v>3158</v>
      </c>
      <c r="H22" s="448"/>
      <c r="I22" s="2600" t="s">
        <v>3158</v>
      </c>
      <c r="J22" s="448"/>
      <c r="K22" s="2604"/>
      <c r="L22" s="1138"/>
      <c r="M22" s="1129"/>
      <c r="N22" s="1129"/>
      <c r="O22" s="1129"/>
      <c r="P22" s="3280"/>
      <c r="Q22" s="1808"/>
      <c r="R22" s="773"/>
      <c r="S22" s="774"/>
      <c r="T22" s="773"/>
      <c r="U22" s="774"/>
      <c r="V22" s="773"/>
      <c r="W22" s="774"/>
      <c r="X22" s="1811"/>
      <c r="Y22" s="3230"/>
      <c r="Z22" s="1812"/>
      <c r="AA22" s="1809">
        <v>1</v>
      </c>
      <c r="AB22" s="1809">
        <v>1</v>
      </c>
      <c r="AC22" s="1809">
        <v>1</v>
      </c>
    </row>
    <row r="23" spans="1:29" ht="57">
      <c r="A23" s="428"/>
      <c r="B23" s="451" t="s">
        <v>2091</v>
      </c>
      <c r="C23" s="2599" t="str">
        <f>估价对象房地状况!C9</f>
        <v>周边有北京广播电视大学、康庄公园；综合评价环境状况较好</v>
      </c>
      <c r="D23" s="450">
        <v>100</v>
      </c>
      <c r="E23" s="454"/>
      <c r="F23" s="450">
        <f>SUMIF(84:84,E24,85:85)-SUMIF(84:84,C24,85:85)+100</f>
        <v>100</v>
      </c>
      <c r="G23" s="452"/>
      <c r="H23" s="450">
        <f>SUMIF(84:84,G24,85:85)-SUMIF(84:84,C24,85:85)+100</f>
        <v>100</v>
      </c>
      <c r="I23" s="452"/>
      <c r="J23" s="450">
        <f>SUMIF(84:84,I24,85:85)-SUMIF(84:84,C24,85:85)+100</f>
        <v>98</v>
      </c>
      <c r="K23" s="445">
        <v>2</v>
      </c>
      <c r="L23" s="1138"/>
      <c r="M23" s="1129"/>
      <c r="N23" s="1129"/>
      <c r="O23" s="1129"/>
      <c r="P23" s="3280"/>
      <c r="Q23" s="1808" t="str">
        <f>B23</f>
        <v>自然及人文环境</v>
      </c>
      <c r="R23" s="773" t="s">
        <v>21</v>
      </c>
      <c r="S23" s="774">
        <f>F23</f>
        <v>100</v>
      </c>
      <c r="T23" s="773" t="s">
        <v>21</v>
      </c>
      <c r="U23" s="774">
        <f>H23</f>
        <v>100</v>
      </c>
      <c r="V23" s="773" t="s">
        <v>21</v>
      </c>
      <c r="W23" s="774">
        <f>J23</f>
        <v>98</v>
      </c>
      <c r="X23" s="1811"/>
      <c r="Y23" s="3230"/>
      <c r="Z23" s="1812" t="str">
        <f>Q23</f>
        <v>自然及人文环境</v>
      </c>
      <c r="AA23" s="1809">
        <f>D23/F23</f>
        <v>1</v>
      </c>
      <c r="AB23" s="1809">
        <f>D23/H23</f>
        <v>1</v>
      </c>
      <c r="AC23" s="1809">
        <f>D23/J23</f>
        <v>1.0204081632653061</v>
      </c>
    </row>
    <row r="24" spans="1:29" ht="15.75" thickBot="1">
      <c r="A24" s="428"/>
      <c r="B24" s="456"/>
      <c r="C24" s="447" t="s">
        <v>3072</v>
      </c>
      <c r="D24" s="448"/>
      <c r="E24" s="447" t="s">
        <v>3072</v>
      </c>
      <c r="F24" s="448"/>
      <c r="G24" s="447" t="s">
        <v>3072</v>
      </c>
      <c r="H24" s="448"/>
      <c r="I24" s="447" t="s">
        <v>3157</v>
      </c>
      <c r="J24" s="448"/>
      <c r="K24" s="2598"/>
      <c r="L24" s="1138"/>
      <c r="M24" s="1129"/>
      <c r="N24" s="1129"/>
      <c r="O24" s="1129"/>
      <c r="P24" s="3280"/>
      <c r="Q24" s="1808"/>
      <c r="R24" s="773"/>
      <c r="S24" s="774"/>
      <c r="T24" s="773"/>
      <c r="U24" s="774"/>
      <c r="V24" s="773"/>
      <c r="W24" s="774"/>
      <c r="X24" s="1811"/>
      <c r="Y24" s="3230"/>
      <c r="Z24" s="1812"/>
      <c r="AA24" s="1809">
        <v>1</v>
      </c>
      <c r="AB24" s="1809">
        <v>1</v>
      </c>
      <c r="AC24" s="1809">
        <v>1</v>
      </c>
    </row>
    <row r="25" spans="1:29" ht="15" hidden="1">
      <c r="A25" s="428"/>
      <c r="B25" s="422" t="s">
        <v>2547</v>
      </c>
      <c r="C25" s="460"/>
      <c r="D25" s="435">
        <v>100</v>
      </c>
      <c r="E25" s="2605"/>
      <c r="F25" s="435">
        <f>SUMIF(86:86,E25,87:87)-SUMIF(86:86,C25,87:87)+100</f>
        <v>100</v>
      </c>
      <c r="G25" s="2606"/>
      <c r="H25" s="435">
        <f>SUMIF(86:86,G25,87:87)-SUMIF(86:86,C25,87:87)+100</f>
        <v>100</v>
      </c>
      <c r="I25" s="2606"/>
      <c r="J25" s="435">
        <f>SUMIF(86:86,I25,87:87)-SUMIF(86:86,C25,87:87)+100</f>
        <v>100</v>
      </c>
      <c r="K25" s="426"/>
      <c r="L25" s="1138"/>
      <c r="M25" s="1129"/>
      <c r="N25" s="1129"/>
      <c r="O25" s="1129"/>
      <c r="P25" s="3280"/>
      <c r="Q25" s="1808" t="str">
        <f t="shared" ref="Q25:Q46" si="8">B25</f>
        <v>楼层-1</v>
      </c>
      <c r="R25" s="773" t="s">
        <v>21</v>
      </c>
      <c r="S25" s="774">
        <f t="shared" ref="S25:S46" si="9">F25</f>
        <v>100</v>
      </c>
      <c r="T25" s="773" t="s">
        <v>21</v>
      </c>
      <c r="U25" s="774">
        <f t="shared" ref="U25:U46" si="10">H25</f>
        <v>100</v>
      </c>
      <c r="V25" s="773" t="s">
        <v>21</v>
      </c>
      <c r="W25" s="774">
        <f t="shared" ref="W25:W46" si="11">J25</f>
        <v>100</v>
      </c>
      <c r="X25" s="1811"/>
      <c r="Y25" s="3230"/>
      <c r="Z25" s="1812" t="str">
        <f>Q25</f>
        <v>楼层-1</v>
      </c>
      <c r="AA25" s="1809">
        <f t="shared" ref="AA25:AA46" si="12">D25/F25</f>
        <v>1</v>
      </c>
      <c r="AB25" s="1809">
        <f t="shared" ref="AB25:AB46" si="13">D25/H25</f>
        <v>1</v>
      </c>
      <c r="AC25" s="1809">
        <f t="shared" ref="AC25:AC46" si="14">D25/J25</f>
        <v>1</v>
      </c>
    </row>
    <row r="26" spans="1:29" ht="15" hidden="1">
      <c r="A26" s="428"/>
      <c r="B26" s="422" t="s">
        <v>2548</v>
      </c>
      <c r="C26" s="460"/>
      <c r="D26" s="435">
        <v>100</v>
      </c>
      <c r="E26" s="2605"/>
      <c r="F26" s="435">
        <f>SUMIF(88:88,E26,89:89)-SUMIF(88:88,C26,89:89)+100</f>
        <v>100</v>
      </c>
      <c r="G26" s="2606"/>
      <c r="H26" s="435">
        <f>SUMIF(88:88,G26,89:89)-SUMIF(88:88,C26,89:89)+100</f>
        <v>100</v>
      </c>
      <c r="I26" s="2606"/>
      <c r="J26" s="435">
        <f>SUMIF(88:88,I26,89:89)-SUMIF(88:88,C26,89:89)+100</f>
        <v>100</v>
      </c>
      <c r="K26" s="426"/>
      <c r="L26" s="1138"/>
      <c r="M26" s="1129"/>
      <c r="N26" s="1129"/>
      <c r="O26" s="1129"/>
      <c r="P26" s="3280"/>
      <c r="Q26" s="1808" t="str">
        <f t="shared" si="8"/>
        <v>朝向</v>
      </c>
      <c r="R26" s="773" t="s">
        <v>21</v>
      </c>
      <c r="S26" s="774">
        <f t="shared" si="9"/>
        <v>100</v>
      </c>
      <c r="T26" s="773" t="s">
        <v>21</v>
      </c>
      <c r="U26" s="774">
        <f t="shared" si="10"/>
        <v>100</v>
      </c>
      <c r="V26" s="773" t="s">
        <v>21</v>
      </c>
      <c r="W26" s="774">
        <f t="shared" si="11"/>
        <v>100</v>
      </c>
      <c r="X26" s="1811"/>
      <c r="Y26" s="3230"/>
      <c r="Z26" s="1812" t="str">
        <f>Q26</f>
        <v>朝向</v>
      </c>
      <c r="AA26" s="1809">
        <f t="shared" si="12"/>
        <v>1</v>
      </c>
      <c r="AB26" s="1809">
        <f t="shared" si="13"/>
        <v>1</v>
      </c>
      <c r="AC26" s="1809">
        <f t="shared" si="14"/>
        <v>1</v>
      </c>
    </row>
    <row r="27" spans="1:29" s="117" customFormat="1" ht="15" hidden="1">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3"/>
      <c r="L27" s="1130"/>
      <c r="M27" s="1131"/>
      <c r="N27" s="1131"/>
      <c r="O27" s="1131"/>
      <c r="P27" s="3280"/>
      <c r="Q27" s="1793">
        <f t="shared" si="8"/>
        <v>111</v>
      </c>
      <c r="R27" s="769" t="s">
        <v>21</v>
      </c>
      <c r="S27" s="770">
        <f t="shared" si="9"/>
        <v>100</v>
      </c>
      <c r="T27" s="769" t="s">
        <v>21</v>
      </c>
      <c r="U27" s="770">
        <f t="shared" si="10"/>
        <v>100</v>
      </c>
      <c r="V27" s="769" t="s">
        <v>21</v>
      </c>
      <c r="W27" s="770">
        <f t="shared" si="11"/>
        <v>100</v>
      </c>
      <c r="X27" s="771"/>
      <c r="Y27" s="3230"/>
      <c r="Z27" s="55">
        <f>Q27</f>
        <v>111</v>
      </c>
      <c r="AA27" s="1809">
        <f t="shared" si="12"/>
        <v>1</v>
      </c>
      <c r="AB27" s="1809">
        <f t="shared" si="13"/>
        <v>1</v>
      </c>
      <c r="AC27" s="1809">
        <f t="shared" si="14"/>
        <v>1</v>
      </c>
    </row>
    <row r="28" spans="1:29" ht="15" hidden="1">
      <c r="A28" s="428"/>
      <c r="B28" s="1384">
        <v>111</v>
      </c>
      <c r="C28" s="434"/>
      <c r="D28" s="435">
        <v>100</v>
      </c>
      <c r="E28" s="434"/>
      <c r="F28" s="435">
        <f>SUMIF(92:92,E28,93:93)-SUMIF(92:92,C28,93:93)+100</f>
        <v>100</v>
      </c>
      <c r="G28" s="2607"/>
      <c r="H28" s="435">
        <f>SUMIF(92:92,G28,93:93)-SUMIF(92:92,C28,93:93)+100</f>
        <v>100</v>
      </c>
      <c r="I28" s="434"/>
      <c r="J28" s="435">
        <f>SUMIF(92:92,I28,93:93)-SUMIF(92:92,C28,93:93)+100</f>
        <v>100</v>
      </c>
      <c r="K28" s="2593"/>
      <c r="L28" s="1138"/>
      <c r="M28" s="1129"/>
      <c r="N28" s="1129"/>
      <c r="O28" s="1129"/>
      <c r="P28" s="3280"/>
      <c r="Q28" s="1808">
        <f t="shared" si="8"/>
        <v>111</v>
      </c>
      <c r="R28" s="773" t="s">
        <v>21</v>
      </c>
      <c r="S28" s="774">
        <f t="shared" si="9"/>
        <v>100</v>
      </c>
      <c r="T28" s="773" t="s">
        <v>21</v>
      </c>
      <c r="U28" s="774">
        <f t="shared" si="10"/>
        <v>100</v>
      </c>
      <c r="V28" s="773" t="s">
        <v>21</v>
      </c>
      <c r="W28" s="774">
        <f t="shared" si="11"/>
        <v>100</v>
      </c>
      <c r="X28" s="1811"/>
      <c r="Y28" s="3230"/>
      <c r="Z28" s="1812">
        <f t="shared" ref="Z28:Z46" si="15">Q28</f>
        <v>111</v>
      </c>
      <c r="AA28" s="1809">
        <f t="shared" si="12"/>
        <v>1</v>
      </c>
      <c r="AB28" s="1809">
        <f t="shared" si="13"/>
        <v>1</v>
      </c>
      <c r="AC28" s="1809">
        <f t="shared" si="14"/>
        <v>1</v>
      </c>
    </row>
    <row r="29" spans="1:29" ht="15" hidden="1">
      <c r="A29" s="428"/>
      <c r="B29" s="1384">
        <v>111</v>
      </c>
      <c r="C29" s="434"/>
      <c r="D29" s="435">
        <v>100</v>
      </c>
      <c r="E29" s="434"/>
      <c r="F29" s="435">
        <f>SUMIF(94:94,E29,95:95)-SUMIF(94:94,C29,95:95)+100</f>
        <v>100</v>
      </c>
      <c r="G29" s="2607"/>
      <c r="H29" s="435">
        <f>SUMIF(94:94,G29,95:95)-SUMIF(94:94,C29,95:95)+100</f>
        <v>100</v>
      </c>
      <c r="I29" s="434"/>
      <c r="J29" s="435">
        <f>SUMIF(94:94,I29,95:95)-SUMIF(94:94,C29,95:95)+100</f>
        <v>100</v>
      </c>
      <c r="K29" s="2593"/>
      <c r="L29" s="1138"/>
      <c r="M29" s="1129"/>
      <c r="N29" s="1129"/>
      <c r="O29" s="1129"/>
      <c r="P29" s="3280"/>
      <c r="Q29" s="1808">
        <f t="shared" si="8"/>
        <v>111</v>
      </c>
      <c r="R29" s="773" t="s">
        <v>21</v>
      </c>
      <c r="S29" s="774">
        <f t="shared" si="9"/>
        <v>100</v>
      </c>
      <c r="T29" s="773" t="s">
        <v>21</v>
      </c>
      <c r="U29" s="774">
        <f t="shared" si="10"/>
        <v>100</v>
      </c>
      <c r="V29" s="773" t="s">
        <v>21</v>
      </c>
      <c r="W29" s="774">
        <f t="shared" si="11"/>
        <v>100</v>
      </c>
      <c r="X29" s="1811"/>
      <c r="Y29" s="3230"/>
      <c r="Z29" s="1812">
        <f t="shared" si="15"/>
        <v>111</v>
      </c>
      <c r="AA29" s="1809">
        <f t="shared" si="12"/>
        <v>1</v>
      </c>
      <c r="AB29" s="1809">
        <f t="shared" si="13"/>
        <v>1</v>
      </c>
      <c r="AC29" s="1809">
        <f t="shared" si="14"/>
        <v>1</v>
      </c>
    </row>
    <row r="30" spans="1:29" ht="15" hidden="1">
      <c r="A30" s="428"/>
      <c r="B30" s="1384">
        <v>111</v>
      </c>
      <c r="C30" s="434"/>
      <c r="D30" s="435">
        <v>100</v>
      </c>
      <c r="E30" s="434"/>
      <c r="F30" s="435">
        <f>SUMIF(96:96,E30,97:97)-SUMIF(96:96,C30,97:97)+100</f>
        <v>100</v>
      </c>
      <c r="G30" s="2607"/>
      <c r="H30" s="435">
        <f>SUMIF(96:96,G30,97:97)-SUMIF(96:96,C30,97:97)+100</f>
        <v>100</v>
      </c>
      <c r="I30" s="434"/>
      <c r="J30" s="435">
        <f>SUMIF(96:96,I30,97:97)-SUMIF(96:96,C30,97:97)+100</f>
        <v>100</v>
      </c>
      <c r="K30" s="2593"/>
      <c r="L30" s="1138"/>
      <c r="M30" s="1129"/>
      <c r="N30" s="1129"/>
      <c r="O30" s="1129"/>
      <c r="P30" s="3280"/>
      <c r="Q30" s="1808">
        <f t="shared" si="8"/>
        <v>111</v>
      </c>
      <c r="R30" s="773" t="s">
        <v>21</v>
      </c>
      <c r="S30" s="774">
        <f t="shared" si="9"/>
        <v>100</v>
      </c>
      <c r="T30" s="773" t="s">
        <v>21</v>
      </c>
      <c r="U30" s="774">
        <f t="shared" si="10"/>
        <v>100</v>
      </c>
      <c r="V30" s="773" t="s">
        <v>21</v>
      </c>
      <c r="W30" s="774">
        <f t="shared" si="11"/>
        <v>100</v>
      </c>
      <c r="X30" s="1811"/>
      <c r="Y30" s="3230"/>
      <c r="Z30" s="1812">
        <f t="shared" si="15"/>
        <v>111</v>
      </c>
      <c r="AA30" s="1809">
        <f t="shared" si="12"/>
        <v>1</v>
      </c>
      <c r="AB30" s="1809">
        <f t="shared" si="13"/>
        <v>1</v>
      </c>
      <c r="AC30" s="1809">
        <f t="shared" si="14"/>
        <v>1</v>
      </c>
    </row>
    <row r="31" spans="1:29" ht="15.75" hidden="1" thickBot="1">
      <c r="A31" s="436"/>
      <c r="B31" s="1384">
        <v>111</v>
      </c>
      <c r="C31" s="437"/>
      <c r="D31" s="438">
        <v>100</v>
      </c>
      <c r="E31" s="437"/>
      <c r="F31" s="438">
        <f>SUMIF(98:98,E31,99:99)-SUMIF(98:98,C31,99:99)+100</f>
        <v>100</v>
      </c>
      <c r="G31" s="2608"/>
      <c r="H31" s="438">
        <f>SUMIF(98:98,G31,99:99)-SUMIF(98:98,C31,99:99)+100</f>
        <v>100</v>
      </c>
      <c r="I31" s="437"/>
      <c r="J31" s="438">
        <f>SUMIF(98:98,I31,99:99)-SUMIF(98:98,C31,99:99)+100</f>
        <v>100</v>
      </c>
      <c r="K31" s="2593"/>
      <c r="L31" s="1138"/>
      <c r="M31" s="1129"/>
      <c r="N31" s="1129"/>
      <c r="O31" s="1129"/>
      <c r="P31" s="3280"/>
      <c r="Q31" s="1808">
        <f t="shared" si="8"/>
        <v>111</v>
      </c>
      <c r="R31" s="773" t="s">
        <v>21</v>
      </c>
      <c r="S31" s="774">
        <f t="shared" si="9"/>
        <v>100</v>
      </c>
      <c r="T31" s="773" t="s">
        <v>21</v>
      </c>
      <c r="U31" s="774">
        <f t="shared" si="10"/>
        <v>100</v>
      </c>
      <c r="V31" s="773" t="s">
        <v>21</v>
      </c>
      <c r="W31" s="774">
        <f t="shared" si="11"/>
        <v>100</v>
      </c>
      <c r="X31" s="1811"/>
      <c r="Y31" s="3230"/>
      <c r="Z31" s="1812">
        <f t="shared" si="15"/>
        <v>111</v>
      </c>
      <c r="AA31" s="1809">
        <f t="shared" si="12"/>
        <v>1</v>
      </c>
      <c r="AB31" s="1809">
        <f t="shared" si="13"/>
        <v>1</v>
      </c>
      <c r="AC31" s="1809">
        <f t="shared" si="14"/>
        <v>1</v>
      </c>
    </row>
    <row r="32" spans="1:29" ht="15">
      <c r="A32" s="440" t="s">
        <v>2549</v>
      </c>
      <c r="B32" s="71" t="s">
        <v>2550</v>
      </c>
      <c r="C32" s="2609" t="s">
        <v>3187</v>
      </c>
      <c r="D32" s="467">
        <v>100</v>
      </c>
      <c r="E32" s="2609" t="s">
        <v>3187</v>
      </c>
      <c r="F32" s="461">
        <f>SUMIF(100:100,E32,101:101)-SUMIF(100:100,C32,101:101)+100</f>
        <v>100</v>
      </c>
      <c r="G32" s="2609" t="s">
        <v>3187</v>
      </c>
      <c r="H32" s="467">
        <f>SUMIF(100:100,G32,101:101)-SUMIF(100:100,C32,101:101)+100</f>
        <v>100</v>
      </c>
      <c r="I32" s="2609" t="s">
        <v>3187</v>
      </c>
      <c r="J32" s="435">
        <f>SUMIF(100:100,I32,101:101)-SUMIF(100:100,C32,101:101)+100</f>
        <v>100</v>
      </c>
      <c r="K32" s="426">
        <v>5</v>
      </c>
      <c r="L32" s="1138"/>
      <c r="M32" s="1129"/>
      <c r="N32" s="1129"/>
      <c r="O32" s="1129"/>
      <c r="P32" s="3275" t="s">
        <v>2551</v>
      </c>
      <c r="Q32" s="1808" t="str">
        <f t="shared" si="8"/>
        <v>建筑类型</v>
      </c>
      <c r="R32" s="773" t="s">
        <v>21</v>
      </c>
      <c r="S32" s="774">
        <f t="shared" si="9"/>
        <v>100</v>
      </c>
      <c r="T32" s="773" t="s">
        <v>21</v>
      </c>
      <c r="U32" s="774">
        <f t="shared" si="10"/>
        <v>100</v>
      </c>
      <c r="V32" s="773" t="s">
        <v>21</v>
      </c>
      <c r="W32" s="774">
        <f t="shared" si="11"/>
        <v>100</v>
      </c>
      <c r="X32" s="1811"/>
      <c r="Y32" s="3232" t="s">
        <v>2551</v>
      </c>
      <c r="Z32" s="1812" t="str">
        <f t="shared" si="15"/>
        <v>建筑类型</v>
      </c>
      <c r="AA32" s="1809">
        <f t="shared" si="12"/>
        <v>1</v>
      </c>
      <c r="AB32" s="1809">
        <f t="shared" si="13"/>
        <v>1</v>
      </c>
      <c r="AC32" s="1809">
        <f t="shared" si="14"/>
        <v>1</v>
      </c>
    </row>
    <row r="33" spans="1:29" s="471" customFormat="1" ht="15">
      <c r="A33" s="468"/>
      <c r="B33" s="422" t="s">
        <v>2552</v>
      </c>
      <c r="C33" s="469">
        <f>'数据-基础表'!A15</f>
        <v>132937</v>
      </c>
      <c r="D33" s="136">
        <v>100</v>
      </c>
      <c r="E33" s="430">
        <v>77380</v>
      </c>
      <c r="F33" s="425">
        <f>LOOKUP(E33,103:103,104:104)-LOOKUP(C33,103:103,104:104)+100</f>
        <v>96</v>
      </c>
      <c r="G33" s="429">
        <v>77000</v>
      </c>
      <c r="H33" s="136">
        <f>LOOKUP(G33,103:103,104:104)-LOOKUP(C33,103:103,104:104)+100</f>
        <v>96</v>
      </c>
      <c r="I33" s="430">
        <v>110600</v>
      </c>
      <c r="J33" s="136">
        <f>LOOKUP(I33,103:103,104:104)-LOOKUP(C33,103:103,104:104)+100</f>
        <v>100</v>
      </c>
      <c r="K33" s="2593"/>
      <c r="L33" s="1136"/>
      <c r="M33" s="1139"/>
      <c r="N33" s="1139"/>
      <c r="O33" s="1139"/>
      <c r="P33" s="3276"/>
      <c r="Q33" s="775" t="str">
        <f t="shared" si="8"/>
        <v>项目建筑规模</v>
      </c>
      <c r="R33" s="776" t="s">
        <v>21</v>
      </c>
      <c r="S33" s="777">
        <f t="shared" si="9"/>
        <v>96</v>
      </c>
      <c r="T33" s="776" t="s">
        <v>21</v>
      </c>
      <c r="U33" s="777">
        <f t="shared" si="10"/>
        <v>96</v>
      </c>
      <c r="V33" s="776" t="s">
        <v>21</v>
      </c>
      <c r="W33" s="777">
        <f t="shared" si="11"/>
        <v>100</v>
      </c>
      <c r="X33" s="778"/>
      <c r="Y33" s="3232"/>
      <c r="Z33" s="779" t="str">
        <f t="shared" si="15"/>
        <v>项目建筑规模</v>
      </c>
      <c r="AA33" s="1809">
        <f t="shared" si="12"/>
        <v>1.0416666666666667</v>
      </c>
      <c r="AB33" s="1809">
        <f t="shared" si="13"/>
        <v>1.0416666666666667</v>
      </c>
      <c r="AC33" s="1809">
        <f t="shared" si="14"/>
        <v>1</v>
      </c>
    </row>
    <row r="34" spans="1:29" ht="15">
      <c r="A34" s="472"/>
      <c r="B34" s="422" t="s">
        <v>2553</v>
      </c>
      <c r="C34" s="2610" t="s">
        <v>3189</v>
      </c>
      <c r="D34" s="435">
        <v>100</v>
      </c>
      <c r="E34" s="2610" t="s">
        <v>3189</v>
      </c>
      <c r="F34" s="461">
        <f>SUMIF(105:105,E34,106:106)-SUMIF(105:105,C34,106:106)+100</f>
        <v>100</v>
      </c>
      <c r="G34" s="2610" t="s">
        <v>3189</v>
      </c>
      <c r="H34" s="435">
        <f>SUMIF(105:105,G34,106:106)-SUMIF(105:105,C34,106:106)+100</f>
        <v>100</v>
      </c>
      <c r="I34" s="2610" t="s">
        <v>3189</v>
      </c>
      <c r="J34" s="435">
        <f>SUMIF(105:105,I34,106:106)-SUMIF(105:105,C34,106:106)+100</f>
        <v>100</v>
      </c>
      <c r="K34" s="426">
        <v>2</v>
      </c>
      <c r="L34" s="1138"/>
      <c r="M34" s="1129"/>
      <c r="N34" s="1129"/>
      <c r="O34" s="1129"/>
      <c r="P34" s="3276"/>
      <c r="Q34" s="1808" t="str">
        <f t="shared" si="8"/>
        <v>建筑结构</v>
      </c>
      <c r="R34" s="773" t="s">
        <v>21</v>
      </c>
      <c r="S34" s="774">
        <f t="shared" si="9"/>
        <v>100</v>
      </c>
      <c r="T34" s="773" t="s">
        <v>21</v>
      </c>
      <c r="U34" s="774">
        <f t="shared" si="10"/>
        <v>100</v>
      </c>
      <c r="V34" s="773" t="s">
        <v>21</v>
      </c>
      <c r="W34" s="774">
        <f t="shared" si="11"/>
        <v>100</v>
      </c>
      <c r="X34" s="1811"/>
      <c r="Y34" s="3232"/>
      <c r="Z34" s="1812" t="str">
        <f t="shared" si="15"/>
        <v>建筑结构</v>
      </c>
      <c r="AA34" s="1809">
        <f t="shared" si="12"/>
        <v>1</v>
      </c>
      <c r="AB34" s="1809">
        <f t="shared" si="13"/>
        <v>1</v>
      </c>
      <c r="AC34" s="1809">
        <f t="shared" si="14"/>
        <v>1</v>
      </c>
    </row>
    <row r="35" spans="1:29" ht="15">
      <c r="A35" s="472"/>
      <c r="B35" s="422" t="s">
        <v>2554</v>
      </c>
      <c r="C35" s="2605" t="s">
        <v>3191</v>
      </c>
      <c r="D35" s="435">
        <v>100</v>
      </c>
      <c r="E35" s="2605" t="s">
        <v>3191</v>
      </c>
      <c r="F35" s="461">
        <f>SUMIF(107:107,E35,108:108)-SUMIF(107:107,C35,108:108)+100</f>
        <v>100</v>
      </c>
      <c r="G35" s="2605" t="s">
        <v>3191</v>
      </c>
      <c r="H35" s="435">
        <f>SUMIF(107:107,G35,108:108)-SUMIF(107:107,C35,108:108)+100</f>
        <v>100</v>
      </c>
      <c r="I35" s="2605" t="s">
        <v>3191</v>
      </c>
      <c r="J35" s="435">
        <f>SUMIF(107:107,I35,108:108)-SUMIF(107:107,C35,108:108)+100</f>
        <v>100</v>
      </c>
      <c r="K35" s="426">
        <v>5</v>
      </c>
      <c r="L35" s="1138"/>
      <c r="M35" s="1129"/>
      <c r="N35" s="1129"/>
      <c r="O35" s="1129"/>
      <c r="P35" s="3276"/>
      <c r="Q35" s="1808" t="str">
        <f t="shared" si="8"/>
        <v>建筑品质</v>
      </c>
      <c r="R35" s="773" t="s">
        <v>21</v>
      </c>
      <c r="S35" s="774">
        <f t="shared" si="9"/>
        <v>100</v>
      </c>
      <c r="T35" s="773" t="s">
        <v>21</v>
      </c>
      <c r="U35" s="774">
        <f t="shared" si="10"/>
        <v>100</v>
      </c>
      <c r="V35" s="773" t="s">
        <v>21</v>
      </c>
      <c r="W35" s="774">
        <f t="shared" si="11"/>
        <v>100</v>
      </c>
      <c r="X35" s="1811"/>
      <c r="Y35" s="3232"/>
      <c r="Z35" s="1812" t="str">
        <f t="shared" si="15"/>
        <v>建筑品质</v>
      </c>
      <c r="AA35" s="1809">
        <f t="shared" si="12"/>
        <v>1</v>
      </c>
      <c r="AB35" s="1809">
        <f t="shared" si="13"/>
        <v>1</v>
      </c>
      <c r="AC35" s="1809">
        <f t="shared" si="14"/>
        <v>1</v>
      </c>
    </row>
    <row r="36" spans="1:29" ht="15">
      <c r="A36" s="472"/>
      <c r="B36" s="422" t="s">
        <v>2555</v>
      </c>
      <c r="C36" s="2605" t="s">
        <v>3197</v>
      </c>
      <c r="D36" s="435">
        <v>100</v>
      </c>
      <c r="E36" s="2605" t="s">
        <v>3197</v>
      </c>
      <c r="F36" s="461">
        <f>SUMIF(109:109,E36,110:110)-SUMIF(109:109,C36,110:110)+100</f>
        <v>100</v>
      </c>
      <c r="G36" s="2605" t="s">
        <v>3197</v>
      </c>
      <c r="H36" s="435">
        <f>SUMIF(109:109,G36,110:110)-SUMIF(109:109,C36,110:110)+100</f>
        <v>100</v>
      </c>
      <c r="I36" s="2605" t="s">
        <v>3197</v>
      </c>
      <c r="J36" s="435">
        <f>SUMIF(109:109,I36,110:110)-SUMIF(109:109,C36,110:110)+100</f>
        <v>100</v>
      </c>
      <c r="K36" s="426">
        <v>2</v>
      </c>
      <c r="L36" s="1138"/>
      <c r="M36" s="1129"/>
      <c r="N36" s="1129"/>
      <c r="O36" s="1129"/>
      <c r="P36" s="3276"/>
      <c r="Q36" s="1808" t="str">
        <f t="shared" si="8"/>
        <v>公共部分装修</v>
      </c>
      <c r="R36" s="773" t="s">
        <v>21</v>
      </c>
      <c r="S36" s="774">
        <f t="shared" si="9"/>
        <v>100</v>
      </c>
      <c r="T36" s="773" t="s">
        <v>21</v>
      </c>
      <c r="U36" s="774">
        <f t="shared" si="10"/>
        <v>100</v>
      </c>
      <c r="V36" s="773" t="s">
        <v>21</v>
      </c>
      <c r="W36" s="774">
        <f t="shared" si="11"/>
        <v>100</v>
      </c>
      <c r="X36" s="1811"/>
      <c r="Y36" s="3232"/>
      <c r="Z36" s="1812" t="str">
        <f t="shared" si="15"/>
        <v>公共部分装修</v>
      </c>
      <c r="AA36" s="1809">
        <f t="shared" si="12"/>
        <v>1</v>
      </c>
      <c r="AB36" s="1809">
        <f t="shared" si="13"/>
        <v>1</v>
      </c>
      <c r="AC36" s="1809">
        <f t="shared" si="14"/>
        <v>1</v>
      </c>
    </row>
    <row r="37" spans="1:29" s="117" customFormat="1" ht="15">
      <c r="A37" s="473"/>
      <c r="B37" s="422" t="s">
        <v>2556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0"/>
      <c r="M37" s="1131"/>
      <c r="N37" s="1131"/>
      <c r="O37" s="1131"/>
      <c r="P37" s="3276"/>
      <c r="Q37" s="1793" t="str">
        <f t="shared" si="8"/>
        <v>成新度</v>
      </c>
      <c r="R37" s="769" t="s">
        <v>21</v>
      </c>
      <c r="S37" s="770">
        <f t="shared" si="9"/>
        <v>100</v>
      </c>
      <c r="T37" s="769" t="s">
        <v>21</v>
      </c>
      <c r="U37" s="770">
        <f t="shared" si="10"/>
        <v>100</v>
      </c>
      <c r="V37" s="769" t="s">
        <v>21</v>
      </c>
      <c r="W37" s="770">
        <f t="shared" si="11"/>
        <v>100</v>
      </c>
      <c r="X37" s="771"/>
      <c r="Y37" s="3232"/>
      <c r="Z37" s="55" t="str">
        <f t="shared" si="15"/>
        <v>成新度</v>
      </c>
      <c r="AA37" s="772">
        <f t="shared" si="12"/>
        <v>1</v>
      </c>
      <c r="AB37" s="772">
        <f t="shared" si="13"/>
        <v>1</v>
      </c>
      <c r="AC37" s="772">
        <f t="shared" si="14"/>
        <v>1</v>
      </c>
    </row>
    <row r="38" spans="1:29" ht="15">
      <c r="A38" s="472"/>
      <c r="B38" s="422" t="s">
        <v>2557</v>
      </c>
      <c r="C38" s="2605" t="s">
        <v>3199</v>
      </c>
      <c r="D38" s="435">
        <v>100</v>
      </c>
      <c r="E38" s="2605" t="s">
        <v>3199</v>
      </c>
      <c r="F38" s="461">
        <f>SUMIF(114:114,E38,115:115)-SUMIF(114:114,C38,115:115)+100</f>
        <v>100</v>
      </c>
      <c r="G38" s="2605" t="s">
        <v>3199</v>
      </c>
      <c r="H38" s="435">
        <f>SUMIF(114:114,G38,115:115)-SUMIF(114:114,C38,115:115)+100</f>
        <v>100</v>
      </c>
      <c r="I38" s="2605" t="s">
        <v>3199</v>
      </c>
      <c r="J38" s="435">
        <f>SUMIF(114:114,I38,115:115)-SUMIF(114:114,C38,115:115)+100</f>
        <v>100</v>
      </c>
      <c r="K38" s="426">
        <v>2</v>
      </c>
      <c r="L38" s="1138"/>
      <c r="M38" s="1129"/>
      <c r="N38" s="1129"/>
      <c r="O38" s="1129"/>
      <c r="P38" s="3276" t="s">
        <v>2551</v>
      </c>
      <c r="Q38" s="1808" t="str">
        <f t="shared" si="8"/>
        <v>物业管理</v>
      </c>
      <c r="R38" s="773" t="s">
        <v>21</v>
      </c>
      <c r="S38" s="774">
        <f t="shared" si="9"/>
        <v>100</v>
      </c>
      <c r="T38" s="773" t="s">
        <v>21</v>
      </c>
      <c r="U38" s="774">
        <f t="shared" si="10"/>
        <v>100</v>
      </c>
      <c r="V38" s="773" t="s">
        <v>21</v>
      </c>
      <c r="W38" s="774">
        <f t="shared" si="11"/>
        <v>100</v>
      </c>
      <c r="X38" s="1811"/>
      <c r="Y38" s="3232" t="s">
        <v>2551</v>
      </c>
      <c r="Z38" s="1812" t="str">
        <f t="shared" si="15"/>
        <v>物业管理</v>
      </c>
      <c r="AA38" s="1809">
        <f t="shared" si="12"/>
        <v>1</v>
      </c>
      <c r="AB38" s="1809">
        <f t="shared" si="13"/>
        <v>1</v>
      </c>
      <c r="AC38" s="1809">
        <f t="shared" si="14"/>
        <v>1</v>
      </c>
    </row>
    <row r="39" spans="1:29" ht="15">
      <c r="A39" s="472"/>
      <c r="B39" s="422" t="s">
        <v>2558</v>
      </c>
      <c r="C39" s="2993" t="s">
        <v>3178</v>
      </c>
      <c r="D39" s="435">
        <v>100</v>
      </c>
      <c r="E39" s="2993" t="s">
        <v>3178</v>
      </c>
      <c r="F39" s="461">
        <f>SUMIF(116:116,E39,117:117)-SUMIF(116:116,C39,117:117)+100</f>
        <v>100</v>
      </c>
      <c r="G39" s="2993" t="s">
        <v>3178</v>
      </c>
      <c r="H39" s="435">
        <f>SUMIF(116:116,G39,117:117)-SUMIF(116:116,C39,117:117)+100</f>
        <v>100</v>
      </c>
      <c r="I39" s="2993" t="s">
        <v>3178</v>
      </c>
      <c r="J39" s="435">
        <f>SUMIF(116:116,I39,117:117)-SUMIF(116:116,C39,117:117)+100</f>
        <v>100</v>
      </c>
      <c r="K39" s="426">
        <v>0</v>
      </c>
      <c r="L39" s="1138"/>
      <c r="M39" s="1129"/>
      <c r="N39" s="1129"/>
      <c r="O39" s="1129"/>
      <c r="P39" s="3276"/>
      <c r="Q39" s="1808" t="str">
        <f t="shared" si="8"/>
        <v>市政基础设施</v>
      </c>
      <c r="R39" s="773" t="s">
        <v>21</v>
      </c>
      <c r="S39" s="774">
        <f t="shared" si="9"/>
        <v>100</v>
      </c>
      <c r="T39" s="773" t="s">
        <v>21</v>
      </c>
      <c r="U39" s="774">
        <f t="shared" si="10"/>
        <v>100</v>
      </c>
      <c r="V39" s="773" t="s">
        <v>21</v>
      </c>
      <c r="W39" s="774">
        <f t="shared" si="11"/>
        <v>100</v>
      </c>
      <c r="X39" s="1811"/>
      <c r="Y39" s="3232"/>
      <c r="Z39" s="1812" t="str">
        <f t="shared" si="15"/>
        <v>市政基础设施</v>
      </c>
      <c r="AA39" s="1809">
        <f t="shared" si="12"/>
        <v>1</v>
      </c>
      <c r="AB39" s="1809">
        <f t="shared" si="13"/>
        <v>1</v>
      </c>
      <c r="AC39" s="1809">
        <f t="shared" si="14"/>
        <v>1</v>
      </c>
    </row>
    <row r="40" spans="1:29" ht="15" hidden="1">
      <c r="A40" s="472"/>
      <c r="B40" s="422" t="s">
        <v>2559</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38"/>
      <c r="M40" s="1129"/>
      <c r="N40" s="1129"/>
      <c r="O40" s="1129"/>
      <c r="P40" s="3276"/>
      <c r="Q40" s="1808" t="str">
        <f t="shared" si="8"/>
        <v>房型</v>
      </c>
      <c r="R40" s="773" t="s">
        <v>21</v>
      </c>
      <c r="S40" s="774">
        <f t="shared" si="9"/>
        <v>100</v>
      </c>
      <c r="T40" s="773" t="s">
        <v>21</v>
      </c>
      <c r="U40" s="774">
        <f t="shared" si="10"/>
        <v>100</v>
      </c>
      <c r="V40" s="773" t="s">
        <v>21</v>
      </c>
      <c r="W40" s="774">
        <f t="shared" si="11"/>
        <v>100</v>
      </c>
      <c r="X40" s="1811"/>
      <c r="Y40" s="3232"/>
      <c r="Z40" s="1812" t="str">
        <f t="shared" si="15"/>
        <v>房型</v>
      </c>
      <c r="AA40" s="1809">
        <f t="shared" si="12"/>
        <v>1</v>
      </c>
      <c r="AB40" s="1809">
        <f t="shared" si="13"/>
        <v>1</v>
      </c>
      <c r="AC40" s="1809">
        <f t="shared" si="14"/>
        <v>1</v>
      </c>
    </row>
    <row r="41" spans="1:29" s="471" customFormat="1" ht="28.5" hidden="1">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6"/>
      <c r="M41" s="1139"/>
      <c r="N41" s="1139"/>
      <c r="O41" s="1139"/>
      <c r="P41" s="3276"/>
      <c r="Q41" s="775" t="str">
        <f t="shared" si="8"/>
        <v>单套/主力户型建筑面积</v>
      </c>
      <c r="R41" s="776" t="s">
        <v>21</v>
      </c>
      <c r="S41" s="777">
        <f t="shared" si="9"/>
        <v>100</v>
      </c>
      <c r="T41" s="776" t="s">
        <v>21</v>
      </c>
      <c r="U41" s="777">
        <f t="shared" si="10"/>
        <v>100</v>
      </c>
      <c r="V41" s="776" t="s">
        <v>21</v>
      </c>
      <c r="W41" s="777">
        <f t="shared" si="11"/>
        <v>100</v>
      </c>
      <c r="X41" s="778"/>
      <c r="Y41" s="3232"/>
      <c r="Z41" s="779" t="str">
        <f t="shared" si="15"/>
        <v>单套/主力户型建筑面积</v>
      </c>
      <c r="AA41" s="1809">
        <f t="shared" si="12"/>
        <v>1</v>
      </c>
      <c r="AB41" s="1809">
        <f t="shared" si="13"/>
        <v>1</v>
      </c>
      <c r="AC41" s="1809">
        <f t="shared" si="14"/>
        <v>1</v>
      </c>
    </row>
    <row r="42" spans="1:29" ht="15">
      <c r="A42" s="472"/>
      <c r="B42" s="422" t="s">
        <v>2561</v>
      </c>
      <c r="C42" s="2605" t="s">
        <v>3197</v>
      </c>
      <c r="D42" s="435">
        <v>100</v>
      </c>
      <c r="E42" s="2605" t="s">
        <v>3197</v>
      </c>
      <c r="F42" s="461">
        <f>SUMIF(122:122,E42,123:123)-SUMIF(122:122,C42,123:123)+100</f>
        <v>100</v>
      </c>
      <c r="G42" s="2605" t="s">
        <v>3197</v>
      </c>
      <c r="H42" s="435">
        <f>SUMIF(122:122,G42,123:123)-SUMIF(122:122,C42,123:123)+100</f>
        <v>100</v>
      </c>
      <c r="I42" s="2605" t="s">
        <v>3197</v>
      </c>
      <c r="J42" s="435">
        <f>SUMIF(122:122,I42,123:123)-SUMIF(122:122,C42,123:123)+100</f>
        <v>100</v>
      </c>
      <c r="K42" s="426"/>
      <c r="L42" s="1138"/>
      <c r="M42" s="1129"/>
      <c r="N42" s="1129"/>
      <c r="O42" s="1129"/>
      <c r="P42" s="3276"/>
      <c r="Q42" s="1808" t="str">
        <f t="shared" si="8"/>
        <v>内部装修</v>
      </c>
      <c r="R42" s="773" t="s">
        <v>21</v>
      </c>
      <c r="S42" s="774">
        <f t="shared" si="9"/>
        <v>100</v>
      </c>
      <c r="T42" s="773" t="s">
        <v>21</v>
      </c>
      <c r="U42" s="774">
        <f t="shared" si="10"/>
        <v>100</v>
      </c>
      <c r="V42" s="773" t="s">
        <v>21</v>
      </c>
      <c r="W42" s="774">
        <f t="shared" si="11"/>
        <v>100</v>
      </c>
      <c r="X42" s="1811"/>
      <c r="Y42" s="3232"/>
      <c r="Z42" s="1812" t="str">
        <f t="shared" si="15"/>
        <v>内部装修</v>
      </c>
      <c r="AA42" s="1809">
        <f t="shared" si="12"/>
        <v>1</v>
      </c>
      <c r="AB42" s="1809">
        <f t="shared" si="13"/>
        <v>1</v>
      </c>
      <c r="AC42" s="1809">
        <f t="shared" si="14"/>
        <v>1</v>
      </c>
    </row>
    <row r="43" spans="1:29" ht="15.75" thickBot="1">
      <c r="A43" s="472"/>
      <c r="B43" s="422" t="s">
        <v>2562</v>
      </c>
      <c r="C43" s="2605" t="s">
        <v>3072</v>
      </c>
      <c r="D43" s="435">
        <v>100</v>
      </c>
      <c r="E43" s="2605" t="s">
        <v>3072</v>
      </c>
      <c r="F43" s="461">
        <f>SUMIF(124:124,E43,125:125)-SUMIF(124:124,C43,125:125)+100</f>
        <v>100</v>
      </c>
      <c r="G43" s="2605" t="s">
        <v>3072</v>
      </c>
      <c r="H43" s="435">
        <f>SUMIF(124:124,G43,125:125)-SUMIF(124:124,C43,125:125)+100</f>
        <v>100</v>
      </c>
      <c r="I43" s="2605" t="s">
        <v>3072</v>
      </c>
      <c r="J43" s="435">
        <f>SUMIF(124:124,I43,125:125)-SUMIF(124:124,C43,125:125)+100</f>
        <v>100</v>
      </c>
      <c r="K43" s="426">
        <v>1</v>
      </c>
      <c r="L43" s="1138"/>
      <c r="M43" s="1129"/>
      <c r="N43" s="1129"/>
      <c r="O43" s="1129"/>
      <c r="P43" s="3276"/>
      <c r="Q43" s="1808" t="str">
        <f t="shared" si="8"/>
        <v>内部装修维护情况</v>
      </c>
      <c r="R43" s="773" t="s">
        <v>21</v>
      </c>
      <c r="S43" s="774">
        <f t="shared" si="9"/>
        <v>100</v>
      </c>
      <c r="T43" s="773" t="s">
        <v>21</v>
      </c>
      <c r="U43" s="774">
        <f t="shared" si="10"/>
        <v>100</v>
      </c>
      <c r="V43" s="773" t="s">
        <v>21</v>
      </c>
      <c r="W43" s="774">
        <f t="shared" si="11"/>
        <v>100</v>
      </c>
      <c r="X43" s="1811"/>
      <c r="Y43" s="3232"/>
      <c r="Z43" s="1812" t="str">
        <f t="shared" si="15"/>
        <v>内部装修维护情况</v>
      </c>
      <c r="AA43" s="1809">
        <f t="shared" si="12"/>
        <v>1</v>
      </c>
      <c r="AB43" s="1809">
        <f t="shared" si="13"/>
        <v>1</v>
      </c>
      <c r="AC43" s="1809">
        <f t="shared" si="14"/>
        <v>1</v>
      </c>
    </row>
    <row r="44" spans="1:29" s="117" customFormat="1" ht="15" hidden="1">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0"/>
      <c r="M44" s="1131"/>
      <c r="N44" s="1131"/>
      <c r="O44" s="1131"/>
      <c r="P44" s="3276"/>
      <c r="Q44" s="1793">
        <f t="shared" si="8"/>
        <v>111</v>
      </c>
      <c r="R44" s="769" t="s">
        <v>21</v>
      </c>
      <c r="S44" s="770">
        <f t="shared" si="9"/>
        <v>100</v>
      </c>
      <c r="T44" s="769" t="s">
        <v>21</v>
      </c>
      <c r="U44" s="770">
        <f t="shared" si="10"/>
        <v>100</v>
      </c>
      <c r="V44" s="769" t="s">
        <v>21</v>
      </c>
      <c r="W44" s="770">
        <f t="shared" si="11"/>
        <v>100</v>
      </c>
      <c r="X44" s="771"/>
      <c r="Y44" s="3232"/>
      <c r="Z44" s="55">
        <f t="shared" si="15"/>
        <v>111</v>
      </c>
      <c r="AA44" s="772">
        <f t="shared" si="12"/>
        <v>1</v>
      </c>
      <c r="AB44" s="772">
        <f t="shared" si="13"/>
        <v>1</v>
      </c>
      <c r="AC44" s="772">
        <f t="shared" si="14"/>
        <v>1</v>
      </c>
    </row>
    <row r="45" spans="1:29" ht="15" hidden="1">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8"/>
      <c r="M45" s="1129"/>
      <c r="N45" s="1129"/>
      <c r="O45" s="1129"/>
      <c r="P45" s="3276"/>
      <c r="Q45" s="1808">
        <f t="shared" si="8"/>
        <v>111</v>
      </c>
      <c r="R45" s="773" t="s">
        <v>21</v>
      </c>
      <c r="S45" s="774">
        <f t="shared" si="9"/>
        <v>100</v>
      </c>
      <c r="T45" s="773" t="s">
        <v>21</v>
      </c>
      <c r="U45" s="774">
        <f t="shared" si="10"/>
        <v>100</v>
      </c>
      <c r="V45" s="773" t="s">
        <v>21</v>
      </c>
      <c r="W45" s="774">
        <f t="shared" si="11"/>
        <v>100</v>
      </c>
      <c r="X45" s="1811"/>
      <c r="Y45" s="3232"/>
      <c r="Z45" s="1812">
        <f t="shared" si="15"/>
        <v>111</v>
      </c>
      <c r="AA45" s="1809">
        <f t="shared" si="12"/>
        <v>1</v>
      </c>
      <c r="AB45" s="1809">
        <f t="shared" si="13"/>
        <v>1</v>
      </c>
      <c r="AC45" s="1809">
        <f t="shared" si="14"/>
        <v>1</v>
      </c>
    </row>
    <row r="46" spans="1:29" ht="15.75"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8"/>
      <c r="M46" s="1129"/>
      <c r="N46" s="1129"/>
      <c r="O46" s="1129"/>
      <c r="P46" s="3277"/>
      <c r="Q46" s="1808">
        <f t="shared" si="8"/>
        <v>111</v>
      </c>
      <c r="R46" s="773" t="s">
        <v>20</v>
      </c>
      <c r="S46" s="774">
        <f t="shared" si="9"/>
        <v>100</v>
      </c>
      <c r="T46" s="773" t="s">
        <v>20</v>
      </c>
      <c r="U46" s="774">
        <f t="shared" si="10"/>
        <v>100</v>
      </c>
      <c r="V46" s="773" t="s">
        <v>20</v>
      </c>
      <c r="W46" s="774">
        <f t="shared" si="11"/>
        <v>100</v>
      </c>
      <c r="X46" s="1811"/>
      <c r="Y46" s="3278"/>
      <c r="Z46" s="1812">
        <f t="shared" si="15"/>
        <v>111</v>
      </c>
      <c r="AA46" s="1809">
        <f t="shared" si="12"/>
        <v>1</v>
      </c>
      <c r="AB46" s="1809">
        <f t="shared" si="13"/>
        <v>1</v>
      </c>
      <c r="AC46" s="1809">
        <f t="shared" si="14"/>
        <v>1</v>
      </c>
    </row>
    <row r="47" spans="1:29" ht="15">
      <c r="A47" s="479" t="s">
        <v>2563</v>
      </c>
      <c r="B47" s="480"/>
      <c r="C47" s="1405" t="s">
        <v>19</v>
      </c>
      <c r="D47" s="1406"/>
      <c r="E47" s="1407">
        <v>68000</v>
      </c>
      <c r="F47" s="1408"/>
      <c r="G47" s="1409">
        <v>75000</v>
      </c>
      <c r="H47" s="1410"/>
      <c r="I47" s="1407">
        <v>73000</v>
      </c>
      <c r="J47" s="1410"/>
      <c r="K47" s="2611"/>
      <c r="L47" s="1141"/>
      <c r="M47" s="1142"/>
      <c r="N47" s="1129"/>
      <c r="O47" s="1142"/>
      <c r="P47" s="3214" t="str">
        <f>A47</f>
        <v>成交单价（元/平方米）</v>
      </c>
      <c r="Q47" s="3214"/>
      <c r="R47" s="3274">
        <f>E47</f>
        <v>68000</v>
      </c>
      <c r="S47" s="3274"/>
      <c r="T47" s="3274">
        <f>G47</f>
        <v>75000</v>
      </c>
      <c r="U47" s="3274"/>
      <c r="V47" s="3274">
        <f>I47</f>
        <v>73000</v>
      </c>
      <c r="W47" s="3274"/>
      <c r="X47" s="758"/>
      <c r="Y47" s="780"/>
      <c r="Z47" s="758"/>
      <c r="AA47" s="758"/>
      <c r="AB47" s="758"/>
      <c r="AC47" s="758"/>
    </row>
    <row r="48" spans="1:29" ht="15.75" thickBot="1">
      <c r="A48" s="486" t="s">
        <v>2564</v>
      </c>
      <c r="B48" s="487"/>
      <c r="C48" s="1411">
        <f>R49</f>
        <v>76565</v>
      </c>
      <c r="D48" s="1412"/>
      <c r="E48" s="1413">
        <f>R48</f>
        <v>70833</v>
      </c>
      <c r="F48" s="1413"/>
      <c r="G48" s="1411">
        <f>T48</f>
        <v>79719</v>
      </c>
      <c r="H48" s="1412"/>
      <c r="I48" s="1413">
        <f>V48</f>
        <v>79144</v>
      </c>
      <c r="J48" s="1412"/>
      <c r="K48" s="2612"/>
      <c r="L48" s="1141"/>
      <c r="M48" s="1142"/>
      <c r="N48" s="1142"/>
      <c r="O48" s="1142"/>
      <c r="P48" s="3214" t="str">
        <f>A48</f>
        <v>比较价值（元/平方米）</v>
      </c>
      <c r="Q48" s="3214"/>
      <c r="R48" s="3274">
        <f>IF(F1="售价",ROUND(PRODUCT(R47,AA7:AA46),0),ROUND(PRODUCT(R47,AA7:AA46),1))</f>
        <v>70833</v>
      </c>
      <c r="S48" s="3274"/>
      <c r="T48" s="3274">
        <f>IF(F1="售价",ROUND(PRODUCT(T47,AB7:AB46),0),ROUND(PRODUCT(T47,AB7:AB46),1))</f>
        <v>79719</v>
      </c>
      <c r="U48" s="3274"/>
      <c r="V48" s="3274">
        <f>IF(F1="售价",ROUND(PRODUCT(V47,AC7:AC46),0),ROUND(PRODUCT(V47,AC7:AC46),1))</f>
        <v>79144</v>
      </c>
      <c r="W48" s="3274"/>
      <c r="X48" s="758"/>
      <c r="Y48" s="758"/>
      <c r="Z48" s="758"/>
      <c r="AA48" s="758"/>
      <c r="AB48" s="758"/>
      <c r="AC48" s="758"/>
    </row>
    <row r="49" spans="1:29" ht="15.75" thickBot="1">
      <c r="A49" s="492" t="s">
        <v>2565</v>
      </c>
      <c r="B49" s="493"/>
      <c r="C49" s="1414">
        <f>R49</f>
        <v>76565</v>
      </c>
      <c r="D49" s="1415"/>
      <c r="E49" s="1415"/>
      <c r="F49" s="1415"/>
      <c r="G49" s="1415"/>
      <c r="H49" s="1415"/>
      <c r="I49" s="1415"/>
      <c r="J49" s="1415"/>
      <c r="K49" s="2613"/>
      <c r="L49" s="1141"/>
      <c r="M49" s="1142"/>
      <c r="N49" s="1142"/>
      <c r="O49" s="1142"/>
      <c r="P49" s="3234" t="str">
        <f>A49</f>
        <v>估价对象XX用房的比较价值（楼面单价，元/平方米）</v>
      </c>
      <c r="Q49" s="3235"/>
      <c r="R49" s="3273">
        <f>IF(F1="售价",ROUND(AVERAGE(R48:V48),0),ROUND(AVERAGE(R48:V48),1))</f>
        <v>76565</v>
      </c>
      <c r="S49" s="3273"/>
      <c r="T49" s="3273"/>
      <c r="U49" s="3273"/>
      <c r="V49" s="3273"/>
      <c r="W49" s="3273"/>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2566</v>
      </c>
      <c r="D52" s="498"/>
      <c r="E52" s="499">
        <f>IF(E47&lt;E48,E48/E47-1,E47/E48-1)</f>
        <v>4.1661764705882343E-2</v>
      </c>
      <c r="F52" s="500" t="str">
        <f>IF(OR(E52&gt;=0.3,E52&lt;=-0.3),"超过30%","")</f>
        <v/>
      </c>
      <c r="G52" s="499">
        <f>IF(G47&lt;G48,G48/G47-1,G47/G48-1)</f>
        <v>6.2920000000000087E-2</v>
      </c>
      <c r="H52" s="500" t="str">
        <f>IF(OR(G52&gt;=0.3,G52&lt;=-0.3),"超过30%","")</f>
        <v/>
      </c>
      <c r="I52" s="499">
        <f>IF(I47&lt;I48,I48/I47-1,I47/I48-1)</f>
        <v>8.4164383561643907E-2</v>
      </c>
      <c r="J52" s="500" t="str">
        <f>IF(OR(I52&gt;=0.3,I52&lt;=-0.3),"超过30%","")</f>
        <v/>
      </c>
      <c r="K52" s="1103"/>
      <c r="L52" s="1104"/>
      <c r="M52" s="1142"/>
      <c r="N52" s="1142"/>
      <c r="O52" s="1142"/>
    </row>
    <row r="53" spans="1:29" ht="13.5" customHeight="1">
      <c r="A53" s="1142"/>
      <c r="B53" s="1142"/>
      <c r="C53" s="497" t="s">
        <v>2567</v>
      </c>
      <c r="D53" s="501"/>
      <c r="E53" s="499">
        <f>IF(E48&lt;G48,G48/E48-1,E48/G48-1)</f>
        <v>0.125450002117657</v>
      </c>
      <c r="F53" s="500" t="str">
        <f>IF(OR(E53&gt;=0.2,E53&lt;=-0.2),"超过20%","")</f>
        <v/>
      </c>
      <c r="G53" s="499">
        <f>IF(G48&lt;I48,I48/G48-1,G48/I48-1)</f>
        <v>7.2652380471041056E-3</v>
      </c>
      <c r="H53" s="500" t="str">
        <f>IF(OR(G53&gt;=0.2,G53&lt;=-0.2),"超过20%","")</f>
        <v/>
      </c>
      <c r="I53" s="499">
        <f>IF(I48&lt;E48,E48/I48-1,I48/E48-1)</f>
        <v>0.11733231685796164</v>
      </c>
      <c r="J53" s="500" t="str">
        <f>IF(OR(I53&gt;=0.2,I53&lt;=-0.2),"超过20%","")</f>
        <v/>
      </c>
      <c r="K53" s="1103"/>
      <c r="L53" s="1104"/>
      <c r="M53" s="1142"/>
      <c r="N53" s="1142"/>
      <c r="O53" s="1142"/>
    </row>
    <row r="54" spans="1:29" s="502" customFormat="1" ht="13.5" customHeight="1">
      <c r="A54" s="1143"/>
      <c r="B54" s="1143"/>
      <c r="C54" s="497" t="s">
        <v>2568</v>
      </c>
      <c r="D54" s="501"/>
      <c r="E54" s="499">
        <f>IF(E47&lt;G47,G47/E47-1,E47/G47-1)</f>
        <v>0.10294117647058831</v>
      </c>
      <c r="F54" s="500" t="str">
        <f>IF(OR(E54&gt;=0.3,E54&lt;=-0.3),"超过30%","")</f>
        <v/>
      </c>
      <c r="G54" s="499">
        <f>IF(G47&lt;I47,I47/G47-1,G47/I47-1)</f>
        <v>2.7397260273972712E-2</v>
      </c>
      <c r="H54" s="500" t="str">
        <f>IF(OR(G54&gt;=0.3,G54&lt;=-0.3),"超过30%","")</f>
        <v/>
      </c>
      <c r="I54" s="499">
        <f>IF(I47&lt;E47,E47/I47-1,I47/E47-1)</f>
        <v>7.3529411764705843E-2</v>
      </c>
      <c r="J54" s="500" t="str">
        <f>IF(OR(I54&gt;=0.3,I54&lt;=-0.3),"超过30%","")</f>
        <v/>
      </c>
      <c r="K54" s="1146"/>
      <c r="L54" s="1147"/>
      <c r="M54" s="1143"/>
      <c r="N54" s="1143"/>
      <c r="O54" s="1143"/>
      <c r="P54" s="2615"/>
    </row>
    <row r="55" spans="1:29" s="502" customFormat="1">
      <c r="A55" s="1143"/>
      <c r="B55" s="1144"/>
      <c r="C55" s="1148"/>
      <c r="D55" s="1143"/>
      <c r="E55" s="1143"/>
      <c r="F55" s="1143"/>
      <c r="G55" s="1143"/>
      <c r="H55" s="1143"/>
      <c r="I55" s="1143"/>
      <c r="J55" s="1143"/>
      <c r="K55" s="1146"/>
      <c r="L55" s="1147"/>
      <c r="M55" s="1143"/>
      <c r="N55" s="1143"/>
      <c r="O55" s="1143"/>
      <c r="P55" s="2615"/>
    </row>
    <row r="56" spans="1:29">
      <c r="A56" s="1142"/>
      <c r="B56" s="1144"/>
      <c r="C56" s="1148"/>
      <c r="D56" s="1142"/>
      <c r="E56" s="1142"/>
      <c r="F56" s="1142"/>
      <c r="G56" s="1142"/>
      <c r="H56" s="1142"/>
      <c r="I56" s="1142"/>
      <c r="J56" s="1142"/>
      <c r="K56" s="1103"/>
      <c r="L56" s="1104"/>
      <c r="M56" s="1142"/>
      <c r="N56" s="1142"/>
      <c r="O56" s="1142"/>
    </row>
    <row r="57" spans="1:29" ht="21.75" thickBot="1">
      <c r="A57" s="762" t="s">
        <v>2569</v>
      </c>
      <c r="B57" s="758"/>
      <c r="C57" s="763"/>
      <c r="D57" s="763"/>
      <c r="E57" s="763"/>
      <c r="F57" s="764"/>
      <c r="G57" s="764"/>
      <c r="H57" s="763"/>
      <c r="I57" s="763"/>
      <c r="J57" s="763"/>
      <c r="K57" s="1158"/>
      <c r="L57" s="1159"/>
      <c r="M57" s="1157"/>
      <c r="N57" s="1157"/>
      <c r="O57" s="1157"/>
      <c r="P57" s="2616"/>
      <c r="Q57" s="504"/>
    </row>
    <row r="58" spans="1:29" s="508" customFormat="1" ht="15">
      <c r="A58" s="505" t="s">
        <v>2570</v>
      </c>
      <c r="B58" s="506"/>
      <c r="C58" s="1574" t="str">
        <f>YEAR(C7)&amp;"-"&amp;MONTH(C7)</f>
        <v>2018-3</v>
      </c>
      <c r="D58" s="1573">
        <f>EDATE(C58,-1)</f>
        <v>43132</v>
      </c>
      <c r="E58" s="1573">
        <f>EDATE(D58,-1)</f>
        <v>43101</v>
      </c>
      <c r="F58" s="1573">
        <f t="shared" ref="F58:O58" si="16">EDATE(E58,-1)</f>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 t="shared" si="16"/>
        <v>42795</v>
      </c>
      <c r="P58" s="1568"/>
    </row>
    <row r="59" spans="1:29" s="117" customFormat="1" ht="15">
      <c r="A59" s="509"/>
      <c r="B59" s="2617"/>
      <c r="C59" s="1571">
        <v>100</v>
      </c>
      <c r="D59" s="511">
        <v>100</v>
      </c>
      <c r="E59" s="511">
        <v>100</v>
      </c>
      <c r="F59" s="511">
        <v>98</v>
      </c>
      <c r="G59" s="511">
        <v>98</v>
      </c>
      <c r="H59" s="512"/>
      <c r="I59" s="512"/>
      <c r="J59" s="512"/>
      <c r="K59" s="512"/>
      <c r="L59" s="512"/>
      <c r="M59" s="513"/>
      <c r="N59" s="512"/>
      <c r="O59" s="513"/>
      <c r="P59" s="2618"/>
    </row>
    <row r="60" spans="1:29" s="117" customFormat="1" ht="15.75" thickBot="1">
      <c r="A60" s="515" t="s">
        <v>2571</v>
      </c>
      <c r="B60" s="516"/>
      <c r="C60" s="517"/>
      <c r="D60" s="518"/>
      <c r="E60" s="518"/>
      <c r="F60" s="518"/>
      <c r="G60" s="518"/>
      <c r="H60" s="518"/>
      <c r="I60" s="518"/>
      <c r="J60" s="518"/>
      <c r="K60" s="518"/>
      <c r="L60" s="518"/>
      <c r="M60" s="519"/>
      <c r="N60" s="518"/>
      <c r="O60" s="519"/>
      <c r="P60" s="2618"/>
      <c r="Q60" s="504"/>
    </row>
    <row r="61" spans="1:29" s="117" customFormat="1" ht="15">
      <c r="A61" s="521" t="s">
        <v>2572</v>
      </c>
      <c r="B61" s="510"/>
      <c r="C61" s="522" t="s">
        <v>2573</v>
      </c>
      <c r="D61" s="2968">
        <v>75883</v>
      </c>
      <c r="E61" s="523"/>
      <c r="F61" s="523"/>
      <c r="G61" s="523"/>
      <c r="H61" s="523"/>
      <c r="I61" s="523"/>
      <c r="J61" s="523"/>
      <c r="K61" s="523"/>
      <c r="L61" s="524"/>
      <c r="M61" s="525"/>
      <c r="N61" s="1149"/>
      <c r="O61" s="1149"/>
      <c r="P61" s="2619"/>
      <c r="Q61" s="504"/>
    </row>
    <row r="62" spans="1:29" s="117" customFormat="1" ht="15.75" thickBot="1">
      <c r="A62" s="521"/>
      <c r="B62" s="510"/>
      <c r="C62" s="511">
        <v>100</v>
      </c>
      <c r="D62" s="512"/>
      <c r="E62" s="512"/>
      <c r="F62" s="512"/>
      <c r="G62" s="512"/>
      <c r="H62" s="512"/>
      <c r="I62" s="512"/>
      <c r="J62" s="512"/>
      <c r="K62" s="512"/>
      <c r="L62" s="512"/>
      <c r="M62" s="514"/>
      <c r="N62" s="1149"/>
      <c r="O62" s="1149"/>
      <c r="P62" s="2618"/>
      <c r="Q62" s="504"/>
    </row>
    <row r="63" spans="1:29">
      <c r="A63" s="527" t="s">
        <v>2574</v>
      </c>
      <c r="B63" s="528" t="s">
        <v>2540</v>
      </c>
      <c r="C63" s="529" t="str">
        <f>C9</f>
        <v>住宅</v>
      </c>
      <c r="D63" s="530"/>
      <c r="E63" s="530"/>
      <c r="F63" s="530"/>
      <c r="G63" s="530"/>
      <c r="H63" s="530"/>
      <c r="I63" s="530"/>
      <c r="J63" s="530"/>
      <c r="K63" s="531"/>
      <c r="L63" s="532"/>
      <c r="M63" s="533"/>
      <c r="N63" s="1150"/>
      <c r="O63" s="1150"/>
      <c r="P63" s="2620"/>
      <c r="Q63" s="504"/>
    </row>
    <row r="64" spans="1:29" ht="15.75" thickBot="1">
      <c r="A64" s="534"/>
      <c r="B64" s="535"/>
      <c r="C64" s="536">
        <v>100</v>
      </c>
      <c r="D64" s="536"/>
      <c r="E64" s="536"/>
      <c r="F64" s="536"/>
      <c r="G64" s="536"/>
      <c r="H64" s="536"/>
      <c r="I64" s="536"/>
      <c r="J64" s="536"/>
      <c r="K64" s="536"/>
      <c r="L64" s="536"/>
      <c r="M64" s="537"/>
      <c r="N64" s="1151"/>
      <c r="O64" s="1151"/>
      <c r="P64" s="262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0"/>
      <c r="O65" s="1150"/>
      <c r="P65" s="2620"/>
      <c r="Q65" s="504"/>
    </row>
    <row r="66" spans="1:17" ht="15.75"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1"/>
      <c r="O66" s="1151"/>
      <c r="P66" s="2620"/>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5（含）-6</v>
      </c>
      <c r="I67" s="547" t="str">
        <f t="shared" si="18"/>
        <v>6（含）-</v>
      </c>
      <c r="J67" s="547" t="str">
        <f t="shared" si="18"/>
        <v>（含）-</v>
      </c>
      <c r="K67" s="547" t="str">
        <f>K68&amp;"（含）"&amp;"-"&amp;L68</f>
        <v>（含）-</v>
      </c>
      <c r="L67" s="547" t="str">
        <f t="shared" si="18"/>
        <v>（含）-</v>
      </c>
      <c r="M67" s="448" t="str">
        <f>M68&amp;"（含）"&amp;"-"&amp;P68</f>
        <v>（含）-</v>
      </c>
      <c r="N67" s="1151"/>
      <c r="O67" s="1151"/>
      <c r="P67" s="2620"/>
      <c r="Q67" s="504"/>
    </row>
    <row r="68" spans="1:17" ht="15">
      <c r="A68" s="534"/>
      <c r="B68" s="548"/>
      <c r="C68" s="549">
        <f>'土地比较法-住宅、综合'!C80</f>
        <v>0</v>
      </c>
      <c r="D68" s="549">
        <f>'土地比较法-住宅、综合'!D80</f>
        <v>1</v>
      </c>
      <c r="E68" s="549">
        <f>'土地比较法-住宅、综合'!E80</f>
        <v>2</v>
      </c>
      <c r="F68" s="549">
        <f>'土地比较法-住宅、综合'!F80</f>
        <v>3</v>
      </c>
      <c r="G68" s="549">
        <f>'土地比较法-住宅、综合'!G80</f>
        <v>4</v>
      </c>
      <c r="H68" s="549">
        <f>'土地比较法-住宅、综合'!H80</f>
        <v>5</v>
      </c>
      <c r="I68" s="549">
        <f>'土地比较法-住宅、综合'!I80</f>
        <v>6</v>
      </c>
      <c r="J68" s="549"/>
      <c r="K68" s="550"/>
      <c r="L68" s="551"/>
      <c r="M68" s="552"/>
      <c r="N68" s="1150"/>
      <c r="O68" s="1150"/>
      <c r="P68" s="2620"/>
      <c r="Q68" s="504"/>
    </row>
    <row r="69" spans="1:17" ht="15.75" thickBot="1">
      <c r="A69" s="534"/>
      <c r="B69" s="535"/>
      <c r="C69" s="544">
        <v>100</v>
      </c>
      <c r="D69" s="544">
        <f t="shared" ref="D69:M69" si="19">C69-$K11</f>
        <v>98</v>
      </c>
      <c r="E69" s="544">
        <f t="shared" si="19"/>
        <v>96</v>
      </c>
      <c r="F69" s="544">
        <f t="shared" si="19"/>
        <v>94</v>
      </c>
      <c r="G69" s="544">
        <f t="shared" si="19"/>
        <v>92</v>
      </c>
      <c r="H69" s="544">
        <f t="shared" si="19"/>
        <v>90</v>
      </c>
      <c r="I69" s="544">
        <f t="shared" si="19"/>
        <v>88</v>
      </c>
      <c r="J69" s="544">
        <f t="shared" si="19"/>
        <v>86</v>
      </c>
      <c r="K69" s="544">
        <f t="shared" si="19"/>
        <v>84</v>
      </c>
      <c r="L69" s="544">
        <f t="shared" si="19"/>
        <v>82</v>
      </c>
      <c r="M69" s="545">
        <f t="shared" si="19"/>
        <v>80</v>
      </c>
      <c r="N69" s="1151"/>
      <c r="O69" s="1151"/>
      <c r="P69" s="2620"/>
      <c r="Q69" s="504"/>
    </row>
    <row r="70" spans="1:17" s="471" customFormat="1" ht="15.75" thickTop="1">
      <c r="A70" s="553"/>
      <c r="B70" s="538">
        <f>B12</f>
        <v>111</v>
      </c>
      <c r="C70" s="554"/>
      <c r="D70" s="554"/>
      <c r="E70" s="554"/>
      <c r="F70" s="554"/>
      <c r="G70" s="554"/>
      <c r="H70" s="555"/>
      <c r="I70" s="555"/>
      <c r="J70" s="555"/>
      <c r="K70" s="555"/>
      <c r="L70" s="556"/>
      <c r="M70" s="557"/>
      <c r="N70" s="1152"/>
      <c r="O70" s="1152"/>
      <c r="P70" s="2621"/>
      <c r="Q70" s="559"/>
    </row>
    <row r="71" spans="1:17" s="471" customFormat="1" ht="15.75" thickBot="1">
      <c r="A71" s="553"/>
      <c r="B71" s="543"/>
      <c r="C71" s="560"/>
      <c r="D71" s="536"/>
      <c r="E71" s="536"/>
      <c r="F71" s="536"/>
      <c r="G71" s="536"/>
      <c r="H71" s="536"/>
      <c r="I71" s="536"/>
      <c r="J71" s="536"/>
      <c r="K71" s="536"/>
      <c r="L71" s="536"/>
      <c r="M71" s="537"/>
      <c r="N71" s="1151"/>
      <c r="O71" s="1151"/>
      <c r="P71" s="2621"/>
      <c r="Q71" s="559"/>
    </row>
    <row r="72" spans="1:17" s="471" customFormat="1" ht="15.75" thickTop="1">
      <c r="A72" s="553"/>
      <c r="B72" s="538">
        <f>B13</f>
        <v>111</v>
      </c>
      <c r="C72" s="554"/>
      <c r="D72" s="554"/>
      <c r="E72" s="554"/>
      <c r="F72" s="554"/>
      <c r="G72" s="554"/>
      <c r="H72" s="555"/>
      <c r="I72" s="555"/>
      <c r="J72" s="555"/>
      <c r="K72" s="555"/>
      <c r="L72" s="556"/>
      <c r="M72" s="557"/>
      <c r="N72" s="1152"/>
      <c r="O72" s="1152"/>
      <c r="P72" s="2622"/>
      <c r="Q72" s="561"/>
    </row>
    <row r="73" spans="1:17" s="471" customFormat="1" ht="15.75" thickBot="1">
      <c r="A73" s="553"/>
      <c r="B73" s="543"/>
      <c r="C73" s="560"/>
      <c r="D73" s="560"/>
      <c r="E73" s="560"/>
      <c r="F73" s="560"/>
      <c r="G73" s="560"/>
      <c r="H73" s="562"/>
      <c r="I73" s="562"/>
      <c r="J73" s="562"/>
      <c r="K73" s="562"/>
      <c r="L73" s="562"/>
      <c r="M73" s="563"/>
      <c r="N73" s="1152"/>
      <c r="O73" s="1152"/>
      <c r="P73" s="2621"/>
      <c r="Q73" s="559"/>
    </row>
    <row r="74" spans="1:17" s="471" customFormat="1" ht="15.75" thickTop="1">
      <c r="A74" s="553"/>
      <c r="B74" s="546">
        <f>B14</f>
        <v>111</v>
      </c>
      <c r="C74" s="554"/>
      <c r="D74" s="554"/>
      <c r="E74" s="554"/>
      <c r="F74" s="554"/>
      <c r="G74" s="523"/>
      <c r="H74" s="564"/>
      <c r="I74" s="564"/>
      <c r="J74" s="564"/>
      <c r="K74" s="564"/>
      <c r="L74" s="565"/>
      <c r="M74" s="566"/>
      <c r="N74" s="1152"/>
      <c r="O74" s="1152"/>
      <c r="P74" s="2623"/>
      <c r="Q74" s="559"/>
    </row>
    <row r="75" spans="1:17" s="471" customFormat="1" ht="15.75" thickBot="1">
      <c r="A75" s="568"/>
      <c r="B75" s="569"/>
      <c r="C75" s="570"/>
      <c r="D75" s="570"/>
      <c r="E75" s="570"/>
      <c r="F75" s="570"/>
      <c r="G75" s="570"/>
      <c r="H75" s="571"/>
      <c r="I75" s="571"/>
      <c r="J75" s="571"/>
      <c r="K75" s="571"/>
      <c r="L75" s="571"/>
      <c r="M75" s="572"/>
      <c r="N75" s="1152"/>
      <c r="O75" s="1152"/>
      <c r="P75" s="262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0"/>
      <c r="O76" s="1150"/>
      <c r="P76" s="262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0"/>
      <c r="O78" s="1150"/>
      <c r="P78" s="262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0"/>
      <c r="O80" s="1150"/>
      <c r="P80" s="262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0"/>
      <c r="Q81" s="504"/>
    </row>
    <row r="82" spans="1:17" ht="15.75" thickTop="1">
      <c r="A82" s="534"/>
      <c r="B82" s="546" t="s">
        <v>2089</v>
      </c>
      <c r="C82" s="539" t="s">
        <v>2590</v>
      </c>
      <c r="D82" s="539" t="s">
        <v>2591</v>
      </c>
      <c r="E82" s="539" t="s">
        <v>2592</v>
      </c>
      <c r="F82" s="539" t="s">
        <v>2593</v>
      </c>
      <c r="G82" s="539" t="s">
        <v>2594</v>
      </c>
      <c r="H82" s="539"/>
      <c r="I82" s="539"/>
      <c r="J82" s="539"/>
      <c r="K82" s="539"/>
      <c r="L82" s="539"/>
      <c r="M82" s="1380"/>
      <c r="N82" s="1151"/>
      <c r="O82" s="1151"/>
      <c r="P82" s="2620"/>
      <c r="Q82" s="504"/>
    </row>
    <row r="83" spans="1:17" ht="15.75" thickBot="1">
      <c r="A83" s="534"/>
      <c r="B83" s="546"/>
      <c r="C83" s="659">
        <v>100</v>
      </c>
      <c r="D83" s="659">
        <f>C83-$K21</f>
        <v>99</v>
      </c>
      <c r="E83" s="659">
        <f>D83-$K21</f>
        <v>98</v>
      </c>
      <c r="F83" s="659">
        <f>E83-$K21</f>
        <v>97</v>
      </c>
      <c r="G83" s="659">
        <f>F83-$K21</f>
        <v>96</v>
      </c>
      <c r="H83" s="659"/>
      <c r="I83" s="659"/>
      <c r="J83" s="659"/>
      <c r="K83" s="659"/>
      <c r="L83" s="659"/>
      <c r="M83" s="450"/>
      <c r="N83" s="1151"/>
      <c r="O83" s="1151"/>
      <c r="P83" s="262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0"/>
      <c r="O84" s="1150"/>
      <c r="P84" s="262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0"/>
      <c r="Q85" s="504"/>
    </row>
    <row r="86" spans="1:17" s="117" customFormat="1" ht="15.75" thickTop="1">
      <c r="A86" s="579"/>
      <c r="B86" s="538" t="s">
        <v>2596</v>
      </c>
      <c r="C86" s="554"/>
      <c r="D86" s="554"/>
      <c r="E86" s="554"/>
      <c r="F86" s="554"/>
      <c r="G86" s="554"/>
      <c r="H86" s="554"/>
      <c r="I86" s="554"/>
      <c r="J86" s="554"/>
      <c r="K86" s="554"/>
      <c r="L86" s="580"/>
      <c r="M86" s="581"/>
      <c r="N86" s="1149"/>
      <c r="O86" s="1149"/>
      <c r="P86" s="262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0"/>
      <c r="Q87" s="504"/>
    </row>
    <row r="88" spans="1:17" s="117" customFormat="1" ht="15.75" thickTop="1">
      <c r="A88" s="579"/>
      <c r="B88" s="538" t="s">
        <v>2597</v>
      </c>
      <c r="C88" s="554"/>
      <c r="D88" s="554"/>
      <c r="E88" s="554"/>
      <c r="F88" s="2625"/>
      <c r="G88" s="554"/>
      <c r="H88" s="554"/>
      <c r="I88" s="554"/>
      <c r="J88" s="554"/>
      <c r="K88" s="554"/>
      <c r="L88" s="554"/>
      <c r="M88" s="581"/>
      <c r="N88" s="1149"/>
      <c r="O88" s="1149"/>
      <c r="P88" s="262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1"/>
      <c r="O89" s="1151"/>
      <c r="P89" s="2620"/>
      <c r="Q89" s="504"/>
    </row>
    <row r="90" spans="1:17" s="471" customFormat="1" ht="15.75" thickTop="1">
      <c r="A90" s="553"/>
      <c r="B90" s="538">
        <f>B27</f>
        <v>111</v>
      </c>
      <c r="C90" s="554"/>
      <c r="D90" s="554"/>
      <c r="E90" s="554"/>
      <c r="F90" s="554"/>
      <c r="G90" s="554"/>
      <c r="H90" s="555"/>
      <c r="I90" s="555"/>
      <c r="J90" s="555"/>
      <c r="K90" s="555"/>
      <c r="L90" s="556"/>
      <c r="M90" s="557"/>
      <c r="N90" s="1152"/>
      <c r="O90" s="1152"/>
      <c r="P90" s="2621"/>
      <c r="Q90" s="559"/>
    </row>
    <row r="91" spans="1:17" s="471" customFormat="1" ht="15.75" thickBot="1">
      <c r="A91" s="553"/>
      <c r="B91" s="543"/>
      <c r="C91" s="560"/>
      <c r="D91" s="560"/>
      <c r="E91" s="560"/>
      <c r="F91" s="560"/>
      <c r="G91" s="560"/>
      <c r="H91" s="562"/>
      <c r="I91" s="562"/>
      <c r="J91" s="562"/>
      <c r="K91" s="562"/>
      <c r="L91" s="562"/>
      <c r="M91" s="563"/>
      <c r="N91" s="1152"/>
      <c r="O91" s="1152"/>
      <c r="P91" s="2621"/>
      <c r="Q91" s="559"/>
    </row>
    <row r="92" spans="1:17" ht="15.75" thickTop="1">
      <c r="A92" s="534"/>
      <c r="B92" s="538">
        <f>B28</f>
        <v>111</v>
      </c>
      <c r="C92" s="554"/>
      <c r="D92" s="554"/>
      <c r="E92" s="554"/>
      <c r="F92" s="554"/>
      <c r="G92" s="583"/>
      <c r="H92" s="583"/>
      <c r="I92" s="583"/>
      <c r="J92" s="583"/>
      <c r="K92" s="584"/>
      <c r="L92" s="585"/>
      <c r="M92" s="586"/>
      <c r="N92" s="1150"/>
      <c r="O92" s="1150"/>
      <c r="P92" s="2620"/>
      <c r="Q92" s="504"/>
    </row>
    <row r="93" spans="1:17" ht="15.75" thickBot="1">
      <c r="A93" s="534"/>
      <c r="B93" s="543"/>
      <c r="C93" s="560"/>
      <c r="D93" s="536"/>
      <c r="E93" s="536"/>
      <c r="F93" s="536"/>
      <c r="G93" s="536"/>
      <c r="H93" s="536"/>
      <c r="I93" s="536"/>
      <c r="J93" s="536"/>
      <c r="K93" s="536"/>
      <c r="L93" s="536"/>
      <c r="M93" s="537"/>
      <c r="N93" s="1151"/>
      <c r="O93" s="1151"/>
      <c r="P93" s="2620"/>
      <c r="Q93" s="504"/>
    </row>
    <row r="94" spans="1:17" ht="15.75" thickTop="1">
      <c r="A94" s="534"/>
      <c r="B94" s="538">
        <f>B29</f>
        <v>111</v>
      </c>
      <c r="C94" s="554"/>
      <c r="D94" s="554"/>
      <c r="E94" s="554"/>
      <c r="F94" s="554"/>
      <c r="G94" s="583"/>
      <c r="H94" s="583"/>
      <c r="I94" s="583"/>
      <c r="J94" s="583"/>
      <c r="K94" s="584"/>
      <c r="L94" s="585"/>
      <c r="M94" s="586"/>
      <c r="N94" s="1150"/>
      <c r="O94" s="1150"/>
      <c r="P94" s="2620"/>
      <c r="Q94" s="504"/>
    </row>
    <row r="95" spans="1:17" ht="15.75" thickBot="1">
      <c r="A95" s="534"/>
      <c r="B95" s="543"/>
      <c r="C95" s="560"/>
      <c r="D95" s="560"/>
      <c r="E95" s="560"/>
      <c r="F95" s="560"/>
      <c r="G95" s="536"/>
      <c r="H95" s="536"/>
      <c r="I95" s="536"/>
      <c r="J95" s="536"/>
      <c r="K95" s="536"/>
      <c r="L95" s="536"/>
      <c r="M95" s="537"/>
      <c r="N95" s="1151"/>
      <c r="O95" s="1151"/>
      <c r="P95" s="2620"/>
      <c r="Q95" s="504"/>
    </row>
    <row r="96" spans="1:17" ht="15.75" thickTop="1">
      <c r="A96" s="534"/>
      <c r="B96" s="538">
        <f>B30</f>
        <v>111</v>
      </c>
      <c r="C96" s="554"/>
      <c r="D96" s="554"/>
      <c r="E96" s="554"/>
      <c r="F96" s="554"/>
      <c r="G96" s="583"/>
      <c r="H96" s="583"/>
      <c r="I96" s="583"/>
      <c r="J96" s="583"/>
      <c r="K96" s="584"/>
      <c r="L96" s="585"/>
      <c r="M96" s="586"/>
      <c r="N96" s="1150"/>
      <c r="O96" s="1150"/>
      <c r="P96" s="2620"/>
      <c r="Q96" s="504"/>
    </row>
    <row r="97" spans="1:17" ht="15.75" thickBot="1">
      <c r="A97" s="534"/>
      <c r="B97" s="543"/>
      <c r="C97" s="570"/>
      <c r="D97" s="570"/>
      <c r="E97" s="570"/>
      <c r="F97" s="570"/>
      <c r="G97" s="536"/>
      <c r="H97" s="536"/>
      <c r="I97" s="536"/>
      <c r="J97" s="536"/>
      <c r="K97" s="536"/>
      <c r="L97" s="536"/>
      <c r="M97" s="537"/>
      <c r="N97" s="1151"/>
      <c r="O97" s="1151"/>
      <c r="P97" s="2620"/>
      <c r="Q97" s="504"/>
    </row>
    <row r="98" spans="1:17" ht="15.75" thickTop="1">
      <c r="A98" s="534"/>
      <c r="B98" s="546">
        <f>B31</f>
        <v>111</v>
      </c>
      <c r="C98" s="587"/>
      <c r="D98" s="587"/>
      <c r="E98" s="587"/>
      <c r="F98" s="587"/>
      <c r="G98" s="587"/>
      <c r="H98" s="587"/>
      <c r="I98" s="587"/>
      <c r="J98" s="587"/>
      <c r="K98" s="588"/>
      <c r="L98" s="589"/>
      <c r="M98" s="590"/>
      <c r="N98" s="1150"/>
      <c r="O98" s="1150"/>
      <c r="P98" s="2620"/>
      <c r="Q98" s="504"/>
    </row>
    <row r="99" spans="1:17" ht="15.75" thickBot="1">
      <c r="A99" s="2626"/>
      <c r="B99" s="569"/>
      <c r="C99" s="591"/>
      <c r="D99" s="591"/>
      <c r="E99" s="591"/>
      <c r="F99" s="591"/>
      <c r="G99" s="591"/>
      <c r="H99" s="591"/>
      <c r="I99" s="591"/>
      <c r="J99" s="591"/>
      <c r="K99" s="591"/>
      <c r="L99" s="591"/>
      <c r="M99" s="592"/>
      <c r="N99" s="1151"/>
      <c r="O99" s="1151"/>
      <c r="P99" s="2620"/>
      <c r="Q99" s="504"/>
    </row>
    <row r="100" spans="1:17">
      <c r="A100" s="527" t="s">
        <v>2549</v>
      </c>
      <c r="B100" s="528" t="s">
        <v>2598</v>
      </c>
      <c r="C100" s="2948" t="s">
        <v>3188</v>
      </c>
      <c r="D100" s="530"/>
      <c r="E100" s="530"/>
      <c r="F100" s="530"/>
      <c r="G100" s="530"/>
      <c r="H100" s="530"/>
      <c r="I100" s="530"/>
      <c r="J100" s="530"/>
      <c r="K100" s="531"/>
      <c r="L100" s="532"/>
      <c r="M100" s="533"/>
      <c r="N100" s="1150"/>
      <c r="O100" s="1150"/>
      <c r="P100" s="262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4">
        <f t="shared" si="22"/>
        <v>50</v>
      </c>
      <c r="N101" s="1151"/>
      <c r="O101" s="1151"/>
      <c r="P101" s="2620"/>
      <c r="Q101" s="504"/>
    </row>
    <row r="102" spans="1:17" ht="29.25" thickTop="1">
      <c r="A102" s="534"/>
      <c r="B102" s="538" t="s">
        <v>2599</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49"/>
      <c r="O102" s="1149"/>
      <c r="P102" s="2620"/>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2"/>
      <c r="O103" s="1152"/>
      <c r="P103" s="2621"/>
      <c r="Q103" s="559"/>
    </row>
    <row r="104" spans="1:17" s="471" customFormat="1" ht="15.75" thickBot="1">
      <c r="A104" s="553"/>
      <c r="B104" s="543"/>
      <c r="C104" s="560">
        <v>100</v>
      </c>
      <c r="D104" s="536">
        <f>C104+4</f>
        <v>104</v>
      </c>
      <c r="E104" s="536">
        <f t="shared" ref="E104:G104" si="24">D104+4</f>
        <v>108</v>
      </c>
      <c r="F104" s="536">
        <f t="shared" si="24"/>
        <v>112</v>
      </c>
      <c r="G104" s="536">
        <f t="shared" si="24"/>
        <v>116</v>
      </c>
      <c r="H104" s="536"/>
      <c r="I104" s="536"/>
      <c r="J104" s="536"/>
      <c r="K104" s="536"/>
      <c r="L104" s="536"/>
      <c r="M104" s="536"/>
      <c r="N104" s="1151"/>
      <c r="O104" s="1151"/>
      <c r="P104" s="2621"/>
      <c r="Q104" s="559"/>
    </row>
    <row r="105" spans="1:17" ht="15" thickTop="1">
      <c r="A105" s="599"/>
      <c r="B105" s="538" t="s">
        <v>2600</v>
      </c>
      <c r="C105" s="2958" t="s">
        <v>3190</v>
      </c>
      <c r="D105" s="554"/>
      <c r="E105" s="583"/>
      <c r="F105" s="583"/>
      <c r="G105" s="583"/>
      <c r="H105" s="583"/>
      <c r="I105" s="583"/>
      <c r="J105" s="583"/>
      <c r="K105" s="584"/>
      <c r="L105" s="585"/>
      <c r="M105" s="586"/>
      <c r="N105" s="1150"/>
      <c r="O105" s="1150"/>
      <c r="P105" s="2620"/>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4">
        <f t="shared" si="25"/>
        <v>80</v>
      </c>
      <c r="N106" s="1151"/>
      <c r="O106" s="1151"/>
      <c r="P106" s="2620"/>
      <c r="Q106" s="504"/>
    </row>
    <row r="107" spans="1:17" ht="15" thickTop="1">
      <c r="A107" s="599"/>
      <c r="B107" s="538" t="s">
        <v>2601</v>
      </c>
      <c r="C107" s="2959" t="s">
        <v>3192</v>
      </c>
      <c r="D107" s="583"/>
      <c r="E107" s="583"/>
      <c r="F107" s="583"/>
      <c r="G107" s="583"/>
      <c r="H107" s="583"/>
      <c r="I107" s="583"/>
      <c r="J107" s="583"/>
      <c r="K107" s="584"/>
      <c r="L107" s="585"/>
      <c r="M107" s="586"/>
      <c r="N107" s="1150"/>
      <c r="O107" s="1150"/>
      <c r="P107" s="2620"/>
      <c r="Q107" s="504"/>
    </row>
    <row r="108" spans="1:17" ht="15.75" thickBot="1">
      <c r="A108" s="534"/>
      <c r="B108" s="543"/>
      <c r="C108" s="544">
        <v>100</v>
      </c>
      <c r="D108" s="544">
        <f t="shared" ref="D108:M108" si="26">C108-$K35</f>
        <v>95</v>
      </c>
      <c r="E108" s="544">
        <f t="shared" si="26"/>
        <v>90</v>
      </c>
      <c r="F108" s="544">
        <f t="shared" si="26"/>
        <v>85</v>
      </c>
      <c r="G108" s="544">
        <f t="shared" si="26"/>
        <v>80</v>
      </c>
      <c r="H108" s="544">
        <f t="shared" si="26"/>
        <v>75</v>
      </c>
      <c r="I108" s="544">
        <f t="shared" si="26"/>
        <v>70</v>
      </c>
      <c r="J108" s="544">
        <f t="shared" si="26"/>
        <v>65</v>
      </c>
      <c r="K108" s="544">
        <f t="shared" si="26"/>
        <v>60</v>
      </c>
      <c r="L108" s="544">
        <f t="shared" si="26"/>
        <v>55</v>
      </c>
      <c r="M108" s="544">
        <f t="shared" si="26"/>
        <v>50</v>
      </c>
      <c r="N108" s="1151"/>
      <c r="O108" s="1151"/>
      <c r="P108" s="2620"/>
      <c r="Q108" s="504"/>
    </row>
    <row r="109" spans="1:17" ht="15" thickTop="1">
      <c r="A109" s="599"/>
      <c r="B109" s="538" t="s">
        <v>2602</v>
      </c>
      <c r="C109" s="2958" t="s">
        <v>3198</v>
      </c>
      <c r="D109" s="2958" t="s">
        <v>3193</v>
      </c>
      <c r="E109" s="2958" t="s">
        <v>3195</v>
      </c>
      <c r="F109" s="2959" t="s">
        <v>3196</v>
      </c>
      <c r="G109" s="583"/>
      <c r="H109" s="583"/>
      <c r="I109" s="583"/>
      <c r="J109" s="583"/>
      <c r="K109" s="584"/>
      <c r="L109" s="585"/>
      <c r="M109" s="586"/>
      <c r="N109" s="1150"/>
      <c r="O109" s="1150"/>
      <c r="P109" s="2620"/>
      <c r="Q109" s="504"/>
    </row>
    <row r="110" spans="1:17" ht="15.75" thickBot="1">
      <c r="A110" s="534"/>
      <c r="B110" s="543"/>
      <c r="C110" s="544">
        <v>100</v>
      </c>
      <c r="D110" s="544">
        <f t="shared" ref="D110:M110" si="27">C110-$K36</f>
        <v>98</v>
      </c>
      <c r="E110" s="544">
        <f t="shared" si="27"/>
        <v>96</v>
      </c>
      <c r="F110" s="544">
        <f t="shared" si="27"/>
        <v>94</v>
      </c>
      <c r="G110" s="544">
        <f t="shared" si="27"/>
        <v>92</v>
      </c>
      <c r="H110" s="544">
        <f t="shared" si="27"/>
        <v>90</v>
      </c>
      <c r="I110" s="544">
        <f t="shared" si="27"/>
        <v>88</v>
      </c>
      <c r="J110" s="544">
        <f t="shared" si="27"/>
        <v>86</v>
      </c>
      <c r="K110" s="544">
        <f t="shared" si="27"/>
        <v>84</v>
      </c>
      <c r="L110" s="544">
        <f t="shared" si="27"/>
        <v>82</v>
      </c>
      <c r="M110" s="544">
        <f t="shared" si="27"/>
        <v>80</v>
      </c>
      <c r="N110" s="1151"/>
      <c r="O110" s="1151"/>
      <c r="P110" s="262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2"/>
      <c r="O113" s="1152"/>
      <c r="P113" s="2621"/>
      <c r="Q113" s="559"/>
    </row>
    <row r="114" spans="1:17" ht="15" thickTop="1">
      <c r="A114" s="599"/>
      <c r="B114" s="538" t="s">
        <v>2603</v>
      </c>
      <c r="C114" s="2958" t="s">
        <v>3200</v>
      </c>
      <c r="D114" s="554"/>
      <c r="E114" s="583"/>
      <c r="F114" s="583"/>
      <c r="G114" s="583"/>
      <c r="H114" s="583"/>
      <c r="I114" s="583"/>
      <c r="J114" s="583"/>
      <c r="K114" s="584"/>
      <c r="L114" s="585"/>
      <c r="M114" s="586"/>
      <c r="N114" s="1150"/>
      <c r="O114" s="1150"/>
      <c r="P114" s="2620"/>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4">
        <f t="shared" si="28"/>
        <v>80</v>
      </c>
      <c r="N115" s="1151"/>
      <c r="O115" s="1151"/>
      <c r="P115" s="2620"/>
      <c r="Q115" s="504"/>
    </row>
    <row r="116" spans="1:17" ht="15" thickTop="1">
      <c r="A116" s="599"/>
      <c r="B116" s="538" t="s">
        <v>2604</v>
      </c>
      <c r="C116" s="2958" t="s">
        <v>3254</v>
      </c>
      <c r="D116" s="554"/>
      <c r="E116" s="554"/>
      <c r="F116" s="554"/>
      <c r="G116" s="554"/>
      <c r="H116" s="583"/>
      <c r="I116" s="583"/>
      <c r="J116" s="583"/>
      <c r="K116" s="584"/>
      <c r="L116" s="585"/>
      <c r="M116" s="586"/>
      <c r="N116" s="1150"/>
      <c r="O116" s="1150"/>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0"/>
      <c r="Q117" s="504"/>
    </row>
    <row r="118" spans="1:17" ht="15" thickTop="1">
      <c r="A118" s="599"/>
      <c r="B118" s="538" t="s">
        <v>2605</v>
      </c>
      <c r="C118" s="583"/>
      <c r="D118" s="583"/>
      <c r="E118" s="583"/>
      <c r="F118" s="583"/>
      <c r="G118" s="583"/>
      <c r="H118" s="583"/>
      <c r="I118" s="583"/>
      <c r="J118" s="583"/>
      <c r="K118" s="584"/>
      <c r="L118" s="585"/>
      <c r="M118" s="586"/>
      <c r="N118" s="1150"/>
      <c r="O118" s="1150"/>
      <c r="P118" s="2620"/>
      <c r="Q118" s="504"/>
    </row>
    <row r="119" spans="1:17" ht="15.75" thickBot="1">
      <c r="A119" s="534"/>
      <c r="B119" s="543"/>
      <c r="C119" s="544">
        <v>100</v>
      </c>
      <c r="D119" s="544">
        <f t="shared" ref="D119:M119" si="29">C119-$K40</f>
        <v>100</v>
      </c>
      <c r="E119" s="544">
        <f t="shared" si="29"/>
        <v>100</v>
      </c>
      <c r="F119" s="544">
        <f t="shared" si="29"/>
        <v>100</v>
      </c>
      <c r="G119" s="544">
        <f t="shared" si="29"/>
        <v>100</v>
      </c>
      <c r="H119" s="544">
        <f t="shared" si="29"/>
        <v>100</v>
      </c>
      <c r="I119" s="544">
        <f t="shared" si="29"/>
        <v>100</v>
      </c>
      <c r="J119" s="544">
        <f t="shared" si="29"/>
        <v>100</v>
      </c>
      <c r="K119" s="544">
        <f t="shared" si="29"/>
        <v>100</v>
      </c>
      <c r="L119" s="544">
        <f t="shared" si="29"/>
        <v>100</v>
      </c>
      <c r="M119" s="544">
        <f t="shared" si="29"/>
        <v>100</v>
      </c>
      <c r="N119" s="1151"/>
      <c r="O119" s="1151"/>
      <c r="P119" s="2620"/>
      <c r="Q119" s="504"/>
    </row>
    <row r="120" spans="1:17" s="471" customFormat="1" ht="28.5" thickTop="1">
      <c r="A120" s="593"/>
      <c r="B120" s="538" t="s">
        <v>2560</v>
      </c>
      <c r="C120" s="554"/>
      <c r="D120" s="554"/>
      <c r="E120" s="554"/>
      <c r="F120" s="554"/>
      <c r="G120" s="554"/>
      <c r="H120" s="554"/>
      <c r="I120" s="554"/>
      <c r="J120" s="554"/>
      <c r="K120" s="554"/>
      <c r="L120" s="580"/>
      <c r="M120" s="581"/>
      <c r="N120" s="1152"/>
      <c r="O120" s="1152"/>
      <c r="P120" s="262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1"/>
      <c r="Q121" s="559"/>
    </row>
    <row r="122" spans="1:17" ht="15" thickTop="1">
      <c r="A122" s="599"/>
      <c r="B122" s="538" t="s">
        <v>2606</v>
      </c>
      <c r="C122" s="2958" t="s">
        <v>3198</v>
      </c>
      <c r="D122" s="2958" t="s">
        <v>3193</v>
      </c>
      <c r="E122" s="2958" t="s">
        <v>3201</v>
      </c>
      <c r="F122" s="2959" t="s">
        <v>3196</v>
      </c>
      <c r="G122" s="583"/>
      <c r="H122" s="583"/>
      <c r="I122" s="583"/>
      <c r="J122" s="583"/>
      <c r="K122" s="584"/>
      <c r="L122" s="585"/>
      <c r="M122" s="586"/>
      <c r="N122" s="1150"/>
      <c r="O122" s="1150"/>
      <c r="P122" s="262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4">
        <f t="shared" si="30"/>
        <v>100</v>
      </c>
      <c r="N123" s="1151"/>
      <c r="O123" s="1151"/>
      <c r="P123" s="262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0"/>
      <c r="O124" s="1150"/>
      <c r="P124" s="262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2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1"/>
      <c r="Q127" s="559"/>
    </row>
    <row r="128" spans="1:17" ht="15" thickTop="1">
      <c r="A128" s="599"/>
      <c r="B128" s="538">
        <f>B45</f>
        <v>111</v>
      </c>
      <c r="C128" s="554"/>
      <c r="D128" s="554"/>
      <c r="E128" s="554"/>
      <c r="F128" s="554"/>
      <c r="G128" s="583"/>
      <c r="H128" s="583"/>
      <c r="I128" s="583"/>
      <c r="J128" s="583"/>
      <c r="K128" s="584"/>
      <c r="L128" s="585"/>
      <c r="M128" s="586"/>
      <c r="N128" s="1150"/>
      <c r="O128" s="1150"/>
      <c r="P128" s="2620"/>
      <c r="Q128" s="504"/>
    </row>
    <row r="129" spans="1:17" ht="15.75" thickBot="1">
      <c r="A129" s="534"/>
      <c r="B129" s="543"/>
      <c r="C129" s="560"/>
      <c r="D129" s="560"/>
      <c r="E129" s="560"/>
      <c r="F129" s="560"/>
      <c r="G129" s="536"/>
      <c r="H129" s="536"/>
      <c r="I129" s="536"/>
      <c r="J129" s="536"/>
      <c r="K129" s="536"/>
      <c r="L129" s="536"/>
      <c r="M129" s="537"/>
      <c r="N129" s="1151"/>
      <c r="O129" s="1151"/>
      <c r="P129" s="2620"/>
      <c r="Q129" s="504"/>
    </row>
    <row r="130" spans="1:17" ht="15" thickTop="1">
      <c r="A130" s="599"/>
      <c r="B130" s="546">
        <f>B46</f>
        <v>111</v>
      </c>
      <c r="C130" s="554"/>
      <c r="D130" s="554"/>
      <c r="E130" s="554"/>
      <c r="F130" s="554"/>
      <c r="G130" s="587"/>
      <c r="H130" s="587"/>
      <c r="I130" s="587"/>
      <c r="J130" s="587"/>
      <c r="K130" s="523"/>
      <c r="L130" s="524"/>
      <c r="M130" s="590"/>
      <c r="N130" s="1150"/>
      <c r="O130" s="1150"/>
      <c r="P130" s="2620"/>
      <c r="Q130" s="504"/>
    </row>
    <row r="131" spans="1:17" ht="15.75" thickBot="1">
      <c r="A131" s="2626"/>
      <c r="B131" s="569"/>
      <c r="C131" s="570"/>
      <c r="D131" s="570"/>
      <c r="E131" s="570"/>
      <c r="F131" s="570"/>
      <c r="G131" s="591"/>
      <c r="H131" s="591"/>
      <c r="I131" s="591"/>
      <c r="J131" s="591"/>
      <c r="K131" s="591"/>
      <c r="L131" s="591"/>
      <c r="M131" s="592"/>
      <c r="N131" s="1151"/>
      <c r="O131" s="1151"/>
      <c r="P131" s="2620"/>
      <c r="Q131" s="504"/>
    </row>
    <row r="136" spans="1:17" ht="15" thickBot="1">
      <c r="B136" s="2627" t="s">
        <v>2608</v>
      </c>
    </row>
    <row r="137" spans="1:17" ht="15">
      <c r="B137" s="2628" t="s">
        <v>2609</v>
      </c>
      <c r="C137" s="2629"/>
      <c r="D137" s="2629"/>
      <c r="E137" s="2629"/>
      <c r="F137" s="2629"/>
      <c r="G137" s="2630"/>
      <c r="H137" s="2631"/>
      <c r="I137" s="2632" t="s">
        <v>2610</v>
      </c>
      <c r="J137" s="2629"/>
      <c r="K137" s="2633"/>
    </row>
    <row r="138" spans="1:17" ht="15">
      <c r="B138" s="2634"/>
      <c r="C138" s="146" t="s">
        <v>2611</v>
      </c>
      <c r="D138" s="146" t="s">
        <v>2612</v>
      </c>
      <c r="E138" s="2635" t="s">
        <v>2613</v>
      </c>
      <c r="F138" s="2636" t="s">
        <v>2614</v>
      </c>
      <c r="G138" s="146" t="s">
        <v>2612</v>
      </c>
      <c r="H138" s="147" t="s">
        <v>2613</v>
      </c>
      <c r="I138" s="2637"/>
      <c r="J138" s="146" t="s">
        <v>2615</v>
      </c>
      <c r="K138" s="147" t="s">
        <v>2616</v>
      </c>
    </row>
    <row r="139" spans="1:17" ht="15">
      <c r="B139" s="1082">
        <v>6</v>
      </c>
      <c r="C139" s="1083">
        <v>96</v>
      </c>
      <c r="D139" s="2638" t="s">
        <v>2617</v>
      </c>
      <c r="E139" s="1084">
        <v>100</v>
      </c>
      <c r="F139" s="1085">
        <v>102.5</v>
      </c>
      <c r="G139" s="2638" t="s">
        <v>2617</v>
      </c>
      <c r="H139" s="1086">
        <v>105</v>
      </c>
      <c r="I139" s="2639" t="s">
        <v>2618</v>
      </c>
      <c r="J139" s="1083">
        <v>20</v>
      </c>
      <c r="K139" s="1087">
        <f>C145/(J139-2)</f>
        <v>4.0555555555555553E-3</v>
      </c>
    </row>
    <row r="140" spans="1:17" ht="15">
      <c r="B140" s="1088">
        <v>5</v>
      </c>
      <c r="C140" s="1089">
        <v>100</v>
      </c>
      <c r="D140" s="1089"/>
      <c r="E140" s="1090"/>
      <c r="F140" s="1091">
        <v>102</v>
      </c>
      <c r="G140" s="1089"/>
      <c r="H140" s="1092"/>
      <c r="I140" s="2640" t="s">
        <v>2619</v>
      </c>
      <c r="J140" s="315">
        <f>ROUNDUP((J139-1)/2,0)</f>
        <v>10</v>
      </c>
      <c r="K140" s="1093">
        <v>100</v>
      </c>
    </row>
    <row r="141" spans="1:17" ht="15">
      <c r="B141" s="1088">
        <v>4</v>
      </c>
      <c r="C141" s="1089">
        <v>102</v>
      </c>
      <c r="D141" s="1089"/>
      <c r="E141" s="1090"/>
      <c r="F141" s="1091">
        <v>101.5</v>
      </c>
      <c r="G141" s="1089"/>
      <c r="H141" s="1092"/>
      <c r="I141" s="2640" t="s">
        <v>2620</v>
      </c>
      <c r="J141" s="315">
        <v>1</v>
      </c>
      <c r="K141" s="1094">
        <f>ROUND(100+(J141-J140)*K139*100,1)</f>
        <v>96.4</v>
      </c>
    </row>
    <row r="142" spans="1:17" ht="15">
      <c r="B142" s="1088">
        <v>3</v>
      </c>
      <c r="C142" s="1089">
        <v>103</v>
      </c>
      <c r="D142" s="1089"/>
      <c r="E142" s="1090"/>
      <c r="F142" s="1091">
        <v>101</v>
      </c>
      <c r="G142" s="1089"/>
      <c r="H142" s="1092"/>
      <c r="I142" s="2640" t="s">
        <v>2621</v>
      </c>
      <c r="J142" s="315">
        <f>J139</f>
        <v>20</v>
      </c>
      <c r="K142" s="1095">
        <v>95</v>
      </c>
    </row>
    <row r="143" spans="1:17" ht="15">
      <c r="B143" s="1088">
        <v>2</v>
      </c>
      <c r="C143" s="1089">
        <v>100</v>
      </c>
      <c r="D143" s="1089"/>
      <c r="E143" s="1090"/>
      <c r="F143" s="1091">
        <v>100.5</v>
      </c>
      <c r="G143" s="1089"/>
      <c r="H143" s="1092"/>
      <c r="I143" s="2640" t="s">
        <v>2622</v>
      </c>
      <c r="J143" s="1089">
        <v>15</v>
      </c>
      <c r="K143" s="1094">
        <f>ROUND(100+(J143-J140)*K139*100,1)</f>
        <v>102</v>
      </c>
    </row>
    <row r="144" spans="1:17" ht="15">
      <c r="B144" s="1088">
        <v>1</v>
      </c>
      <c r="C144" s="1089">
        <v>98</v>
      </c>
      <c r="D144" s="2641" t="s">
        <v>2623</v>
      </c>
      <c r="E144" s="1090">
        <v>102</v>
      </c>
      <c r="F144" s="1096">
        <v>100</v>
      </c>
      <c r="G144" s="2641" t="s">
        <v>2623</v>
      </c>
      <c r="H144" s="1092">
        <v>105</v>
      </c>
      <c r="I144" s="2640" t="s">
        <v>2622</v>
      </c>
      <c r="J144" s="1089">
        <v>18</v>
      </c>
      <c r="K144" s="1094">
        <f>ROUND(100+(J144-J140)*K139*100,1)</f>
        <v>103.2</v>
      </c>
    </row>
    <row r="145" spans="2:11" ht="15.75" thickBot="1">
      <c r="B145" s="2642" t="s">
        <v>2624</v>
      </c>
      <c r="C145" s="1097">
        <f>ROUND(MAX(C139:C144)/MIN(C139:C144)-1,3)</f>
        <v>7.2999999999999995E-2</v>
      </c>
      <c r="D145" s="1098"/>
      <c r="E145" s="1098"/>
      <c r="F145" s="2643" t="s">
        <v>2625</v>
      </c>
      <c r="G145" s="2644"/>
      <c r="H145" s="2645"/>
      <c r="I145" s="2646" t="s">
        <v>2622</v>
      </c>
      <c r="J145" s="1099">
        <v>8</v>
      </c>
      <c r="K145" s="1100">
        <f>ROUND(100+(J145-J140)*K139*100,1)</f>
        <v>99.2</v>
      </c>
    </row>
    <row r="147" spans="2:11">
      <c r="B147" s="2627" t="s">
        <v>2626</v>
      </c>
    </row>
    <row r="148" spans="2:11">
      <c r="B148" s="2627"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2514</v>
      </c>
      <c r="B1" s="2575" t="s">
        <v>2628</v>
      </c>
      <c r="C1" s="1632" t="s">
        <v>2516</v>
      </c>
      <c r="D1" s="1619"/>
      <c r="E1" s="2647"/>
      <c r="F1" s="2577"/>
      <c r="G1" s="1629" t="s">
        <v>2629</v>
      </c>
      <c r="H1" s="1628"/>
      <c r="I1" s="1628"/>
      <c r="J1" s="1628"/>
      <c r="K1" s="1630"/>
      <c r="L1" s="1631"/>
      <c r="M1" s="1632"/>
      <c r="N1" s="1632"/>
      <c r="O1" s="1632"/>
      <c r="P1" s="2648"/>
      <c r="Q1" s="2649"/>
      <c r="R1" s="2649"/>
      <c r="S1" s="2649"/>
      <c r="T1" s="2649"/>
      <c r="U1" s="2649"/>
      <c r="V1" s="2649"/>
      <c r="W1" s="2649"/>
      <c r="X1" s="2649"/>
      <c r="Y1" s="2649"/>
      <c r="Z1" s="2649"/>
      <c r="AA1" s="2649"/>
      <c r="AB1" s="2649"/>
      <c r="AC1" s="2650"/>
    </row>
    <row r="2" spans="1:29" s="398" customFormat="1" ht="28.5" customHeight="1" thickTop="1">
      <c r="A2" s="1615" t="s">
        <v>2316</v>
      </c>
      <c r="B2" s="1416" t="e">
        <f ca="1">IF(C2="——",ROUND(C49*D3/10000,0),ROUND(C49*D3/10000,0)-D2)</f>
        <v>#DIV/0!</v>
      </c>
      <c r="C2" s="2579"/>
      <c r="D2" s="1363" t="e">
        <f ca="1">SUMIF(INDIRECT("'"&amp;F2&amp;"'"&amp;"!A:A"),"承租人权益价值",INDIRECT("'"&amp;F2&amp;"'"&amp;"!c:c"))</f>
        <v>#REF!</v>
      </c>
      <c r="E2" s="2580" t="s">
        <v>2317</v>
      </c>
      <c r="F2" s="2581"/>
      <c r="G2" s="1123"/>
      <c r="H2" s="1123"/>
      <c r="I2" s="1123"/>
      <c r="J2" s="1123"/>
      <c r="K2" s="1123"/>
      <c r="L2" s="1126"/>
      <c r="M2" s="1127"/>
      <c r="N2" s="1127"/>
      <c r="O2" s="1127"/>
      <c r="P2" s="2651"/>
      <c r="Q2" s="1127"/>
      <c r="R2" s="1127"/>
      <c r="S2" s="1127"/>
      <c r="T2" s="1127"/>
      <c r="U2" s="1127"/>
      <c r="V2" s="1127"/>
      <c r="W2" s="1127"/>
      <c r="X2" s="1127"/>
      <c r="Y2" s="1127"/>
      <c r="Z2" s="1127"/>
      <c r="AA2" s="1127"/>
      <c r="AB2" s="1127"/>
      <c r="AC2" s="2652"/>
    </row>
    <row r="3" spans="1:29" s="398" customFormat="1" ht="28.5" customHeight="1" thickBot="1">
      <c r="A3" s="247" t="s">
        <v>2318</v>
      </c>
      <c r="B3" s="609" t="e">
        <f ca="1">IF(C2="——",C49,ROUND(B2*10000/D3,0))</f>
        <v>#DIV/0!</v>
      </c>
      <c r="C3" s="400" t="s">
        <v>2630</v>
      </c>
      <c r="D3" s="399">
        <f>IF(D1="",'数据-汇总表'!E3,SUMIF('数据-汇总表'!$C19:$C33,D1,'数据-汇总表'!$E19:$E33))</f>
        <v>31952.659999999996</v>
      </c>
      <c r="E3" s="2653"/>
      <c r="F3" s="1124"/>
      <c r="G3" s="1123"/>
      <c r="H3" s="1123"/>
      <c r="I3" s="1123"/>
      <c r="J3" s="1123"/>
      <c r="K3" s="1125"/>
      <c r="L3" s="1126"/>
      <c r="M3" s="1127"/>
      <c r="N3" s="1127"/>
      <c r="O3" s="1127"/>
      <c r="P3" s="2651"/>
      <c r="Q3" s="1127"/>
      <c r="R3" s="1127"/>
      <c r="S3" s="1127"/>
      <c r="T3" s="1127"/>
      <c r="U3" s="1127"/>
      <c r="V3" s="1127"/>
      <c r="W3" s="1127"/>
      <c r="X3" s="1127"/>
      <c r="Y3" s="1127"/>
      <c r="Z3" s="1127"/>
      <c r="AA3" s="1127"/>
      <c r="AB3" s="1127"/>
      <c r="AC3" s="2653"/>
    </row>
    <row r="4" spans="1:29" ht="15">
      <c r="A4" s="401" t="s">
        <v>2631</v>
      </c>
      <c r="B4" s="402"/>
      <c r="C4" s="3215" t="s">
        <v>2632</v>
      </c>
      <c r="D4" s="3216"/>
      <c r="E4" s="3217" t="s">
        <v>2633</v>
      </c>
      <c r="F4" s="3218"/>
      <c r="G4" s="3215" t="s">
        <v>2634</v>
      </c>
      <c r="H4" s="3216"/>
      <c r="I4" s="3215" t="s">
        <v>2635</v>
      </c>
      <c r="J4" s="3216"/>
      <c r="K4" s="610" t="s">
        <v>2636</v>
      </c>
      <c r="L4" s="1128"/>
      <c r="M4" s="1129"/>
      <c r="N4" s="1129"/>
      <c r="O4" s="1129"/>
      <c r="P4" s="3219" t="s">
        <v>2637</v>
      </c>
      <c r="Q4" s="3220"/>
      <c r="R4" s="3201" t="s">
        <v>2633</v>
      </c>
      <c r="S4" s="3202"/>
      <c r="T4" s="3201" t="s">
        <v>2634</v>
      </c>
      <c r="U4" s="3202"/>
      <c r="V4" s="3227" t="s">
        <v>2635</v>
      </c>
      <c r="W4" s="3227"/>
      <c r="X4" s="1811"/>
      <c r="Y4" s="3201" t="s">
        <v>2637</v>
      </c>
      <c r="Z4" s="3202"/>
      <c r="AA4" s="3196" t="s">
        <v>2633</v>
      </c>
      <c r="AB4" s="3227" t="s">
        <v>2634</v>
      </c>
      <c r="AC4" s="3196" t="s">
        <v>2635</v>
      </c>
    </row>
    <row r="5" spans="1:29" ht="15">
      <c r="A5" s="404"/>
      <c r="B5" s="405"/>
      <c r="C5" s="3211" t="s">
        <v>2528</v>
      </c>
      <c r="D5" s="3208"/>
      <c r="E5" s="3205" t="s">
        <v>2529</v>
      </c>
      <c r="F5" s="3206"/>
      <c r="G5" s="3211" t="s">
        <v>2530</v>
      </c>
      <c r="H5" s="3208"/>
      <c r="I5" s="3211" t="s">
        <v>2531</v>
      </c>
      <c r="J5" s="3208"/>
      <c r="K5" s="610"/>
      <c r="L5" s="1128"/>
      <c r="M5" s="1129"/>
      <c r="N5" s="1129"/>
      <c r="O5" s="1129"/>
      <c r="P5" s="3221"/>
      <c r="Q5" s="3222"/>
      <c r="R5" s="3203"/>
      <c r="S5" s="3204"/>
      <c r="T5" s="3203"/>
      <c r="U5" s="3204"/>
      <c r="V5" s="3227"/>
      <c r="W5" s="3227"/>
      <c r="X5" s="1811"/>
      <c r="Y5" s="3203"/>
      <c r="Z5" s="3204"/>
      <c r="AA5" s="3197"/>
      <c r="AB5" s="3227"/>
      <c r="AC5" s="3197"/>
    </row>
    <row r="6" spans="1:29" ht="15.75" thickBot="1">
      <c r="A6" s="406"/>
      <c r="B6" s="407"/>
      <c r="C6" s="3209" t="s">
        <v>2532</v>
      </c>
      <c r="D6" s="3210"/>
      <c r="E6" s="3212" t="s">
        <v>2532</v>
      </c>
      <c r="F6" s="3213"/>
      <c r="G6" s="3209" t="s">
        <v>2532</v>
      </c>
      <c r="H6" s="3210"/>
      <c r="I6" s="3209" t="s">
        <v>2532</v>
      </c>
      <c r="J6" s="3210"/>
      <c r="K6" s="610" t="s">
        <v>2533</v>
      </c>
      <c r="L6" s="1128"/>
      <c r="M6" s="1129"/>
      <c r="N6" s="1129"/>
      <c r="O6" s="1129"/>
      <c r="P6" s="3223"/>
      <c r="Q6" s="3224"/>
      <c r="R6" s="3203"/>
      <c r="S6" s="3204"/>
      <c r="T6" s="3225"/>
      <c r="U6" s="3226"/>
      <c r="V6" s="3227"/>
      <c r="W6" s="3227"/>
      <c r="X6" s="1811"/>
      <c r="Y6" s="3225"/>
      <c r="Z6" s="3226"/>
      <c r="AA6" s="3198"/>
      <c r="AB6" s="3227"/>
      <c r="AC6" s="3198"/>
    </row>
    <row r="7" spans="1:29" s="117" customFormat="1" ht="15.75" thickBot="1">
      <c r="A7" s="408" t="s">
        <v>2534</v>
      </c>
      <c r="B7" s="409"/>
      <c r="C7" s="410">
        <f>'数据-取费表'!B2</f>
        <v>43165</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9" t="s">
        <v>2535</v>
      </c>
      <c r="Q7" s="3228"/>
      <c r="R7" s="769" t="s">
        <v>17</v>
      </c>
      <c r="S7" s="770">
        <f t="shared" ref="S7:S15" si="0">F7</f>
        <v>0</v>
      </c>
      <c r="T7" s="769" t="s">
        <v>17</v>
      </c>
      <c r="U7" s="770">
        <f t="shared" ref="U7:U15" si="1">H7</f>
        <v>0</v>
      </c>
      <c r="V7" s="769" t="s">
        <v>17</v>
      </c>
      <c r="W7" s="770">
        <f t="shared" ref="W7:W15" si="2">J7</f>
        <v>0</v>
      </c>
      <c r="X7" s="771"/>
      <c r="Y7" s="3199" t="s">
        <v>2535</v>
      </c>
      <c r="Z7" s="3200"/>
      <c r="AA7" s="772" t="e">
        <f>D7/F7</f>
        <v>#DIV/0!</v>
      </c>
      <c r="AB7" s="772" t="e">
        <f>D7/H7</f>
        <v>#DIV/0!</v>
      </c>
      <c r="AC7" s="772"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9" t="s">
        <v>2538</v>
      </c>
      <c r="Q8" s="3200"/>
      <c r="R8" s="769" t="s">
        <v>17</v>
      </c>
      <c r="S8" s="770">
        <f t="shared" si="0"/>
        <v>0</v>
      </c>
      <c r="T8" s="769" t="s">
        <v>17</v>
      </c>
      <c r="U8" s="770">
        <f t="shared" si="1"/>
        <v>0</v>
      </c>
      <c r="V8" s="769" t="s">
        <v>17</v>
      </c>
      <c r="W8" s="770">
        <f t="shared" si="2"/>
        <v>0</v>
      </c>
      <c r="X8" s="771"/>
      <c r="Y8" s="3199" t="s">
        <v>2538</v>
      </c>
      <c r="Z8" s="3200"/>
      <c r="AA8" s="772" t="e">
        <f t="shared" ref="AA8:AA46" si="3">D8/F8</f>
        <v>#DIV/0!</v>
      </c>
      <c r="AB8" s="772" t="e">
        <f t="shared" ref="AB8:AB46" si="4">D8/H8</f>
        <v>#DIV/0!</v>
      </c>
      <c r="AC8" s="772"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38" t="s">
        <v>2541</v>
      </c>
      <c r="Q9" s="1793" t="str">
        <f t="shared" ref="Q9:Q15" si="6">B9</f>
        <v>用途</v>
      </c>
      <c r="R9" s="769" t="s">
        <v>17</v>
      </c>
      <c r="S9" s="770">
        <f t="shared" si="0"/>
        <v>100</v>
      </c>
      <c r="T9" s="769" t="s">
        <v>17</v>
      </c>
      <c r="U9" s="770">
        <f t="shared" si="1"/>
        <v>100</v>
      </c>
      <c r="V9" s="769" t="s">
        <v>17</v>
      </c>
      <c r="W9" s="770">
        <f t="shared" si="2"/>
        <v>100</v>
      </c>
      <c r="X9" s="771"/>
      <c r="Y9" s="3076"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38"/>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38"/>
      <c r="Q11" s="1793"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38"/>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38"/>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38"/>
      <c r="Q14" s="1793">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772">
        <f t="shared" si="5"/>
        <v>1</v>
      </c>
    </row>
    <row r="15" spans="1:29" ht="114">
      <c r="A15" s="440" t="s">
        <v>2545</v>
      </c>
      <c r="B15" s="69" t="s">
        <v>2639</v>
      </c>
      <c r="C15" s="2595" t="str">
        <f>估价对象房地状况!C4</f>
        <v>估价对象周边2公里有帝园商城、星城商厦等商业项目，估价对象周边多为住宅配套商业，人流量一般，商业繁华度一般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79" t="s">
        <v>2546</v>
      </c>
      <c r="Q15" s="1808" t="str">
        <f t="shared" si="6"/>
        <v>商业繁华度</v>
      </c>
      <c r="R15" s="773" t="s">
        <v>17</v>
      </c>
      <c r="S15" s="774">
        <f t="shared" si="0"/>
        <v>100</v>
      </c>
      <c r="T15" s="773" t="s">
        <v>17</v>
      </c>
      <c r="U15" s="774">
        <f t="shared" si="1"/>
        <v>100</v>
      </c>
      <c r="V15" s="773" t="s">
        <v>17</v>
      </c>
      <c r="W15" s="774">
        <f t="shared" si="2"/>
        <v>100</v>
      </c>
      <c r="X15" s="1811"/>
      <c r="Y15" s="3229" t="s">
        <v>2546</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80"/>
      <c r="Q16" s="1808"/>
      <c r="R16" s="773"/>
      <c r="S16" s="774"/>
      <c r="T16" s="773"/>
      <c r="U16" s="774"/>
      <c r="V16" s="773"/>
      <c r="W16" s="774"/>
      <c r="X16" s="1811"/>
      <c r="Y16" s="3230"/>
      <c r="Z16" s="1812"/>
      <c r="AA16" s="1809">
        <v>1</v>
      </c>
      <c r="AB16" s="1809">
        <v>1</v>
      </c>
      <c r="AC16" s="1809">
        <v>1</v>
      </c>
    </row>
    <row r="17" spans="1:29" ht="71.25">
      <c r="A17" s="428"/>
      <c r="B17" s="451" t="s">
        <v>2088</v>
      </c>
      <c r="C17" s="2599" t="str">
        <f>估价对象房地状况!C6</f>
        <v>估价对象周边有849、兴23路等公交线路，综合评价交通便捷度一般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8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456"/>
      <c r="C18" s="2600"/>
      <c r="D18" s="450"/>
      <c r="E18" s="2602"/>
      <c r="F18" s="453"/>
      <c r="G18" s="2601"/>
      <c r="H18" s="448"/>
      <c r="I18" s="2602"/>
      <c r="J18" s="448"/>
      <c r="K18" s="615"/>
      <c r="L18" s="1138"/>
      <c r="M18" s="1129"/>
      <c r="N18" s="1129"/>
      <c r="O18" s="1129"/>
      <c r="P18" s="3280"/>
      <c r="Q18" s="1808"/>
      <c r="R18" s="773"/>
      <c r="S18" s="774"/>
      <c r="T18" s="773"/>
      <c r="U18" s="774"/>
      <c r="V18" s="773"/>
      <c r="W18" s="774"/>
      <c r="X18" s="1811"/>
      <c r="Y18" s="3230"/>
      <c r="Z18" s="1812"/>
      <c r="AA18" s="1809">
        <v>1</v>
      </c>
      <c r="AB18" s="1809">
        <v>1</v>
      </c>
      <c r="AC18" s="1809">
        <v>1</v>
      </c>
    </row>
    <row r="19" spans="1:29" ht="42.75">
      <c r="A19" s="428"/>
      <c r="B19" s="451" t="s">
        <v>2640</v>
      </c>
      <c r="C19" s="2599" t="str">
        <f>估价对象房地状况!C7</f>
        <v>估价对象所在区域公共配套设施齐备较齐备</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80"/>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1809">
        <f t="shared" si="5"/>
        <v>1</v>
      </c>
    </row>
    <row r="20" spans="1:29" ht="15">
      <c r="A20" s="428"/>
      <c r="B20" s="456"/>
      <c r="C20" s="447"/>
      <c r="D20" s="448"/>
      <c r="E20" s="2597"/>
      <c r="F20" s="449"/>
      <c r="G20" s="2596"/>
      <c r="H20" s="448"/>
      <c r="I20" s="2597"/>
      <c r="J20" s="448"/>
      <c r="K20" s="615"/>
      <c r="L20" s="1138"/>
      <c r="M20" s="1129"/>
      <c r="N20" s="1129"/>
      <c r="O20" s="1129"/>
      <c r="P20" s="3280"/>
      <c r="Q20" s="1808"/>
      <c r="R20" s="773"/>
      <c r="S20" s="774"/>
      <c r="T20" s="773"/>
      <c r="U20" s="774"/>
      <c r="V20" s="773"/>
      <c r="W20" s="774"/>
      <c r="X20" s="1811"/>
      <c r="Y20" s="3230"/>
      <c r="Z20" s="1812"/>
      <c r="AA20" s="1809">
        <v>1</v>
      </c>
      <c r="AB20" s="1809">
        <v>1</v>
      </c>
      <c r="AC20" s="1809">
        <v>1</v>
      </c>
    </row>
    <row r="21" spans="1:29" ht="28.5">
      <c r="A21" s="428"/>
      <c r="B21" s="1382" t="s">
        <v>2641</v>
      </c>
      <c r="C21" s="2599" t="str">
        <f>估价对象房地状况!C8</f>
        <v>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80"/>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D21/F21</f>
        <v>1</v>
      </c>
      <c r="AB21" s="1809">
        <f>D21/H21</f>
        <v>1</v>
      </c>
      <c r="AC21" s="1809">
        <f>D21/J21</f>
        <v>1</v>
      </c>
    </row>
    <row r="22" spans="1:29" ht="15">
      <c r="A22" s="428"/>
      <c r="B22" s="1382"/>
      <c r="C22" s="2600"/>
      <c r="D22" s="448"/>
      <c r="E22" s="447"/>
      <c r="F22" s="449"/>
      <c r="G22" s="447"/>
      <c r="H22" s="448"/>
      <c r="I22" s="447"/>
      <c r="J22" s="448"/>
      <c r="K22" s="1381"/>
      <c r="L22" s="1138"/>
      <c r="M22" s="1129"/>
      <c r="N22" s="1129"/>
      <c r="O22" s="1129"/>
      <c r="P22" s="3280"/>
      <c r="Q22" s="1808"/>
      <c r="R22" s="773"/>
      <c r="S22" s="774"/>
      <c r="T22" s="773"/>
      <c r="U22" s="774"/>
      <c r="V22" s="773"/>
      <c r="W22" s="774"/>
      <c r="X22" s="1811"/>
      <c r="Y22" s="3230"/>
      <c r="Z22" s="1812"/>
      <c r="AA22" s="1809">
        <v>1</v>
      </c>
      <c r="AB22" s="1809">
        <v>1</v>
      </c>
      <c r="AC22" s="1809">
        <v>1</v>
      </c>
    </row>
    <row r="23" spans="1:29" ht="57">
      <c r="A23" s="428"/>
      <c r="B23" s="451" t="s">
        <v>2091</v>
      </c>
      <c r="C23" s="2654" t="str">
        <f>估价对象房地状况!C9</f>
        <v>周边有北京广播电视大学、康庄公园；综合评价环境状况较好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80"/>
      <c r="Q23" s="1808" t="str">
        <f>B23</f>
        <v>自然及人文环境</v>
      </c>
      <c r="R23" s="773" t="s">
        <v>17</v>
      </c>
      <c r="S23" s="774">
        <f>F23</f>
        <v>100</v>
      </c>
      <c r="T23" s="773" t="s">
        <v>17</v>
      </c>
      <c r="U23" s="774">
        <f>H23</f>
        <v>100</v>
      </c>
      <c r="V23" s="773" t="s">
        <v>17</v>
      </c>
      <c r="W23" s="774">
        <f>J23</f>
        <v>100</v>
      </c>
      <c r="X23" s="1811"/>
      <c r="Y23" s="3230"/>
      <c r="Z23" s="1812" t="str">
        <f>Q23</f>
        <v>自然及人文环境</v>
      </c>
      <c r="AA23" s="1809">
        <f t="shared" si="3"/>
        <v>1</v>
      </c>
      <c r="AB23" s="1809">
        <f t="shared" si="4"/>
        <v>1</v>
      </c>
      <c r="AC23" s="1809">
        <f t="shared" si="5"/>
        <v>1</v>
      </c>
    </row>
    <row r="24" spans="1:29" ht="15">
      <c r="A24" s="428"/>
      <c r="B24" s="456"/>
      <c r="C24" s="447"/>
      <c r="D24" s="448"/>
      <c r="E24" s="2597"/>
      <c r="F24" s="449"/>
      <c r="G24" s="2596"/>
      <c r="H24" s="448"/>
      <c r="I24" s="2597"/>
      <c r="J24" s="448"/>
      <c r="K24" s="615"/>
      <c r="L24" s="1138"/>
      <c r="M24" s="1129"/>
      <c r="N24" s="1129"/>
      <c r="O24" s="1129"/>
      <c r="P24" s="3280"/>
      <c r="Q24" s="1808"/>
      <c r="R24" s="773"/>
      <c r="S24" s="774"/>
      <c r="T24" s="773"/>
      <c r="U24" s="774"/>
      <c r="V24" s="773"/>
      <c r="W24" s="774"/>
      <c r="X24" s="1811"/>
      <c r="Y24" s="3230"/>
      <c r="Z24" s="1812"/>
      <c r="AA24" s="1809">
        <v>1</v>
      </c>
      <c r="AB24" s="1809">
        <v>1</v>
      </c>
      <c r="AC24" s="1809">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80"/>
      <c r="Q25" s="1808" t="str">
        <f t="shared" ref="Q25:Q46" si="8">B25</f>
        <v>临街状况</v>
      </c>
      <c r="R25" s="773" t="s">
        <v>17</v>
      </c>
      <c r="S25" s="774">
        <f>F25</f>
        <v>100</v>
      </c>
      <c r="T25" s="773" t="s">
        <v>17</v>
      </c>
      <c r="U25" s="774">
        <f>H25</f>
        <v>100</v>
      </c>
      <c r="V25" s="773" t="s">
        <v>17</v>
      </c>
      <c r="W25" s="774">
        <f>J25</f>
        <v>100</v>
      </c>
      <c r="X25" s="1811"/>
      <c r="Y25" s="3230"/>
      <c r="Z25" s="1812" t="str">
        <f>Q25</f>
        <v>临街状况</v>
      </c>
      <c r="AA25" s="1809">
        <f t="shared" si="3"/>
        <v>1</v>
      </c>
      <c r="AB25" s="1809">
        <f t="shared" si="4"/>
        <v>1</v>
      </c>
      <c r="AC25" s="1809">
        <f t="shared" si="5"/>
        <v>1</v>
      </c>
    </row>
    <row r="26" spans="1:29" ht="15">
      <c r="A26" s="428"/>
      <c r="B26" s="1384" t="s">
        <v>2643</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80"/>
      <c r="Q26" s="1808" t="str">
        <f t="shared" si="8"/>
        <v>平面位置/可视性</v>
      </c>
      <c r="R26" s="773" t="s">
        <v>17</v>
      </c>
      <c r="S26" s="774">
        <f>F26</f>
        <v>100</v>
      </c>
      <c r="T26" s="773" t="s">
        <v>17</v>
      </c>
      <c r="U26" s="774">
        <f>H26</f>
        <v>100</v>
      </c>
      <c r="V26" s="773" t="s">
        <v>17</v>
      </c>
      <c r="W26" s="774">
        <f>J26</f>
        <v>100</v>
      </c>
      <c r="X26" s="1811"/>
      <c r="Y26" s="3230"/>
      <c r="Z26" s="1812" t="str">
        <f>Q26</f>
        <v>平面位置/可视性</v>
      </c>
      <c r="AA26" s="1809">
        <f t="shared" si="3"/>
        <v>1</v>
      </c>
      <c r="AB26" s="1809">
        <f t="shared" si="4"/>
        <v>1</v>
      </c>
      <c r="AC26" s="1809">
        <f t="shared" si="5"/>
        <v>1</v>
      </c>
    </row>
    <row r="27" spans="1:29" s="117" customFormat="1" ht="15">
      <c r="A27" s="431"/>
      <c r="B27" s="451" t="s">
        <v>2644</v>
      </c>
      <c r="C27" s="2655"/>
      <c r="D27" s="462">
        <v>100</v>
      </c>
      <c r="E27" s="2655"/>
      <c r="F27" s="464">
        <f>SUMIF(90:90,E27,91:91)-SUMIF(90:90,C27,91:91)+100</f>
        <v>100</v>
      </c>
      <c r="G27" s="2655"/>
      <c r="H27" s="462">
        <f>SUMIF(90:90,G27,91:91)-SUMIF(90:90,C27,91:91)+100</f>
        <v>100</v>
      </c>
      <c r="I27" s="2655"/>
      <c r="J27" s="462">
        <f>SUMIF(90:90,I27,91:91)-SUMIF(90:90,C27,91:91)+100</f>
        <v>100</v>
      </c>
      <c r="K27" s="612"/>
      <c r="L27" s="1130"/>
      <c r="M27" s="1131"/>
      <c r="N27" s="1131"/>
      <c r="O27" s="1131"/>
      <c r="P27" s="3280"/>
      <c r="Q27" s="1793" t="str">
        <f t="shared" si="8"/>
        <v>人流量</v>
      </c>
      <c r="R27" s="769" t="s">
        <v>17</v>
      </c>
      <c r="S27" s="770">
        <f>F27</f>
        <v>100</v>
      </c>
      <c r="T27" s="769" t="s">
        <v>17</v>
      </c>
      <c r="U27" s="770">
        <f>H27</f>
        <v>100</v>
      </c>
      <c r="V27" s="769" t="s">
        <v>17</v>
      </c>
      <c r="W27" s="770">
        <f>J27</f>
        <v>100</v>
      </c>
      <c r="X27" s="771"/>
      <c r="Y27" s="3230"/>
      <c r="Z27" s="55" t="str">
        <f>Q27</f>
        <v>人流量</v>
      </c>
      <c r="AA27" s="1809">
        <f>D27/F27</f>
        <v>1</v>
      </c>
      <c r="AB27" s="1809">
        <f>D27/H27</f>
        <v>1</v>
      </c>
      <c r="AC27" s="1809">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80"/>
      <c r="Q28" s="1808" t="str">
        <f t="shared" si="8"/>
        <v>楼层</v>
      </c>
      <c r="R28" s="773" t="s">
        <v>17</v>
      </c>
      <c r="S28" s="774">
        <f t="shared" ref="S28:S46" si="9">F28</f>
        <v>100</v>
      </c>
      <c r="T28" s="773" t="s">
        <v>17</v>
      </c>
      <c r="U28" s="774">
        <f t="shared" ref="U28:U46" si="10">H28</f>
        <v>100</v>
      </c>
      <c r="V28" s="773" t="s">
        <v>17</v>
      </c>
      <c r="W28" s="774">
        <f t="shared" ref="W28:W46" si="11">J28</f>
        <v>100</v>
      </c>
      <c r="X28" s="1811"/>
      <c r="Y28" s="3230"/>
      <c r="Z28" s="1812" t="str">
        <f t="shared" ref="Z28:Z46" si="12">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80"/>
      <c r="Q29" s="1808">
        <f t="shared" si="8"/>
        <v>111</v>
      </c>
      <c r="R29" s="773" t="s">
        <v>17</v>
      </c>
      <c r="S29" s="774">
        <f t="shared" si="9"/>
        <v>100</v>
      </c>
      <c r="T29" s="773" t="s">
        <v>17</v>
      </c>
      <c r="U29" s="774">
        <f t="shared" si="10"/>
        <v>100</v>
      </c>
      <c r="V29" s="773" t="s">
        <v>17</v>
      </c>
      <c r="W29" s="774">
        <f t="shared" si="11"/>
        <v>100</v>
      </c>
      <c r="X29" s="1811"/>
      <c r="Y29" s="3230"/>
      <c r="Z29" s="1812">
        <f t="shared" si="12"/>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80"/>
      <c r="Q30" s="1808">
        <f t="shared" si="8"/>
        <v>111</v>
      </c>
      <c r="R30" s="773" t="s">
        <v>17</v>
      </c>
      <c r="S30" s="774">
        <f t="shared" si="9"/>
        <v>100</v>
      </c>
      <c r="T30" s="773" t="s">
        <v>17</v>
      </c>
      <c r="U30" s="774">
        <f t="shared" si="10"/>
        <v>100</v>
      </c>
      <c r="V30" s="773" t="s">
        <v>17</v>
      </c>
      <c r="W30" s="774">
        <f t="shared" si="11"/>
        <v>100</v>
      </c>
      <c r="X30" s="1811"/>
      <c r="Y30" s="3230"/>
      <c r="Z30" s="1812">
        <f t="shared" si="12"/>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80"/>
      <c r="Q31" s="1808">
        <f t="shared" si="8"/>
        <v>111</v>
      </c>
      <c r="R31" s="773" t="s">
        <v>17</v>
      </c>
      <c r="S31" s="774">
        <f t="shared" si="9"/>
        <v>100</v>
      </c>
      <c r="T31" s="773" t="s">
        <v>17</v>
      </c>
      <c r="U31" s="774">
        <f t="shared" si="10"/>
        <v>100</v>
      </c>
      <c r="V31" s="773" t="s">
        <v>17</v>
      </c>
      <c r="W31" s="774">
        <f t="shared" si="11"/>
        <v>100</v>
      </c>
      <c r="X31" s="1811"/>
      <c r="Y31" s="3230"/>
      <c r="Z31" s="1812">
        <f t="shared" si="12"/>
        <v>111</v>
      </c>
      <c r="AA31" s="1809">
        <f t="shared" si="3"/>
        <v>1</v>
      </c>
      <c r="AB31" s="1809">
        <f t="shared" si="4"/>
        <v>1</v>
      </c>
      <c r="AC31" s="1809">
        <f t="shared" si="5"/>
        <v>1</v>
      </c>
    </row>
    <row r="32" spans="1:29" ht="15">
      <c r="A32" s="440" t="s">
        <v>2549</v>
      </c>
      <c r="B32" s="71" t="s">
        <v>2646</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8"/>
      <c r="M32" s="1129"/>
      <c r="N32" s="1129"/>
      <c r="O32" s="1129"/>
      <c r="P32" s="3275" t="s">
        <v>2551</v>
      </c>
      <c r="Q32" s="1808" t="str">
        <f t="shared" si="8"/>
        <v>商业类型</v>
      </c>
      <c r="R32" s="773" t="s">
        <v>17</v>
      </c>
      <c r="S32" s="774">
        <f t="shared" si="9"/>
        <v>100</v>
      </c>
      <c r="T32" s="773" t="s">
        <v>17</v>
      </c>
      <c r="U32" s="774">
        <f t="shared" si="10"/>
        <v>100</v>
      </c>
      <c r="V32" s="773" t="s">
        <v>17</v>
      </c>
      <c r="W32" s="774">
        <f t="shared" si="11"/>
        <v>100</v>
      </c>
      <c r="X32" s="1811"/>
      <c r="Y32" s="3232" t="s">
        <v>2551</v>
      </c>
      <c r="Z32" s="1812" t="str">
        <f t="shared" si="12"/>
        <v>商业类型</v>
      </c>
      <c r="AA32" s="1809">
        <f t="shared" si="3"/>
        <v>1</v>
      </c>
      <c r="AB32" s="1809">
        <f t="shared" si="4"/>
        <v>1</v>
      </c>
      <c r="AC32" s="1809">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76"/>
      <c r="Q33" s="775" t="str">
        <f t="shared" si="8"/>
        <v>项目建筑规模</v>
      </c>
      <c r="R33" s="776" t="s">
        <v>17</v>
      </c>
      <c r="S33" s="777" t="e">
        <f t="shared" si="9"/>
        <v>#N/A</v>
      </c>
      <c r="T33" s="776" t="s">
        <v>17</v>
      </c>
      <c r="U33" s="777" t="e">
        <f t="shared" si="10"/>
        <v>#N/A</v>
      </c>
      <c r="V33" s="776" t="s">
        <v>17</v>
      </c>
      <c r="W33" s="777" t="e">
        <f t="shared" si="11"/>
        <v>#N/A</v>
      </c>
      <c r="X33" s="778"/>
      <c r="Y33" s="3232"/>
      <c r="Z33" s="779" t="str">
        <f t="shared" si="12"/>
        <v>项目建筑规模</v>
      </c>
      <c r="AA33" s="1809" t="e">
        <f t="shared" si="3"/>
        <v>#N/A</v>
      </c>
      <c r="AB33" s="1809" t="e">
        <f t="shared" si="4"/>
        <v>#N/A</v>
      </c>
      <c r="AC33" s="1809" t="e">
        <f t="shared" si="5"/>
        <v>#N/A</v>
      </c>
    </row>
    <row r="34" spans="1:29" ht="15">
      <c r="A34" s="472"/>
      <c r="B34" s="422" t="s">
        <v>2553</v>
      </c>
      <c r="C34" s="2610"/>
      <c r="D34" s="435">
        <v>100</v>
      </c>
      <c r="E34" s="2610"/>
      <c r="F34" s="461">
        <f>SUMIF(105:105,E34,106:106)-SUMIF(105:105,C34,106:106)+100</f>
        <v>100</v>
      </c>
      <c r="G34" s="2610"/>
      <c r="H34" s="435">
        <f>SUMIF(105:105,G34,106:106)-SUMIF(105:105,C34,106:106)+100</f>
        <v>100</v>
      </c>
      <c r="I34" s="2610"/>
      <c r="J34" s="435">
        <f>SUMIF(105:105,I34,106:106)-SUMIF(105:105,C34,106:106)+100</f>
        <v>100</v>
      </c>
      <c r="K34" s="612"/>
      <c r="L34" s="1138"/>
      <c r="M34" s="1129"/>
      <c r="N34" s="1129"/>
      <c r="O34" s="1129"/>
      <c r="P34" s="3276"/>
      <c r="Q34" s="1808" t="str">
        <f t="shared" si="8"/>
        <v>建筑结构</v>
      </c>
      <c r="R34" s="773" t="s">
        <v>17</v>
      </c>
      <c r="S34" s="774">
        <f t="shared" si="9"/>
        <v>100</v>
      </c>
      <c r="T34" s="773" t="s">
        <v>17</v>
      </c>
      <c r="U34" s="774">
        <f t="shared" si="10"/>
        <v>100</v>
      </c>
      <c r="V34" s="773" t="s">
        <v>17</v>
      </c>
      <c r="W34" s="774">
        <f t="shared" si="11"/>
        <v>100</v>
      </c>
      <c r="X34" s="1811"/>
      <c r="Y34" s="3232"/>
      <c r="Z34" s="1812" t="str">
        <f t="shared" si="12"/>
        <v>建筑结构</v>
      </c>
      <c r="AA34" s="1809">
        <f t="shared" si="3"/>
        <v>1</v>
      </c>
      <c r="AB34" s="1809">
        <f t="shared" si="4"/>
        <v>1</v>
      </c>
      <c r="AC34" s="1809">
        <f t="shared" si="5"/>
        <v>1</v>
      </c>
    </row>
    <row r="35" spans="1:29" ht="15">
      <c r="A35" s="472"/>
      <c r="B35" s="422" t="s">
        <v>2647</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8"/>
      <c r="M35" s="1129"/>
      <c r="N35" s="1129"/>
      <c r="O35" s="1129"/>
      <c r="P35" s="3276"/>
      <c r="Q35" s="1808" t="str">
        <f t="shared" si="8"/>
        <v>公共部分装修</v>
      </c>
      <c r="R35" s="773" t="s">
        <v>17</v>
      </c>
      <c r="S35" s="774">
        <f t="shared" si="9"/>
        <v>100</v>
      </c>
      <c r="T35" s="773" t="s">
        <v>17</v>
      </c>
      <c r="U35" s="774">
        <f t="shared" si="10"/>
        <v>100</v>
      </c>
      <c r="V35" s="773" t="s">
        <v>17</v>
      </c>
      <c r="W35" s="774">
        <f t="shared" si="11"/>
        <v>100</v>
      </c>
      <c r="X35" s="1811"/>
      <c r="Y35" s="3232"/>
      <c r="Z35" s="1812" t="str">
        <f t="shared" si="12"/>
        <v>公共部分装修</v>
      </c>
      <c r="AA35" s="1809">
        <f t="shared" si="3"/>
        <v>1</v>
      </c>
      <c r="AB35" s="1809">
        <f t="shared" si="4"/>
        <v>1</v>
      </c>
      <c r="AC35" s="1809">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76"/>
      <c r="Q36" s="1808" t="str">
        <f t="shared" si="8"/>
        <v>成新度</v>
      </c>
      <c r="R36" s="773" t="s">
        <v>17</v>
      </c>
      <c r="S36" s="774" t="e">
        <f t="shared" si="9"/>
        <v>#N/A</v>
      </c>
      <c r="T36" s="773" t="s">
        <v>17</v>
      </c>
      <c r="U36" s="774" t="e">
        <f t="shared" si="10"/>
        <v>#N/A</v>
      </c>
      <c r="V36" s="773" t="s">
        <v>17</v>
      </c>
      <c r="W36" s="774" t="e">
        <f t="shared" si="11"/>
        <v>#N/A</v>
      </c>
      <c r="X36" s="1811"/>
      <c r="Y36" s="3232"/>
      <c r="Z36" s="1812" t="str">
        <f t="shared" si="12"/>
        <v>成新度</v>
      </c>
      <c r="AA36" s="1809" t="e">
        <f t="shared" si="3"/>
        <v>#N/A</v>
      </c>
      <c r="AB36" s="1809" t="e">
        <f t="shared" si="4"/>
        <v>#N/A</v>
      </c>
      <c r="AC36" s="1809" t="e">
        <f t="shared" si="5"/>
        <v>#N/A</v>
      </c>
    </row>
    <row r="37" spans="1:29" s="117" customFormat="1" ht="15">
      <c r="A37" s="473"/>
      <c r="B37" s="422" t="s">
        <v>2649</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30"/>
      <c r="M37" s="1131"/>
      <c r="N37" s="1131"/>
      <c r="O37" s="1131"/>
      <c r="P37" s="3276"/>
      <c r="Q37" s="1793" t="str">
        <f t="shared" si="8"/>
        <v>市政基础设施</v>
      </c>
      <c r="R37" s="769" t="s">
        <v>17</v>
      </c>
      <c r="S37" s="770">
        <f t="shared" si="9"/>
        <v>100</v>
      </c>
      <c r="T37" s="769" t="s">
        <v>17</v>
      </c>
      <c r="U37" s="770">
        <f t="shared" si="10"/>
        <v>100</v>
      </c>
      <c r="V37" s="769" t="s">
        <v>17</v>
      </c>
      <c r="W37" s="770">
        <f t="shared" si="11"/>
        <v>100</v>
      </c>
      <c r="X37" s="771"/>
      <c r="Y37" s="3232"/>
      <c r="Z37" s="55" t="str">
        <f t="shared" si="12"/>
        <v>市政基础设施</v>
      </c>
      <c r="AA37" s="772">
        <f t="shared" si="3"/>
        <v>1</v>
      </c>
      <c r="AB37" s="772">
        <f t="shared" si="4"/>
        <v>1</v>
      </c>
      <c r="AC37" s="772">
        <f t="shared" si="5"/>
        <v>1</v>
      </c>
    </row>
    <row r="38" spans="1:29" ht="15">
      <c r="A38" s="472"/>
      <c r="B38" s="422" t="s">
        <v>2650</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8"/>
      <c r="M38" s="1129"/>
      <c r="N38" s="1129"/>
      <c r="O38" s="1129"/>
      <c r="P38" s="3276" t="s">
        <v>2551</v>
      </c>
      <c r="Q38" s="1808" t="str">
        <f t="shared" si="8"/>
        <v>业态</v>
      </c>
      <c r="R38" s="773" t="s">
        <v>17</v>
      </c>
      <c r="S38" s="774">
        <f t="shared" si="9"/>
        <v>100</v>
      </c>
      <c r="T38" s="773" t="s">
        <v>17</v>
      </c>
      <c r="U38" s="774">
        <f t="shared" si="10"/>
        <v>100</v>
      </c>
      <c r="V38" s="773" t="s">
        <v>17</v>
      </c>
      <c r="W38" s="774">
        <f t="shared" si="11"/>
        <v>100</v>
      </c>
      <c r="X38" s="1811"/>
      <c r="Y38" s="3232" t="s">
        <v>2551</v>
      </c>
      <c r="Z38" s="1812" t="str">
        <f t="shared" si="12"/>
        <v>业态</v>
      </c>
      <c r="AA38" s="1809">
        <f t="shared" si="3"/>
        <v>1</v>
      </c>
      <c r="AB38" s="1809">
        <f t="shared" si="4"/>
        <v>1</v>
      </c>
      <c r="AC38" s="1809">
        <f t="shared" si="5"/>
        <v>1</v>
      </c>
    </row>
    <row r="39" spans="1:29" ht="15">
      <c r="A39" s="472"/>
      <c r="B39" s="422" t="s">
        <v>2651</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8"/>
      <c r="M39" s="1129"/>
      <c r="N39" s="1129"/>
      <c r="O39" s="1129"/>
      <c r="P39" s="3276"/>
      <c r="Q39" s="1808" t="str">
        <f t="shared" si="8"/>
        <v>层高</v>
      </c>
      <c r="R39" s="773" t="s">
        <v>17</v>
      </c>
      <c r="S39" s="774">
        <f t="shared" si="9"/>
        <v>100</v>
      </c>
      <c r="T39" s="773" t="s">
        <v>17</v>
      </c>
      <c r="U39" s="774">
        <f t="shared" si="10"/>
        <v>100</v>
      </c>
      <c r="V39" s="773" t="s">
        <v>17</v>
      </c>
      <c r="W39" s="774">
        <f t="shared" si="11"/>
        <v>100</v>
      </c>
      <c r="X39" s="1811"/>
      <c r="Y39" s="3232"/>
      <c r="Z39" s="1812" t="str">
        <f t="shared" si="12"/>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76"/>
      <c r="Q40" s="1808" t="str">
        <f t="shared" si="8"/>
        <v>单套建筑面积</v>
      </c>
      <c r="R40" s="773" t="s">
        <v>17</v>
      </c>
      <c r="S40" s="774">
        <f t="shared" si="9"/>
        <v>100</v>
      </c>
      <c r="T40" s="773" t="s">
        <v>17</v>
      </c>
      <c r="U40" s="774">
        <f t="shared" si="10"/>
        <v>100</v>
      </c>
      <c r="V40" s="773" t="s">
        <v>17</v>
      </c>
      <c r="W40" s="774">
        <f t="shared" si="11"/>
        <v>100</v>
      </c>
      <c r="X40" s="1811"/>
      <c r="Y40" s="3232"/>
      <c r="Z40" s="1812" t="str">
        <f t="shared" si="12"/>
        <v>单套建筑面积</v>
      </c>
      <c r="AA40" s="1809">
        <f t="shared" si="3"/>
        <v>1</v>
      </c>
      <c r="AB40" s="1809">
        <f t="shared" si="4"/>
        <v>1</v>
      </c>
      <c r="AC40" s="1809">
        <f t="shared" si="5"/>
        <v>1</v>
      </c>
    </row>
    <row r="41" spans="1:29" s="471" customFormat="1" ht="15">
      <c r="A41" s="468"/>
      <c r="B41" s="1810"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76"/>
      <c r="Q41" s="775" t="str">
        <f t="shared" si="8"/>
        <v>进深比</v>
      </c>
      <c r="R41" s="776" t="s">
        <v>17</v>
      </c>
      <c r="S41" s="777">
        <f t="shared" si="9"/>
        <v>100</v>
      </c>
      <c r="T41" s="776" t="s">
        <v>17</v>
      </c>
      <c r="U41" s="777">
        <f t="shared" si="10"/>
        <v>100</v>
      </c>
      <c r="V41" s="776" t="s">
        <v>17</v>
      </c>
      <c r="W41" s="777">
        <f t="shared" si="11"/>
        <v>100</v>
      </c>
      <c r="X41" s="778"/>
      <c r="Y41" s="3232"/>
      <c r="Z41" s="779" t="str">
        <f t="shared" si="12"/>
        <v>进深比</v>
      </c>
      <c r="AA41" s="1809">
        <f t="shared" si="3"/>
        <v>1</v>
      </c>
      <c r="AB41" s="1809">
        <f t="shared" si="4"/>
        <v>1</v>
      </c>
      <c r="AC41" s="1809">
        <f t="shared" si="5"/>
        <v>1</v>
      </c>
    </row>
    <row r="42" spans="1:29" ht="15">
      <c r="A42" s="472"/>
      <c r="B42" s="422" t="s">
        <v>2654</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8"/>
      <c r="M42" s="1129"/>
      <c r="N42" s="1129"/>
      <c r="O42" s="1129"/>
      <c r="P42" s="3276"/>
      <c r="Q42" s="1808" t="str">
        <f t="shared" si="8"/>
        <v>内部装修</v>
      </c>
      <c r="R42" s="773" t="s">
        <v>17</v>
      </c>
      <c r="S42" s="774">
        <f t="shared" si="9"/>
        <v>100</v>
      </c>
      <c r="T42" s="773" t="s">
        <v>17</v>
      </c>
      <c r="U42" s="774">
        <f t="shared" si="10"/>
        <v>100</v>
      </c>
      <c r="V42" s="773" t="s">
        <v>17</v>
      </c>
      <c r="W42" s="774">
        <f t="shared" si="11"/>
        <v>100</v>
      </c>
      <c r="X42" s="1811"/>
      <c r="Y42" s="3232"/>
      <c r="Z42" s="1812" t="str">
        <f t="shared" si="12"/>
        <v>内部装修</v>
      </c>
      <c r="AA42" s="1809">
        <f t="shared" si="3"/>
        <v>1</v>
      </c>
      <c r="AB42" s="1809">
        <f t="shared" si="4"/>
        <v>1</v>
      </c>
      <c r="AC42" s="1809">
        <f t="shared" si="5"/>
        <v>1</v>
      </c>
    </row>
    <row r="43" spans="1:29" ht="15">
      <c r="A43" s="472"/>
      <c r="B43" s="422" t="s">
        <v>2562</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8"/>
      <c r="M43" s="1129"/>
      <c r="N43" s="1129"/>
      <c r="O43" s="1129"/>
      <c r="P43" s="3276"/>
      <c r="Q43" s="1808" t="str">
        <f t="shared" si="8"/>
        <v>内部装修维护情况</v>
      </c>
      <c r="R43" s="773" t="s">
        <v>17</v>
      </c>
      <c r="S43" s="774">
        <f t="shared" si="9"/>
        <v>100</v>
      </c>
      <c r="T43" s="773" t="s">
        <v>17</v>
      </c>
      <c r="U43" s="774">
        <f t="shared" si="10"/>
        <v>100</v>
      </c>
      <c r="V43" s="773" t="s">
        <v>17</v>
      </c>
      <c r="W43" s="774">
        <f t="shared" si="11"/>
        <v>100</v>
      </c>
      <c r="X43" s="1811"/>
      <c r="Y43" s="3232"/>
      <c r="Z43" s="1812" t="str">
        <f t="shared" si="12"/>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76"/>
      <c r="Q44" s="1793">
        <f t="shared" si="8"/>
        <v>111</v>
      </c>
      <c r="R44" s="769" t="s">
        <v>17</v>
      </c>
      <c r="S44" s="770">
        <f t="shared" si="9"/>
        <v>100</v>
      </c>
      <c r="T44" s="769" t="s">
        <v>17</v>
      </c>
      <c r="U44" s="770">
        <f t="shared" si="10"/>
        <v>100</v>
      </c>
      <c r="V44" s="769" t="s">
        <v>17</v>
      </c>
      <c r="W44" s="770">
        <f t="shared" si="11"/>
        <v>100</v>
      </c>
      <c r="X44" s="771"/>
      <c r="Y44" s="3232"/>
      <c r="Z44" s="55">
        <f t="shared" si="12"/>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76"/>
      <c r="Q45" s="1808">
        <f t="shared" si="8"/>
        <v>111</v>
      </c>
      <c r="R45" s="773" t="s">
        <v>17</v>
      </c>
      <c r="S45" s="774">
        <f t="shared" si="9"/>
        <v>100</v>
      </c>
      <c r="T45" s="773" t="s">
        <v>17</v>
      </c>
      <c r="U45" s="774">
        <f t="shared" si="10"/>
        <v>100</v>
      </c>
      <c r="V45" s="773" t="s">
        <v>17</v>
      </c>
      <c r="W45" s="774">
        <f t="shared" si="11"/>
        <v>100</v>
      </c>
      <c r="X45" s="1811"/>
      <c r="Y45" s="3232"/>
      <c r="Z45" s="1812">
        <f t="shared" si="12"/>
        <v>111</v>
      </c>
      <c r="AA45" s="1809">
        <f t="shared" si="3"/>
        <v>1</v>
      </c>
      <c r="AB45" s="1809">
        <f t="shared" si="4"/>
        <v>1</v>
      </c>
      <c r="AC45" s="1809">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77"/>
      <c r="Q46" s="1808">
        <f t="shared" si="8"/>
        <v>111</v>
      </c>
      <c r="R46" s="773" t="s">
        <v>17</v>
      </c>
      <c r="S46" s="774">
        <f t="shared" si="9"/>
        <v>100</v>
      </c>
      <c r="T46" s="773" t="s">
        <v>17</v>
      </c>
      <c r="U46" s="774">
        <f t="shared" si="10"/>
        <v>100</v>
      </c>
      <c r="V46" s="773" t="s">
        <v>17</v>
      </c>
      <c r="W46" s="774">
        <f t="shared" si="11"/>
        <v>100</v>
      </c>
      <c r="X46" s="1811"/>
      <c r="Y46" s="3278"/>
      <c r="Z46" s="1812">
        <f t="shared" si="12"/>
        <v>111</v>
      </c>
      <c r="AA46" s="1809">
        <f t="shared" si="3"/>
        <v>1</v>
      </c>
      <c r="AB46" s="1809">
        <f t="shared" si="4"/>
        <v>1</v>
      </c>
      <c r="AC46" s="1809">
        <f t="shared" si="5"/>
        <v>1</v>
      </c>
    </row>
    <row r="47" spans="1:29" ht="15">
      <c r="A47" s="479" t="s">
        <v>2563</v>
      </c>
      <c r="B47" s="480"/>
      <c r="C47" s="1405" t="s">
        <v>1</v>
      </c>
      <c r="D47" s="1406"/>
      <c r="E47" s="1407"/>
      <c r="F47" s="1408"/>
      <c r="G47" s="1409"/>
      <c r="H47" s="1410"/>
      <c r="I47" s="1407"/>
      <c r="J47" s="1410"/>
      <c r="K47" s="782"/>
      <c r="L47" s="1141"/>
      <c r="M47" s="1142"/>
      <c r="N47" s="1129"/>
      <c r="O47" s="1142"/>
      <c r="P47" s="3214" t="str">
        <f>A47</f>
        <v>成交单价（元/平方米）</v>
      </c>
      <c r="Q47" s="3214"/>
      <c r="R47" s="3227">
        <f>E47</f>
        <v>0</v>
      </c>
      <c r="S47" s="3227"/>
      <c r="T47" s="3227">
        <f>G47</f>
        <v>0</v>
      </c>
      <c r="U47" s="3227"/>
      <c r="V47" s="3227">
        <f>I47</f>
        <v>0</v>
      </c>
      <c r="W47" s="3227"/>
      <c r="X47" s="758"/>
      <c r="Y47" s="780"/>
      <c r="Z47" s="758"/>
      <c r="AA47" s="758"/>
      <c r="AB47" s="758"/>
      <c r="AC47" s="758"/>
    </row>
    <row r="48" spans="1:29" ht="15.75" thickBot="1">
      <c r="A48" s="486" t="s">
        <v>2655</v>
      </c>
      <c r="B48" s="487"/>
      <c r="C48" s="1411" t="e">
        <f>R49</f>
        <v>#DIV/0!</v>
      </c>
      <c r="D48" s="1412"/>
      <c r="E48" s="1413" t="e">
        <f>R48</f>
        <v>#DIV/0!</v>
      </c>
      <c r="F48" s="1413"/>
      <c r="G48" s="1411" t="e">
        <f>T48</f>
        <v>#DIV/0!</v>
      </c>
      <c r="H48" s="1412"/>
      <c r="I48" s="1413" t="e">
        <f>V48</f>
        <v>#DIV/0!</v>
      </c>
      <c r="J48" s="1412"/>
      <c r="K48" s="783"/>
      <c r="L48" s="1141"/>
      <c r="M48" s="1142"/>
      <c r="N48" s="1129"/>
      <c r="O48" s="1142"/>
      <c r="P48" s="3214" t="str">
        <f>A48</f>
        <v>比较价值（元/平方米）</v>
      </c>
      <c r="Q48" s="3214"/>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8"/>
      <c r="Y48" s="758"/>
      <c r="Z48" s="758"/>
      <c r="AA48" s="758"/>
      <c r="AB48" s="758"/>
      <c r="AC48" s="758"/>
    </row>
    <row r="49" spans="1:29" ht="15.75" thickBot="1">
      <c r="A49" s="492" t="s">
        <v>2656</v>
      </c>
      <c r="B49" s="493"/>
      <c r="C49" s="1415" t="e">
        <f>R49</f>
        <v>#DIV/0!</v>
      </c>
      <c r="D49" s="1415"/>
      <c r="E49" s="1415"/>
      <c r="F49" s="1415"/>
      <c r="G49" s="1415"/>
      <c r="H49" s="1415"/>
      <c r="I49" s="1415"/>
      <c r="J49" s="1415"/>
      <c r="K49" s="784"/>
      <c r="L49" s="1141"/>
      <c r="M49" s="1142"/>
      <c r="N49" s="1129"/>
      <c r="O49" s="1142"/>
      <c r="P49" s="3234" t="str">
        <f>A49</f>
        <v>估价对象XX用房的比较价值（楼面单价，元/平方米）</v>
      </c>
      <c r="Q49" s="3235"/>
      <c r="R49" s="3273" t="e">
        <f>IF(F1="售价",ROUND(AVERAGE(R48:V48),0),ROUND(AVERAGE(R48:V48),1))</f>
        <v>#DIV/0!</v>
      </c>
      <c r="S49" s="3273"/>
      <c r="T49" s="3273"/>
      <c r="U49" s="3273"/>
      <c r="V49" s="3273"/>
      <c r="W49" s="3273"/>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2" customFormat="1" ht="13.5" customHeight="1">
      <c r="A54" s="1143"/>
      <c r="B54" s="1143"/>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56"/>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56"/>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59"/>
      <c r="M57" s="1157"/>
      <c r="N57" s="1157"/>
      <c r="O57" s="1157"/>
      <c r="P57" s="2657"/>
      <c r="Q57" s="2658"/>
      <c r="R57" s="758"/>
      <c r="S57" s="758"/>
      <c r="T57" s="758"/>
      <c r="U57" s="758"/>
      <c r="V57" s="758"/>
      <c r="W57" s="758"/>
      <c r="X57" s="758"/>
      <c r="Y57" s="758"/>
      <c r="Z57" s="758"/>
      <c r="AA57" s="758"/>
      <c r="AB57" s="758"/>
      <c r="AC57" s="758"/>
    </row>
    <row r="58" spans="1:29" s="508" customFormat="1" ht="15">
      <c r="A58" s="505" t="s">
        <v>2534</v>
      </c>
      <c r="B58" s="506"/>
      <c r="C58" s="1572" t="str">
        <f>YEAR(C7)&amp;"-"&amp;MONTH(C7)</f>
        <v>2018-3</v>
      </c>
      <c r="D58" s="1573">
        <f>EDATE(C58,-1)</f>
        <v>43132</v>
      </c>
      <c r="E58" s="1573">
        <f t="shared" ref="E58:N58" si="13">EDATE(D58,-1)</f>
        <v>43101</v>
      </c>
      <c r="F58" s="1573">
        <f t="shared" si="13"/>
        <v>43070</v>
      </c>
      <c r="G58" s="1573">
        <f t="shared" si="13"/>
        <v>43040</v>
      </c>
      <c r="H58" s="1573">
        <f t="shared" si="13"/>
        <v>43009</v>
      </c>
      <c r="I58" s="1573">
        <f t="shared" si="13"/>
        <v>42979</v>
      </c>
      <c r="J58" s="1573">
        <f t="shared" si="13"/>
        <v>42948</v>
      </c>
      <c r="K58" s="1573">
        <f t="shared" si="13"/>
        <v>42917</v>
      </c>
      <c r="L58" s="1573">
        <f t="shared" si="13"/>
        <v>42887</v>
      </c>
      <c r="M58" s="1573">
        <f t="shared" si="13"/>
        <v>42856</v>
      </c>
      <c r="N58" s="1573">
        <f t="shared" si="13"/>
        <v>42826</v>
      </c>
      <c r="O58" s="1573">
        <f>EDATE(N58,-1)</f>
        <v>42795</v>
      </c>
      <c r="P58" s="1568"/>
    </row>
    <row r="59" spans="1:29" s="117" customFormat="1" ht="15">
      <c r="A59" s="509"/>
      <c r="B59" s="510"/>
      <c r="C59" s="1571">
        <v>100</v>
      </c>
      <c r="D59" s="512"/>
      <c r="E59" s="512"/>
      <c r="F59" s="512"/>
      <c r="G59" s="512"/>
      <c r="H59" s="512"/>
      <c r="I59" s="512"/>
      <c r="J59" s="512"/>
      <c r="K59" s="512"/>
      <c r="L59" s="512"/>
      <c r="M59" s="513"/>
      <c r="N59" s="512"/>
      <c r="O59" s="513"/>
      <c r="P59" s="2618"/>
    </row>
    <row r="60" spans="1:29" s="117" customFormat="1" ht="15.75" thickBot="1">
      <c r="A60" s="515" t="s">
        <v>2571</v>
      </c>
      <c r="B60" s="516"/>
      <c r="C60" s="517"/>
      <c r="D60" s="518"/>
      <c r="E60" s="518"/>
      <c r="F60" s="518"/>
      <c r="G60" s="518"/>
      <c r="H60" s="518"/>
      <c r="I60" s="518"/>
      <c r="J60" s="518"/>
      <c r="K60" s="518"/>
      <c r="L60" s="518"/>
      <c r="M60" s="519"/>
      <c r="N60" s="518"/>
      <c r="O60" s="519"/>
      <c r="P60" s="2618"/>
      <c r="Q60" s="504"/>
    </row>
    <row r="61" spans="1:29" s="117" customFormat="1" ht="15">
      <c r="A61" s="521" t="s">
        <v>2536</v>
      </c>
      <c r="B61" s="510"/>
      <c r="C61" s="522" t="s">
        <v>2638</v>
      </c>
      <c r="D61" s="523"/>
      <c r="E61" s="523"/>
      <c r="F61" s="523"/>
      <c r="G61" s="523"/>
      <c r="H61" s="523"/>
      <c r="I61" s="523"/>
      <c r="J61" s="523"/>
      <c r="K61" s="523"/>
      <c r="L61" s="524"/>
      <c r="M61" s="525"/>
      <c r="N61" s="1149"/>
      <c r="O61" s="1149"/>
      <c r="P61" s="2619"/>
      <c r="Q61" s="504"/>
    </row>
    <row r="62" spans="1:29" s="117" customFormat="1" ht="15.75" thickBot="1">
      <c r="A62" s="521"/>
      <c r="B62" s="510"/>
      <c r="C62" s="511">
        <v>100</v>
      </c>
      <c r="D62" s="512"/>
      <c r="E62" s="512"/>
      <c r="F62" s="512"/>
      <c r="G62" s="512"/>
      <c r="H62" s="512"/>
      <c r="I62" s="512"/>
      <c r="J62" s="512"/>
      <c r="K62" s="512"/>
      <c r="L62" s="512"/>
      <c r="M62" s="514"/>
      <c r="N62" s="1149"/>
      <c r="O62" s="1149"/>
      <c r="P62" s="2618"/>
      <c r="Q62" s="504"/>
    </row>
    <row r="63" spans="1:29">
      <c r="A63" s="527" t="s">
        <v>2574</v>
      </c>
      <c r="B63" s="528" t="s">
        <v>2540</v>
      </c>
      <c r="C63" s="529">
        <f>C9</f>
        <v>0</v>
      </c>
      <c r="D63" s="530"/>
      <c r="E63" s="530"/>
      <c r="F63" s="530"/>
      <c r="G63" s="530"/>
      <c r="H63" s="530"/>
      <c r="I63" s="530"/>
      <c r="J63" s="530"/>
      <c r="K63" s="531"/>
      <c r="L63" s="532"/>
      <c r="M63" s="533"/>
      <c r="N63" s="1150"/>
      <c r="O63" s="1150"/>
      <c r="P63" s="2620"/>
      <c r="Q63" s="504"/>
    </row>
    <row r="64" spans="1:29" ht="15.75" thickBot="1">
      <c r="A64" s="534"/>
      <c r="B64" s="535"/>
      <c r="C64" s="536">
        <v>100</v>
      </c>
      <c r="D64" s="536"/>
      <c r="E64" s="536"/>
      <c r="F64" s="536"/>
      <c r="G64" s="536"/>
      <c r="H64" s="536"/>
      <c r="I64" s="536"/>
      <c r="J64" s="536"/>
      <c r="K64" s="536"/>
      <c r="L64" s="536"/>
      <c r="M64" s="537"/>
      <c r="N64" s="1151"/>
      <c r="O64" s="1151"/>
      <c r="P64" s="262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0"/>
      <c r="O65" s="1150"/>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0"/>
      <c r="Q66" s="504"/>
    </row>
    <row r="67" spans="1:17" ht="15.75" thickTop="1">
      <c r="A67" s="534"/>
      <c r="B67" s="546" t="s">
        <v>2544</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1"/>
      <c r="O67" s="1151"/>
      <c r="P67" s="2620"/>
      <c r="Q67" s="504"/>
    </row>
    <row r="68" spans="1:17" ht="15">
      <c r="A68" s="534"/>
      <c r="B68" s="548"/>
      <c r="C68" s="549"/>
      <c r="D68" s="549"/>
      <c r="E68" s="549"/>
      <c r="F68" s="549"/>
      <c r="G68" s="549"/>
      <c r="H68" s="549"/>
      <c r="I68" s="549"/>
      <c r="J68" s="549"/>
      <c r="K68" s="550"/>
      <c r="L68" s="551"/>
      <c r="M68" s="552"/>
      <c r="N68" s="1150"/>
      <c r="O68" s="1150"/>
      <c r="P68" s="262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1"/>
      <c r="O69" s="1151"/>
      <c r="P69" s="2620"/>
      <c r="Q69" s="504"/>
    </row>
    <row r="70" spans="1:17" s="471" customFormat="1" ht="15.75" thickTop="1">
      <c r="A70" s="553"/>
      <c r="B70" s="538">
        <f>B12</f>
        <v>111</v>
      </c>
      <c r="C70" s="554"/>
      <c r="D70" s="554"/>
      <c r="E70" s="554"/>
      <c r="F70" s="554"/>
      <c r="G70" s="554"/>
      <c r="H70" s="555"/>
      <c r="I70" s="555"/>
      <c r="J70" s="555"/>
      <c r="K70" s="555"/>
      <c r="L70" s="556"/>
      <c r="M70" s="557"/>
      <c r="N70" s="1152"/>
      <c r="O70" s="1152"/>
      <c r="P70" s="2621"/>
      <c r="Q70" s="559"/>
    </row>
    <row r="71" spans="1:17" s="471" customFormat="1" ht="15.75" thickBot="1">
      <c r="A71" s="553"/>
      <c r="B71" s="543"/>
      <c r="C71" s="560"/>
      <c r="D71" s="536"/>
      <c r="E71" s="536"/>
      <c r="F71" s="536"/>
      <c r="G71" s="536"/>
      <c r="H71" s="536"/>
      <c r="I71" s="536"/>
      <c r="J71" s="536"/>
      <c r="K71" s="536"/>
      <c r="L71" s="536"/>
      <c r="M71" s="537"/>
      <c r="N71" s="1151"/>
      <c r="O71" s="1151"/>
      <c r="P71" s="2621"/>
      <c r="Q71" s="559"/>
    </row>
    <row r="72" spans="1:17" s="471" customFormat="1" ht="15.75" thickTop="1">
      <c r="A72" s="553"/>
      <c r="B72" s="538">
        <f>B13</f>
        <v>111</v>
      </c>
      <c r="C72" s="554"/>
      <c r="D72" s="554"/>
      <c r="E72" s="554"/>
      <c r="F72" s="554"/>
      <c r="G72" s="554"/>
      <c r="H72" s="555"/>
      <c r="I72" s="555"/>
      <c r="J72" s="555"/>
      <c r="K72" s="555"/>
      <c r="L72" s="556"/>
      <c r="M72" s="557"/>
      <c r="N72" s="1152"/>
      <c r="O72" s="1152"/>
      <c r="P72" s="2622"/>
      <c r="Q72" s="561"/>
    </row>
    <row r="73" spans="1:17" s="471" customFormat="1" ht="15.75" thickBot="1">
      <c r="A73" s="553"/>
      <c r="B73" s="543"/>
      <c r="C73" s="560"/>
      <c r="D73" s="536"/>
      <c r="E73" s="536"/>
      <c r="F73" s="536"/>
      <c r="G73" s="560"/>
      <c r="H73" s="562"/>
      <c r="I73" s="562"/>
      <c r="J73" s="562"/>
      <c r="K73" s="562"/>
      <c r="L73" s="562"/>
      <c r="M73" s="563"/>
      <c r="N73" s="1152"/>
      <c r="O73" s="1152"/>
      <c r="P73" s="2621"/>
      <c r="Q73" s="559"/>
    </row>
    <row r="74" spans="1:17" s="471" customFormat="1" ht="15.75" thickTop="1">
      <c r="A74" s="553"/>
      <c r="B74" s="546">
        <f>B14</f>
        <v>111</v>
      </c>
      <c r="C74" s="554"/>
      <c r="D74" s="554"/>
      <c r="E74" s="554"/>
      <c r="F74" s="554"/>
      <c r="G74" s="523"/>
      <c r="H74" s="564"/>
      <c r="I74" s="564"/>
      <c r="J74" s="564"/>
      <c r="K74" s="564"/>
      <c r="L74" s="565"/>
      <c r="M74" s="566"/>
      <c r="N74" s="1152"/>
      <c r="O74" s="1152"/>
      <c r="P74" s="2623"/>
      <c r="Q74" s="559"/>
    </row>
    <row r="75" spans="1:17" s="471" customFormat="1" ht="15.75" thickBot="1">
      <c r="A75" s="568"/>
      <c r="B75" s="569"/>
      <c r="C75" s="570"/>
      <c r="D75" s="570"/>
      <c r="E75" s="570"/>
      <c r="F75" s="570"/>
      <c r="G75" s="570"/>
      <c r="H75" s="571"/>
      <c r="I75" s="571"/>
      <c r="J75" s="571"/>
      <c r="K75" s="571"/>
      <c r="L75" s="571"/>
      <c r="M75" s="572"/>
      <c r="N75" s="1152"/>
      <c r="O75" s="1152"/>
      <c r="P75" s="262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0"/>
      <c r="O76" s="1150"/>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0"/>
      <c r="O78" s="1150"/>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0"/>
      <c r="O80" s="1150"/>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0"/>
      <c r="Q81" s="504"/>
    </row>
    <row r="82" spans="1:17" ht="15.75" thickTop="1">
      <c r="A82" s="534"/>
      <c r="B82" s="546" t="s">
        <v>2641</v>
      </c>
      <c r="C82" s="659" t="s">
        <v>2661</v>
      </c>
      <c r="D82" s="659" t="s">
        <v>2662</v>
      </c>
      <c r="E82" s="659" t="s">
        <v>2663</v>
      </c>
      <c r="F82" s="659" t="s">
        <v>2664</v>
      </c>
      <c r="G82" s="659" t="s">
        <v>2665</v>
      </c>
      <c r="H82" s="539"/>
      <c r="I82" s="539"/>
      <c r="J82" s="539"/>
      <c r="K82" s="539"/>
      <c r="L82" s="539"/>
      <c r="M82" s="1380"/>
      <c r="N82" s="1151"/>
      <c r="O82" s="1151"/>
      <c r="P82" s="2620"/>
      <c r="Q82" s="504"/>
    </row>
    <row r="83" spans="1:17" ht="15.75" thickBot="1">
      <c r="A83" s="534"/>
      <c r="B83" s="546"/>
      <c r="C83" s="544">
        <v>100</v>
      </c>
      <c r="D83" s="544">
        <f>C83-$K21</f>
        <v>100</v>
      </c>
      <c r="E83" s="544">
        <f>D83-$K21</f>
        <v>100</v>
      </c>
      <c r="F83" s="544">
        <f>E83-$K21</f>
        <v>100</v>
      </c>
      <c r="G83" s="544">
        <f>F83-$K21</f>
        <v>100</v>
      </c>
      <c r="H83" s="659"/>
      <c r="I83" s="659"/>
      <c r="J83" s="659"/>
      <c r="K83" s="659"/>
      <c r="L83" s="659"/>
      <c r="M83" s="450"/>
      <c r="N83" s="1151"/>
      <c r="O83" s="1151"/>
      <c r="P83" s="262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0"/>
      <c r="O84" s="1150"/>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0"/>
      <c r="Q85" s="504"/>
    </row>
    <row r="86" spans="1:17" s="117" customFormat="1" ht="15.75" thickTop="1">
      <c r="A86" s="579"/>
      <c r="B86" s="538" t="s">
        <v>2666</v>
      </c>
      <c r="C86" s="554"/>
      <c r="D86" s="554"/>
      <c r="E86" s="554"/>
      <c r="F86" s="554"/>
      <c r="G86" s="554"/>
      <c r="H86" s="554"/>
      <c r="I86" s="554"/>
      <c r="J86" s="554"/>
      <c r="K86" s="554"/>
      <c r="L86" s="580"/>
      <c r="M86" s="581"/>
      <c r="N86" s="1149"/>
      <c r="O86" s="1149"/>
      <c r="P86" s="262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1"/>
      <c r="O87" s="1151"/>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49"/>
      <c r="O88" s="1149"/>
      <c r="P88" s="2620"/>
      <c r="Q88" s="504"/>
    </row>
    <row r="89" spans="1:17" s="117" customFormat="1" ht="15.75" thickBot="1">
      <c r="A89" s="579"/>
      <c r="B89" s="543"/>
      <c r="C89" s="560"/>
      <c r="D89" s="536"/>
      <c r="E89" s="536"/>
      <c r="F89" s="536"/>
      <c r="G89" s="536"/>
      <c r="H89" s="536"/>
      <c r="I89" s="536"/>
      <c r="J89" s="536"/>
      <c r="K89" s="536"/>
      <c r="L89" s="536"/>
      <c r="M89" s="536"/>
      <c r="N89" s="1151"/>
      <c r="O89" s="1151"/>
      <c r="P89" s="262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2"/>
      <c r="O91" s="1152"/>
      <c r="P91" s="2621"/>
      <c r="Q91" s="559"/>
    </row>
    <row r="92" spans="1:17" ht="15.75" thickTop="1">
      <c r="A92" s="534"/>
      <c r="B92" s="538" t="str">
        <f>B28</f>
        <v>楼层</v>
      </c>
      <c r="C92" s="554"/>
      <c r="D92" s="554"/>
      <c r="E92" s="554"/>
      <c r="F92" s="554"/>
      <c r="G92" s="554"/>
      <c r="H92" s="554"/>
      <c r="I92" s="554"/>
      <c r="J92" s="554"/>
      <c r="K92" s="554"/>
      <c r="L92" s="580"/>
      <c r="M92" s="581"/>
      <c r="N92" s="1150"/>
      <c r="O92" s="1150"/>
      <c r="P92" s="2620"/>
      <c r="Q92" s="504"/>
    </row>
    <row r="93" spans="1:17" ht="15.75" thickBot="1">
      <c r="A93" s="534"/>
      <c r="B93" s="543"/>
      <c r="C93" s="536"/>
      <c r="D93" s="536"/>
      <c r="E93" s="536"/>
      <c r="F93" s="536"/>
      <c r="G93" s="536"/>
      <c r="H93" s="536"/>
      <c r="I93" s="536"/>
      <c r="J93" s="536"/>
      <c r="K93" s="536"/>
      <c r="L93" s="536"/>
      <c r="M93" s="537"/>
      <c r="N93" s="1151"/>
      <c r="O93" s="1151"/>
      <c r="P93" s="2620"/>
      <c r="Q93" s="504"/>
    </row>
    <row r="94" spans="1:17" ht="15.75" thickTop="1">
      <c r="A94" s="534"/>
      <c r="B94" s="538">
        <f>B29</f>
        <v>111</v>
      </c>
      <c r="C94" s="554"/>
      <c r="D94" s="554"/>
      <c r="E94" s="554"/>
      <c r="F94" s="554"/>
      <c r="G94" s="583"/>
      <c r="H94" s="583"/>
      <c r="I94" s="583"/>
      <c r="J94" s="583"/>
      <c r="K94" s="584"/>
      <c r="L94" s="585"/>
      <c r="M94" s="586"/>
      <c r="N94" s="1150"/>
      <c r="O94" s="1150"/>
      <c r="P94" s="2620"/>
      <c r="Q94" s="504"/>
    </row>
    <row r="95" spans="1:17" ht="15.75" thickBot="1">
      <c r="A95" s="534"/>
      <c r="B95" s="543"/>
      <c r="C95" s="560"/>
      <c r="D95" s="536"/>
      <c r="E95" s="536"/>
      <c r="F95" s="536"/>
      <c r="G95" s="536"/>
      <c r="H95" s="536"/>
      <c r="I95" s="536"/>
      <c r="J95" s="536"/>
      <c r="K95" s="536"/>
      <c r="L95" s="536"/>
      <c r="M95" s="537"/>
      <c r="N95" s="1151"/>
      <c r="O95" s="1151"/>
      <c r="P95" s="2620"/>
      <c r="Q95" s="504"/>
    </row>
    <row r="96" spans="1:17" ht="15.75" thickTop="1">
      <c r="A96" s="534"/>
      <c r="B96" s="538">
        <f>B30</f>
        <v>111</v>
      </c>
      <c r="C96" s="554"/>
      <c r="D96" s="554"/>
      <c r="E96" s="554"/>
      <c r="F96" s="554"/>
      <c r="G96" s="583"/>
      <c r="H96" s="583"/>
      <c r="I96" s="583"/>
      <c r="J96" s="583"/>
      <c r="K96" s="584"/>
      <c r="L96" s="585"/>
      <c r="M96" s="586"/>
      <c r="N96" s="1150"/>
      <c r="O96" s="1150"/>
      <c r="P96" s="2620"/>
      <c r="Q96" s="504"/>
    </row>
    <row r="97" spans="1:17" ht="15.75" thickBot="1">
      <c r="A97" s="534"/>
      <c r="B97" s="543"/>
      <c r="C97" s="560"/>
      <c r="D97" s="536"/>
      <c r="E97" s="536"/>
      <c r="F97" s="536"/>
      <c r="G97" s="536"/>
      <c r="H97" s="536"/>
      <c r="I97" s="536"/>
      <c r="J97" s="536"/>
      <c r="K97" s="536"/>
      <c r="L97" s="536"/>
      <c r="M97" s="537"/>
      <c r="N97" s="1151"/>
      <c r="O97" s="1151"/>
      <c r="P97" s="2620"/>
      <c r="Q97" s="504"/>
    </row>
    <row r="98" spans="1:17" ht="15.75" thickTop="1">
      <c r="A98" s="534"/>
      <c r="B98" s="546">
        <f>B31</f>
        <v>111</v>
      </c>
      <c r="C98" s="554"/>
      <c r="D98" s="554"/>
      <c r="E98" s="554"/>
      <c r="F98" s="554"/>
      <c r="G98" s="587"/>
      <c r="H98" s="587"/>
      <c r="I98" s="587"/>
      <c r="J98" s="587"/>
      <c r="K98" s="588"/>
      <c r="L98" s="589"/>
      <c r="M98" s="590"/>
      <c r="N98" s="1150"/>
      <c r="O98" s="1150"/>
      <c r="P98" s="2620"/>
      <c r="Q98" s="504"/>
    </row>
    <row r="99" spans="1:17" ht="15.75" thickBot="1">
      <c r="A99" s="2626"/>
      <c r="B99" s="569"/>
      <c r="C99" s="570"/>
      <c r="D99" s="570"/>
      <c r="E99" s="570"/>
      <c r="F99" s="570"/>
      <c r="G99" s="591"/>
      <c r="H99" s="591"/>
      <c r="I99" s="591"/>
      <c r="J99" s="591"/>
      <c r="K99" s="591"/>
      <c r="L99" s="591"/>
      <c r="M99" s="592"/>
      <c r="N99" s="1151"/>
      <c r="O99" s="1151"/>
      <c r="P99" s="2620"/>
      <c r="Q99" s="504"/>
    </row>
    <row r="100" spans="1:17">
      <c r="A100" s="527" t="s">
        <v>2549</v>
      </c>
      <c r="B100" s="528" t="s">
        <v>2667</v>
      </c>
      <c r="C100" s="530"/>
      <c r="D100" s="530"/>
      <c r="E100" s="530"/>
      <c r="F100" s="530"/>
      <c r="G100" s="530"/>
      <c r="H100" s="530"/>
      <c r="I100" s="530"/>
      <c r="J100" s="530"/>
      <c r="K100" s="531"/>
      <c r="L100" s="532"/>
      <c r="M100" s="533"/>
      <c r="N100" s="1150"/>
      <c r="O100" s="1150"/>
      <c r="P100" s="262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1"/>
      <c r="O101" s="1151"/>
      <c r="P101" s="2620"/>
      <c r="Q101" s="504"/>
    </row>
    <row r="102" spans="1:17" ht="15.75" thickTop="1">
      <c r="A102" s="534"/>
      <c r="B102" s="538" t="s">
        <v>2599</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1" t="str">
        <f>M103&amp;"(含)"&amp;"-"&amp;P103</f>
        <v>(含)-</v>
      </c>
      <c r="N102" s="1149"/>
      <c r="O102" s="1149"/>
      <c r="P102" s="2620"/>
      <c r="Q102" s="504"/>
    </row>
    <row r="103" spans="1:17" s="471" customFormat="1">
      <c r="A103" s="593"/>
      <c r="B103" s="594"/>
      <c r="C103" s="595"/>
      <c r="D103" s="595"/>
      <c r="E103" s="595"/>
      <c r="F103" s="595"/>
      <c r="G103" s="595"/>
      <c r="H103" s="595"/>
      <c r="I103" s="595"/>
      <c r="J103" s="596"/>
      <c r="K103" s="596"/>
      <c r="L103" s="597"/>
      <c r="M103" s="598"/>
      <c r="N103" s="1152"/>
      <c r="O103" s="1152"/>
      <c r="P103" s="262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1"/>
      <c r="Q104" s="559"/>
    </row>
    <row r="105" spans="1:17" ht="15" thickTop="1">
      <c r="A105" s="599"/>
      <c r="B105" s="538" t="s">
        <v>2600</v>
      </c>
      <c r="C105" s="554"/>
      <c r="D105" s="554"/>
      <c r="E105" s="583"/>
      <c r="F105" s="583"/>
      <c r="G105" s="583"/>
      <c r="H105" s="583"/>
      <c r="I105" s="583"/>
      <c r="J105" s="583"/>
      <c r="K105" s="584"/>
      <c r="L105" s="585"/>
      <c r="M105" s="586"/>
      <c r="N105" s="1150"/>
      <c r="O105" s="1150"/>
      <c r="P105" s="262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1"/>
      <c r="O106" s="1151"/>
      <c r="P106" s="2620"/>
      <c r="Q106" s="504"/>
    </row>
    <row r="107" spans="1:17" ht="15" thickTop="1">
      <c r="A107" s="599"/>
      <c r="B107" s="538" t="s">
        <v>2602</v>
      </c>
      <c r="C107" s="554"/>
      <c r="D107" s="554"/>
      <c r="E107" s="554"/>
      <c r="F107" s="583"/>
      <c r="G107" s="583"/>
      <c r="H107" s="583"/>
      <c r="I107" s="583"/>
      <c r="J107" s="583"/>
      <c r="K107" s="584"/>
      <c r="L107" s="585"/>
      <c r="M107" s="586"/>
      <c r="N107" s="1150"/>
      <c r="O107" s="1150"/>
      <c r="P107" s="262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1"/>
      <c r="O108" s="1151"/>
      <c r="P108" s="262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0"/>
      <c r="Q109" s="504"/>
    </row>
    <row r="110" spans="1:17">
      <c r="A110" s="599"/>
      <c r="B110" s="546"/>
      <c r="C110" s="603">
        <v>0.5</v>
      </c>
      <c r="D110" s="603">
        <v>0.6</v>
      </c>
      <c r="E110" s="603">
        <v>0.7</v>
      </c>
      <c r="F110" s="603">
        <v>0.8</v>
      </c>
      <c r="G110" s="603">
        <v>0.9</v>
      </c>
      <c r="H110" s="603">
        <v>1.0001</v>
      </c>
      <c r="I110" s="622"/>
      <c r="J110" s="622"/>
      <c r="K110" s="623"/>
      <c r="L110" s="624"/>
      <c r="M110" s="625"/>
      <c r="N110" s="1150"/>
      <c r="O110" s="1150"/>
      <c r="P110" s="262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1"/>
      <c r="O111" s="1151"/>
      <c r="P111" s="2620"/>
      <c r="Q111" s="504"/>
    </row>
    <row r="112" spans="1:17" s="471" customFormat="1" ht="15" thickTop="1">
      <c r="A112" s="593"/>
      <c r="B112" s="538" t="s">
        <v>2604</v>
      </c>
      <c r="C112" s="554"/>
      <c r="D112" s="554"/>
      <c r="E112" s="554"/>
      <c r="F112" s="554"/>
      <c r="G112" s="554"/>
      <c r="H112" s="583"/>
      <c r="I112" s="583"/>
      <c r="J112" s="583"/>
      <c r="K112" s="584"/>
      <c r="L112" s="585"/>
      <c r="M112" s="586"/>
      <c r="N112" s="1152"/>
      <c r="O112" s="1152"/>
      <c r="P112" s="262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2"/>
      <c r="O113" s="1152"/>
      <c r="P113" s="2621"/>
      <c r="Q113" s="559"/>
    </row>
    <row r="114" spans="1:17" ht="15" thickTop="1">
      <c r="A114" s="599"/>
      <c r="B114" s="538" t="s">
        <v>2668</v>
      </c>
      <c r="C114" s="554"/>
      <c r="D114" s="554"/>
      <c r="E114" s="583"/>
      <c r="F114" s="583"/>
      <c r="G114" s="583"/>
      <c r="H114" s="583"/>
      <c r="I114" s="583"/>
      <c r="J114" s="583"/>
      <c r="K114" s="584"/>
      <c r="L114" s="585"/>
      <c r="M114" s="586"/>
      <c r="N114" s="1150"/>
      <c r="O114" s="1150"/>
      <c r="P114" s="262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1"/>
      <c r="O115" s="1151"/>
      <c r="P115" s="2620"/>
      <c r="Q115" s="504"/>
    </row>
    <row r="116" spans="1:17" ht="15" thickTop="1">
      <c r="A116" s="599"/>
      <c r="B116" s="538" t="s">
        <v>2669</v>
      </c>
      <c r="C116" s="554"/>
      <c r="D116" s="554"/>
      <c r="E116" s="554"/>
      <c r="F116" s="554"/>
      <c r="G116" s="554"/>
      <c r="H116" s="583"/>
      <c r="I116" s="583"/>
      <c r="J116" s="583"/>
      <c r="K116" s="584"/>
      <c r="L116" s="585"/>
      <c r="M116" s="586"/>
      <c r="N116" s="1150"/>
      <c r="O116" s="1150"/>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0"/>
      <c r="Q117" s="504"/>
    </row>
    <row r="118" spans="1:17" ht="15" thickTop="1">
      <c r="A118" s="599"/>
      <c r="B118" s="538" t="s">
        <v>2670</v>
      </c>
      <c r="C118" s="626"/>
      <c r="D118" s="626"/>
      <c r="E118" s="626"/>
      <c r="F118" s="626"/>
      <c r="G118" s="626"/>
      <c r="H118" s="555"/>
      <c r="I118" s="555"/>
      <c r="J118" s="555"/>
      <c r="K118" s="555"/>
      <c r="L118" s="556"/>
      <c r="M118" s="557"/>
      <c r="N118" s="1150"/>
      <c r="O118" s="1150"/>
      <c r="P118" s="2620"/>
      <c r="Q118" s="504"/>
    </row>
    <row r="119" spans="1:17" ht="15.75" thickBot="1">
      <c r="A119" s="534"/>
      <c r="B119" s="543"/>
      <c r="C119" s="560"/>
      <c r="D119" s="536"/>
      <c r="E119" s="536"/>
      <c r="F119" s="536"/>
      <c r="G119" s="536"/>
      <c r="H119" s="536"/>
      <c r="I119" s="536"/>
      <c r="J119" s="536"/>
      <c r="K119" s="536"/>
      <c r="L119" s="536"/>
      <c r="M119" s="537"/>
      <c r="N119" s="1151"/>
      <c r="O119" s="1151"/>
      <c r="P119" s="2620"/>
      <c r="Q119" s="504"/>
    </row>
    <row r="120" spans="1:17" s="471" customFormat="1" ht="15" thickTop="1">
      <c r="A120" s="593"/>
      <c r="B120" s="538" t="s">
        <v>2671</v>
      </c>
      <c r="C120" s="583"/>
      <c r="D120" s="583"/>
      <c r="E120" s="583"/>
      <c r="F120" s="583"/>
      <c r="G120" s="555"/>
      <c r="H120" s="555"/>
      <c r="I120" s="555"/>
      <c r="J120" s="555"/>
      <c r="K120" s="555"/>
      <c r="L120" s="556"/>
      <c r="M120" s="557"/>
      <c r="N120" s="1152"/>
      <c r="O120" s="1152"/>
      <c r="P120" s="262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2"/>
      <c r="O121" s="1152"/>
      <c r="P121" s="2621"/>
      <c r="Q121" s="559"/>
    </row>
    <row r="122" spans="1:17" ht="15" thickTop="1">
      <c r="A122" s="599"/>
      <c r="B122" s="538" t="s">
        <v>2606</v>
      </c>
      <c r="C122" s="554"/>
      <c r="D122" s="554"/>
      <c r="E122" s="554"/>
      <c r="F122" s="583"/>
      <c r="G122" s="583"/>
      <c r="H122" s="583"/>
      <c r="I122" s="583"/>
      <c r="J122" s="583"/>
      <c r="K122" s="584"/>
      <c r="L122" s="585"/>
      <c r="M122" s="586"/>
      <c r="N122" s="1150"/>
      <c r="O122" s="1150"/>
      <c r="P122" s="262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1"/>
      <c r="O123" s="1151"/>
      <c r="P123" s="262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0"/>
      <c r="O124" s="1150"/>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1"/>
      <c r="Q127" s="559"/>
    </row>
    <row r="128" spans="1:17" ht="15" thickTop="1">
      <c r="A128" s="599"/>
      <c r="B128" s="538">
        <f>B45</f>
        <v>111</v>
      </c>
      <c r="C128" s="554"/>
      <c r="D128" s="554"/>
      <c r="E128" s="554"/>
      <c r="F128" s="554"/>
      <c r="G128" s="583"/>
      <c r="H128" s="583"/>
      <c r="I128" s="583"/>
      <c r="J128" s="583"/>
      <c r="K128" s="584"/>
      <c r="L128" s="585"/>
      <c r="M128" s="586"/>
      <c r="N128" s="1150"/>
      <c r="O128" s="1150"/>
      <c r="P128" s="2620"/>
      <c r="Q128" s="504"/>
    </row>
    <row r="129" spans="1:17" ht="15.75" thickBot="1">
      <c r="A129" s="534"/>
      <c r="B129" s="543"/>
      <c r="C129" s="560"/>
      <c r="D129" s="536"/>
      <c r="E129" s="536"/>
      <c r="F129" s="536"/>
      <c r="G129" s="536"/>
      <c r="H129" s="536"/>
      <c r="I129" s="536"/>
      <c r="J129" s="536"/>
      <c r="K129" s="536"/>
      <c r="L129" s="536"/>
      <c r="M129" s="537"/>
      <c r="N129" s="1151"/>
      <c r="O129" s="1151"/>
      <c r="P129" s="2620"/>
      <c r="Q129" s="504"/>
    </row>
    <row r="130" spans="1:17" ht="15" thickTop="1">
      <c r="A130" s="599"/>
      <c r="B130" s="546">
        <f>B46</f>
        <v>111</v>
      </c>
      <c r="C130" s="554"/>
      <c r="D130" s="554"/>
      <c r="E130" s="554"/>
      <c r="F130" s="554"/>
      <c r="G130" s="587"/>
      <c r="H130" s="587"/>
      <c r="I130" s="587"/>
      <c r="J130" s="587"/>
      <c r="K130" s="523"/>
      <c r="L130" s="524"/>
      <c r="M130" s="590"/>
      <c r="N130" s="1150"/>
      <c r="O130" s="1150"/>
      <c r="P130" s="2620"/>
      <c r="Q130" s="504"/>
    </row>
    <row r="131" spans="1:17" ht="15.75" thickBot="1">
      <c r="A131" s="2626"/>
      <c r="B131" s="569"/>
      <c r="C131" s="570"/>
      <c r="D131" s="570"/>
      <c r="E131" s="570"/>
      <c r="F131" s="570"/>
      <c r="G131" s="591"/>
      <c r="H131" s="591"/>
      <c r="I131" s="591"/>
      <c r="J131" s="591"/>
      <c r="K131" s="591"/>
      <c r="L131" s="591"/>
      <c r="M131" s="592"/>
      <c r="N131" s="1151"/>
      <c r="O131" s="1151"/>
      <c r="P131" s="262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2514</v>
      </c>
      <c r="B1" s="2659" t="s">
        <v>2672</v>
      </c>
      <c r="C1" s="1618" t="s">
        <v>2516</v>
      </c>
      <c r="D1" s="1619"/>
      <c r="E1" s="1628"/>
      <c r="F1" s="2577"/>
      <c r="G1" s="1629" t="s">
        <v>2629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IF(C2="——",ROUND(C50*D3/10000,0),ROUND(C50*D3/10000,0)-D2)</f>
        <v>#DIV/0!</v>
      </c>
      <c r="C2" s="2579"/>
      <c r="D2" s="1363" t="e">
        <f ca="1">SUMIF(INDIRECT("'"&amp;F2&amp;"'"&amp;"!A:A"),"承租人权益价值",INDIRECT("'"&amp;F2&amp;"'"&amp;"!c:c"))</f>
        <v>#REF!</v>
      </c>
      <c r="E2" s="2580" t="s">
        <v>2317</v>
      </c>
      <c r="F2" s="2581"/>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2630</v>
      </c>
      <c r="D3" s="399">
        <f>IF(D1="",'数据-汇总表'!E3,SUMIF('数据-汇总表'!$C19:$C33,D1,'数据-汇总表'!$E19:$E33))</f>
        <v>31952.659999999996</v>
      </c>
      <c r="E3" s="2653"/>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2631</v>
      </c>
      <c r="B4" s="402"/>
      <c r="C4" s="3215" t="s">
        <v>2632</v>
      </c>
      <c r="D4" s="3216"/>
      <c r="E4" s="3217" t="s">
        <v>2633</v>
      </c>
      <c r="F4" s="3218"/>
      <c r="G4" s="3215" t="s">
        <v>2634</v>
      </c>
      <c r="H4" s="3216"/>
      <c r="I4" s="3215" t="s">
        <v>2635</v>
      </c>
      <c r="J4" s="3216"/>
      <c r="K4" s="610" t="s">
        <v>2636</v>
      </c>
      <c r="L4" s="1128"/>
      <c r="M4" s="1129"/>
      <c r="N4" s="1129"/>
      <c r="O4" s="1129"/>
      <c r="P4" s="3287" t="s">
        <v>2637</v>
      </c>
      <c r="Q4" s="3288"/>
      <c r="R4" s="3282" t="s">
        <v>2633</v>
      </c>
      <c r="S4" s="3283"/>
      <c r="T4" s="3282" t="s">
        <v>2634</v>
      </c>
      <c r="U4" s="3283"/>
      <c r="V4" s="3291" t="s">
        <v>2635</v>
      </c>
      <c r="W4" s="3291"/>
      <c r="X4" s="2660"/>
      <c r="Y4" s="3282" t="s">
        <v>2637</v>
      </c>
      <c r="Z4" s="3283"/>
      <c r="AA4" s="3281" t="s">
        <v>2633</v>
      </c>
      <c r="AB4" s="3281" t="s">
        <v>2634</v>
      </c>
      <c r="AC4" s="3284" t="s">
        <v>2635</v>
      </c>
    </row>
    <row r="5" spans="1:29" ht="15">
      <c r="A5" s="404"/>
      <c r="B5" s="405"/>
      <c r="C5" s="3211" t="s">
        <v>2528</v>
      </c>
      <c r="D5" s="3208"/>
      <c r="E5" s="3205" t="s">
        <v>2529</v>
      </c>
      <c r="F5" s="3206"/>
      <c r="G5" s="3211" t="s">
        <v>2530</v>
      </c>
      <c r="H5" s="3208"/>
      <c r="I5" s="3211" t="s">
        <v>2531</v>
      </c>
      <c r="J5" s="3208"/>
      <c r="K5" s="610"/>
      <c r="L5" s="1128"/>
      <c r="M5" s="1129"/>
      <c r="N5" s="1129"/>
      <c r="O5" s="1129"/>
      <c r="P5" s="3289"/>
      <c r="Q5" s="3222"/>
      <c r="R5" s="3203"/>
      <c r="S5" s="3204"/>
      <c r="T5" s="3203"/>
      <c r="U5" s="3204"/>
      <c r="V5" s="3227"/>
      <c r="W5" s="3227"/>
      <c r="X5" s="1811"/>
      <c r="Y5" s="3203"/>
      <c r="Z5" s="3204"/>
      <c r="AA5" s="3197"/>
      <c r="AB5" s="3197"/>
      <c r="AC5" s="3285"/>
    </row>
    <row r="6" spans="1:29" ht="15.75" thickBot="1">
      <c r="A6" s="406"/>
      <c r="B6" s="407"/>
      <c r="C6" s="3209" t="s">
        <v>2532</v>
      </c>
      <c r="D6" s="3210"/>
      <c r="E6" s="3212" t="s">
        <v>2532</v>
      </c>
      <c r="F6" s="3213"/>
      <c r="G6" s="3209" t="s">
        <v>2532</v>
      </c>
      <c r="H6" s="3210"/>
      <c r="I6" s="3209" t="s">
        <v>2532</v>
      </c>
      <c r="J6" s="3210"/>
      <c r="K6" s="610" t="s">
        <v>2533</v>
      </c>
      <c r="L6" s="1128"/>
      <c r="M6" s="1129"/>
      <c r="N6" s="1129"/>
      <c r="O6" s="1129"/>
      <c r="P6" s="3290"/>
      <c r="Q6" s="3224"/>
      <c r="R6" s="3203"/>
      <c r="S6" s="3204"/>
      <c r="T6" s="3225"/>
      <c r="U6" s="3226"/>
      <c r="V6" s="3227"/>
      <c r="W6" s="3227"/>
      <c r="X6" s="1811"/>
      <c r="Y6" s="3225"/>
      <c r="Z6" s="3226"/>
      <c r="AA6" s="3198"/>
      <c r="AB6" s="3198"/>
      <c r="AC6" s="3286"/>
    </row>
    <row r="7" spans="1:29" s="117" customFormat="1" ht="15.75" thickBot="1">
      <c r="A7" s="408" t="s">
        <v>2534</v>
      </c>
      <c r="B7" s="409"/>
      <c r="C7" s="410">
        <f>'数据-取费表'!B2</f>
        <v>43165</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92" t="s">
        <v>2535</v>
      </c>
      <c r="Q7" s="3228"/>
      <c r="R7" s="769" t="s">
        <v>17</v>
      </c>
      <c r="S7" s="770">
        <f t="shared" ref="S7:S15" si="0">F7</f>
        <v>0</v>
      </c>
      <c r="T7" s="769" t="s">
        <v>17</v>
      </c>
      <c r="U7" s="770">
        <f t="shared" ref="U7:U15" si="1">H7</f>
        <v>0</v>
      </c>
      <c r="V7" s="769" t="s">
        <v>17</v>
      </c>
      <c r="W7" s="770">
        <f t="shared" ref="W7:W15" si="2">J7</f>
        <v>0</v>
      </c>
      <c r="X7" s="771"/>
      <c r="Y7" s="3199" t="s">
        <v>2535</v>
      </c>
      <c r="Z7" s="3200"/>
      <c r="AA7" s="772" t="e">
        <f>D7/F7</f>
        <v>#DIV/0!</v>
      </c>
      <c r="AB7" s="772" t="e">
        <f>D7/H7</f>
        <v>#DIV/0!</v>
      </c>
      <c r="AC7" s="2661"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92" t="s">
        <v>2538</v>
      </c>
      <c r="Q8" s="3200"/>
      <c r="R8" s="769" t="s">
        <v>17</v>
      </c>
      <c r="S8" s="770">
        <f t="shared" si="0"/>
        <v>0</v>
      </c>
      <c r="T8" s="769" t="s">
        <v>17</v>
      </c>
      <c r="U8" s="770">
        <f t="shared" si="1"/>
        <v>0</v>
      </c>
      <c r="V8" s="769" t="s">
        <v>17</v>
      </c>
      <c r="W8" s="770">
        <f t="shared" si="2"/>
        <v>0</v>
      </c>
      <c r="X8" s="771"/>
      <c r="Y8" s="3199" t="s">
        <v>2538</v>
      </c>
      <c r="Z8" s="3200"/>
      <c r="AA8" s="772" t="e">
        <f t="shared" ref="AA8:AA47" si="3">D8/F8</f>
        <v>#DIV/0!</v>
      </c>
      <c r="AB8" s="772" t="e">
        <f t="shared" ref="AB8:AB47" si="4">D8/H8</f>
        <v>#DIV/0!</v>
      </c>
      <c r="AC8" s="2661"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38" t="s">
        <v>2541</v>
      </c>
      <c r="Q9" s="1793" t="str">
        <f t="shared" ref="Q9:Q15" si="6">B9</f>
        <v>用途</v>
      </c>
      <c r="R9" s="769" t="s">
        <v>17</v>
      </c>
      <c r="S9" s="770">
        <f t="shared" si="0"/>
        <v>100</v>
      </c>
      <c r="T9" s="769" t="s">
        <v>17</v>
      </c>
      <c r="U9" s="770">
        <f t="shared" si="1"/>
        <v>100</v>
      </c>
      <c r="V9" s="769" t="s">
        <v>17</v>
      </c>
      <c r="W9" s="770">
        <f t="shared" si="2"/>
        <v>100</v>
      </c>
      <c r="X9" s="771"/>
      <c r="Y9" s="3076" t="s">
        <v>2542</v>
      </c>
      <c r="Z9" s="55" t="str">
        <f t="shared" ref="Z9:Z15" si="7">Q9</f>
        <v>用途</v>
      </c>
      <c r="AA9" s="772">
        <f t="shared" si="3"/>
        <v>1</v>
      </c>
      <c r="AB9" s="772">
        <f t="shared" si="4"/>
        <v>1</v>
      </c>
      <c r="AC9" s="2661">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38"/>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2661">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38"/>
      <c r="Q11" s="1793"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2661" t="e">
        <f t="shared" si="5"/>
        <v>#N/A</v>
      </c>
    </row>
    <row r="12" spans="1:29" s="117" customFormat="1" ht="15">
      <c r="A12" s="431"/>
      <c r="B12" s="2592">
        <v>111</v>
      </c>
      <c r="C12" s="432"/>
      <c r="D12" s="433">
        <v>100</v>
      </c>
      <c r="E12" s="432"/>
      <c r="F12" s="136">
        <f>SUMIF(71:71,E12,72:72)-SUMIF(71:71,C12,72:72)+100</f>
        <v>100</v>
      </c>
      <c r="G12" s="2662"/>
      <c r="H12" s="136">
        <f>SUMIF(71:71,G12,72:72)-SUMIF(71:71,C12,72:72)+100</f>
        <v>100</v>
      </c>
      <c r="I12" s="432"/>
      <c r="J12" s="136">
        <f>SUMIF(71:71,I12,72:72)-SUMIF(71:71,C12,72:72)+100</f>
        <v>100</v>
      </c>
      <c r="K12" s="613"/>
      <c r="L12" s="1130"/>
      <c r="M12" s="1131"/>
      <c r="N12" s="1131"/>
      <c r="O12" s="1131"/>
      <c r="P12" s="3238"/>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2661">
        <f>D12/J12</f>
        <v>1</v>
      </c>
    </row>
    <row r="13" spans="1:29" ht="15">
      <c r="A13" s="428"/>
      <c r="B13" s="2592">
        <v>111</v>
      </c>
      <c r="C13" s="434"/>
      <c r="D13" s="435">
        <v>100</v>
      </c>
      <c r="E13" s="432"/>
      <c r="F13" s="136">
        <f>SUMIF(73:73,E13,74:74)-SUMIF(73:73,C13,74:74)+100</f>
        <v>100</v>
      </c>
      <c r="G13" s="2662"/>
      <c r="H13" s="435">
        <f>SUMIF(73:73,G13,74:74)-SUMIF(73:73,C13,74:74)+100</f>
        <v>100</v>
      </c>
      <c r="I13" s="432"/>
      <c r="J13" s="435">
        <f>SUMIF(73:73,I13,74:74)-SUMIF(73:73,C13,74:74)+100</f>
        <v>100</v>
      </c>
      <c r="K13" s="613"/>
      <c r="L13" s="1138"/>
      <c r="M13" s="1129"/>
      <c r="N13" s="1129"/>
      <c r="O13" s="1129"/>
      <c r="P13" s="3238"/>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2661">
        <f t="shared" si="5"/>
        <v>1</v>
      </c>
    </row>
    <row r="14" spans="1:29" ht="15.75" thickBot="1">
      <c r="A14" s="436"/>
      <c r="B14" s="2594">
        <v>111</v>
      </c>
      <c r="C14" s="437"/>
      <c r="D14" s="438">
        <v>100</v>
      </c>
      <c r="E14" s="627"/>
      <c r="F14" s="438">
        <f>SUMIF(75:75,E14,76:76)-SUMIF(75:75,C14,76:76)+100</f>
        <v>100</v>
      </c>
      <c r="G14" s="2662"/>
      <c r="H14" s="438">
        <f>SUMIF(75:75,G14,76:76)-SUMIF(75:75,C14,76:76)+100</f>
        <v>100</v>
      </c>
      <c r="I14" s="432"/>
      <c r="J14" s="438">
        <f>SUMIF(75:75,I14,76:76)-SUMIF(75:75,C14,76:76)+100</f>
        <v>100</v>
      </c>
      <c r="K14" s="613"/>
      <c r="L14" s="1138"/>
      <c r="M14" s="1129"/>
      <c r="N14" s="1129"/>
      <c r="O14" s="1129"/>
      <c r="P14" s="3238"/>
      <c r="Q14" s="1793">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2661">
        <f t="shared" si="5"/>
        <v>1</v>
      </c>
    </row>
    <row r="15" spans="1:29" ht="42.75">
      <c r="A15" s="440" t="s">
        <v>2545</v>
      </c>
      <c r="B15" s="628" t="s">
        <v>2673</v>
      </c>
      <c r="C15" s="2663" t="str">
        <f>估价对象房地状况!C5</f>
        <v>估价对象周边办公楼项目较少，办公集聚程度较差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79" t="s">
        <v>2546</v>
      </c>
      <c r="Q15" s="1808" t="str">
        <f t="shared" si="6"/>
        <v>办公集聚程度</v>
      </c>
      <c r="R15" s="773" t="s">
        <v>17</v>
      </c>
      <c r="S15" s="774">
        <f t="shared" si="0"/>
        <v>100</v>
      </c>
      <c r="T15" s="773" t="s">
        <v>17</v>
      </c>
      <c r="U15" s="774">
        <f t="shared" si="1"/>
        <v>100</v>
      </c>
      <c r="V15" s="773" t="s">
        <v>17</v>
      </c>
      <c r="W15" s="774">
        <f t="shared" si="2"/>
        <v>100</v>
      </c>
      <c r="X15" s="1811"/>
      <c r="Y15" s="3229" t="s">
        <v>2546</v>
      </c>
      <c r="Z15" s="1812" t="str">
        <f t="shared" si="7"/>
        <v>办公集聚程度</v>
      </c>
      <c r="AA15" s="1809">
        <f t="shared" si="3"/>
        <v>1</v>
      </c>
      <c r="AB15" s="1809">
        <f t="shared" si="4"/>
        <v>1</v>
      </c>
      <c r="AC15" s="2664">
        <f t="shared" si="5"/>
        <v>1</v>
      </c>
    </row>
    <row r="16" spans="1:29" ht="15">
      <c r="A16" s="428"/>
      <c r="B16" s="629"/>
      <c r="C16" s="2603"/>
      <c r="D16" s="448"/>
      <c r="E16" s="447"/>
      <c r="F16" s="448"/>
      <c r="G16" s="2603"/>
      <c r="H16" s="450"/>
      <c r="I16" s="447"/>
      <c r="J16" s="448"/>
      <c r="K16" s="615"/>
      <c r="L16" s="1138"/>
      <c r="M16" s="1129"/>
      <c r="N16" s="1129"/>
      <c r="O16" s="1129"/>
      <c r="P16" s="3280"/>
      <c r="Q16" s="1808"/>
      <c r="R16" s="773"/>
      <c r="S16" s="774"/>
      <c r="T16" s="773"/>
      <c r="U16" s="774"/>
      <c r="V16" s="773"/>
      <c r="W16" s="774"/>
      <c r="X16" s="1811"/>
      <c r="Y16" s="3230"/>
      <c r="Z16" s="1812"/>
      <c r="AA16" s="1809">
        <v>1</v>
      </c>
      <c r="AB16" s="1809">
        <v>1</v>
      </c>
      <c r="AC16" s="2664">
        <v>1</v>
      </c>
    </row>
    <row r="17" spans="1:29" ht="57">
      <c r="A17" s="428"/>
      <c r="B17" s="630" t="s">
        <v>2088</v>
      </c>
      <c r="C17" s="2665" t="str">
        <f>估价对象房地状况!C6</f>
        <v>估价对象周边有849、兴23路等公交线路，综合评价交通便捷度一般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8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2664">
        <f t="shared" si="5"/>
        <v>1</v>
      </c>
    </row>
    <row r="18" spans="1:29" ht="15">
      <c r="A18" s="428"/>
      <c r="B18" s="631"/>
      <c r="C18" s="2666"/>
      <c r="D18" s="450"/>
      <c r="E18" s="2601"/>
      <c r="F18" s="450"/>
      <c r="G18" s="2602"/>
      <c r="H18" s="448"/>
      <c r="I18" s="2602"/>
      <c r="J18" s="448"/>
      <c r="K18" s="615"/>
      <c r="L18" s="1138"/>
      <c r="M18" s="1129"/>
      <c r="N18" s="1129"/>
      <c r="O18" s="1129"/>
      <c r="P18" s="3280"/>
      <c r="Q18" s="1808"/>
      <c r="R18" s="773"/>
      <c r="S18" s="774"/>
      <c r="T18" s="773"/>
      <c r="U18" s="774"/>
      <c r="V18" s="773"/>
      <c r="W18" s="774"/>
      <c r="X18" s="1811"/>
      <c r="Y18" s="3230"/>
      <c r="Z18" s="1812"/>
      <c r="AA18" s="1809">
        <v>1</v>
      </c>
      <c r="AB18" s="1809">
        <v>1</v>
      </c>
      <c r="AC18" s="2664">
        <v>1</v>
      </c>
    </row>
    <row r="19" spans="1:29" ht="42.75">
      <c r="A19" s="428"/>
      <c r="B19" s="630" t="s">
        <v>2674</v>
      </c>
      <c r="C19" s="2665" t="str">
        <f>估价对象房地状况!C7</f>
        <v>估价对象所在区域公共配套设施齐备较齐备</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80"/>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2664">
        <f t="shared" si="5"/>
        <v>1</v>
      </c>
    </row>
    <row r="20" spans="1:29" ht="15">
      <c r="A20" s="428"/>
      <c r="B20" s="631"/>
      <c r="C20" s="2603"/>
      <c r="D20" s="448"/>
      <c r="E20" s="2596"/>
      <c r="F20" s="448"/>
      <c r="G20" s="2597"/>
      <c r="H20" s="448"/>
      <c r="I20" s="2597"/>
      <c r="J20" s="448"/>
      <c r="K20" s="615"/>
      <c r="L20" s="1138"/>
      <c r="M20" s="1129"/>
      <c r="N20" s="1129"/>
      <c r="O20" s="1129"/>
      <c r="P20" s="3280"/>
      <c r="Q20" s="1808"/>
      <c r="R20" s="773"/>
      <c r="S20" s="774"/>
      <c r="T20" s="773"/>
      <c r="U20" s="774"/>
      <c r="V20" s="773"/>
      <c r="W20" s="774"/>
      <c r="X20" s="1811"/>
      <c r="Y20" s="3230"/>
      <c r="Z20" s="1812"/>
      <c r="AA20" s="1809">
        <v>1</v>
      </c>
      <c r="AB20" s="1809">
        <v>1</v>
      </c>
      <c r="AC20" s="2664">
        <v>1</v>
      </c>
    </row>
    <row r="21" spans="1:29" ht="28.5">
      <c r="A21" s="428"/>
      <c r="B21" s="632" t="s">
        <v>2675</v>
      </c>
      <c r="C21" s="2665" t="str">
        <f>估价对象房地状况!C8</f>
        <v>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80"/>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D21/F21</f>
        <v>1</v>
      </c>
      <c r="AB21" s="1809">
        <f>D21/H21</f>
        <v>1</v>
      </c>
      <c r="AC21" s="2664">
        <f>D21/J21</f>
        <v>1</v>
      </c>
    </row>
    <row r="22" spans="1:29" ht="15">
      <c r="A22" s="428"/>
      <c r="B22" s="632"/>
      <c r="C22" s="2666"/>
      <c r="D22" s="448"/>
      <c r="E22" s="447"/>
      <c r="F22" s="448"/>
      <c r="G22" s="2603"/>
      <c r="H22" s="448"/>
      <c r="I22" s="2603"/>
      <c r="J22" s="448"/>
      <c r="K22" s="1381"/>
      <c r="L22" s="1138"/>
      <c r="M22" s="1129"/>
      <c r="N22" s="1129"/>
      <c r="O22" s="1129"/>
      <c r="P22" s="3280"/>
      <c r="Q22" s="1808"/>
      <c r="R22" s="773"/>
      <c r="S22" s="774"/>
      <c r="T22" s="773"/>
      <c r="U22" s="774"/>
      <c r="V22" s="773"/>
      <c r="W22" s="774"/>
      <c r="X22" s="1811"/>
      <c r="Y22" s="3230"/>
      <c r="Z22" s="1812"/>
      <c r="AA22" s="1809">
        <v>1</v>
      </c>
      <c r="AB22" s="1809">
        <v>1</v>
      </c>
      <c r="AC22" s="2664">
        <v>1</v>
      </c>
    </row>
    <row r="23" spans="1:29" ht="57">
      <c r="A23" s="428"/>
      <c r="B23" s="630" t="s">
        <v>2676</v>
      </c>
      <c r="C23" s="2665" t="str">
        <f>估价对象房地状况!C9</f>
        <v>周边有北京广播电视大学、康庄公园；综合评价环境状况较好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80"/>
      <c r="Q23" s="1808" t="str">
        <f>B23</f>
        <v>环境质量</v>
      </c>
      <c r="R23" s="773" t="s">
        <v>17</v>
      </c>
      <c r="S23" s="774">
        <f>F23</f>
        <v>100</v>
      </c>
      <c r="T23" s="773" t="s">
        <v>17</v>
      </c>
      <c r="U23" s="774">
        <f>H23</f>
        <v>100</v>
      </c>
      <c r="V23" s="773" t="s">
        <v>17</v>
      </c>
      <c r="W23" s="774">
        <f>J23</f>
        <v>100</v>
      </c>
      <c r="X23" s="1811"/>
      <c r="Y23" s="3230"/>
      <c r="Z23" s="1812" t="str">
        <f>Q23</f>
        <v>环境质量</v>
      </c>
      <c r="AA23" s="1809">
        <f t="shared" si="3"/>
        <v>1</v>
      </c>
      <c r="AB23" s="1809">
        <f t="shared" si="4"/>
        <v>1</v>
      </c>
      <c r="AC23" s="2664">
        <f t="shared" si="5"/>
        <v>1</v>
      </c>
    </row>
    <row r="24" spans="1:29" ht="15">
      <c r="A24" s="428"/>
      <c r="B24" s="632"/>
      <c r="C24" s="2603"/>
      <c r="D24" s="448"/>
      <c r="E24" s="2596"/>
      <c r="F24" s="448"/>
      <c r="G24" s="2597"/>
      <c r="H24" s="448"/>
      <c r="I24" s="2597"/>
      <c r="J24" s="448"/>
      <c r="K24" s="615"/>
      <c r="L24" s="1138"/>
      <c r="M24" s="1129"/>
      <c r="N24" s="1129"/>
      <c r="O24" s="1129"/>
      <c r="P24" s="3280"/>
      <c r="Q24" s="1808"/>
      <c r="R24" s="773"/>
      <c r="S24" s="774"/>
      <c r="T24" s="773"/>
      <c r="U24" s="774"/>
      <c r="V24" s="773"/>
      <c r="W24" s="774"/>
      <c r="X24" s="1811"/>
      <c r="Y24" s="3230"/>
      <c r="Z24" s="1812"/>
      <c r="AA24" s="1809">
        <v>1</v>
      </c>
      <c r="AB24" s="1809">
        <v>1</v>
      </c>
      <c r="AC24" s="2664">
        <v>1</v>
      </c>
    </row>
    <row r="25" spans="1:29" ht="27">
      <c r="A25" s="404"/>
      <c r="B25" s="630" t="s">
        <v>2677</v>
      </c>
      <c r="C25" s="2607"/>
      <c r="D25" s="435">
        <v>100</v>
      </c>
      <c r="E25" s="434"/>
      <c r="F25" s="435">
        <f>SUMIF(87:87,E26,88:88)-SUMIF(87:87,C26,88:88)+100</f>
        <v>100</v>
      </c>
      <c r="G25" s="2607"/>
      <c r="H25" s="435">
        <f>SUMIF(87:87,G26,88:88)-SUMIF(87:87,C26,88:88)+100</f>
        <v>100</v>
      </c>
      <c r="I25" s="434"/>
      <c r="J25" s="435">
        <f>SUMIF(87:87,I26,88:88)-SUMIF(87:87,C26,88:88)+100</f>
        <v>100</v>
      </c>
      <c r="K25" s="614"/>
      <c r="L25" s="1138"/>
      <c r="M25" s="1129"/>
      <c r="N25" s="1129"/>
      <c r="O25" s="1129"/>
      <c r="P25" s="3280"/>
      <c r="Q25" s="1808" t="str">
        <f>B25</f>
        <v>毗邻道路的类型与等级</v>
      </c>
      <c r="R25" s="773" t="s">
        <v>17</v>
      </c>
      <c r="S25" s="774">
        <f>F25</f>
        <v>100</v>
      </c>
      <c r="T25" s="773" t="s">
        <v>17</v>
      </c>
      <c r="U25" s="774">
        <f>H25</f>
        <v>100</v>
      </c>
      <c r="V25" s="773" t="s">
        <v>17</v>
      </c>
      <c r="W25" s="774">
        <f>J25</f>
        <v>100</v>
      </c>
      <c r="X25" s="1811"/>
      <c r="Y25" s="3230"/>
      <c r="Z25" s="1812" t="str">
        <f>Q25</f>
        <v>毗邻道路的类型与等级</v>
      </c>
      <c r="AA25" s="1809">
        <f t="shared" si="3"/>
        <v>1</v>
      </c>
      <c r="AB25" s="1809">
        <f t="shared" si="4"/>
        <v>1</v>
      </c>
      <c r="AC25" s="2664">
        <f t="shared" si="5"/>
        <v>1</v>
      </c>
    </row>
    <row r="26" spans="1:29" ht="15">
      <c r="A26" s="404"/>
      <c r="B26" s="631"/>
      <c r="C26" s="633"/>
      <c r="D26" s="435"/>
      <c r="E26" s="616"/>
      <c r="F26" s="435"/>
      <c r="G26" s="633"/>
      <c r="H26" s="435"/>
      <c r="I26" s="616"/>
      <c r="J26" s="435"/>
      <c r="K26" s="615"/>
      <c r="L26" s="1138"/>
      <c r="M26" s="1129"/>
      <c r="N26" s="1129"/>
      <c r="O26" s="1129"/>
      <c r="P26" s="3280"/>
      <c r="Q26" s="1808"/>
      <c r="R26" s="773"/>
      <c r="S26" s="774"/>
      <c r="T26" s="773"/>
      <c r="U26" s="774"/>
      <c r="V26" s="773"/>
      <c r="W26" s="774"/>
      <c r="X26" s="1811"/>
      <c r="Y26" s="3230"/>
      <c r="Z26" s="1812"/>
      <c r="AA26" s="1809">
        <v>1</v>
      </c>
      <c r="AB26" s="1809">
        <v>1</v>
      </c>
      <c r="AC26" s="2664">
        <v>1</v>
      </c>
    </row>
    <row r="27" spans="1:29" ht="15">
      <c r="A27" s="428"/>
      <c r="B27" s="631" t="s">
        <v>2645</v>
      </c>
      <c r="C27" s="633"/>
      <c r="D27" s="435">
        <v>100</v>
      </c>
      <c r="E27" s="616"/>
      <c r="F27" s="435">
        <f>SUMIF(89:89,E27,90:90)-SUMIF(89:89,C27,90:90)+100</f>
        <v>100</v>
      </c>
      <c r="G27" s="633"/>
      <c r="H27" s="435">
        <f>SUMIF(89:89,G27,90:90)-SUMIF(89:89,C27,90:90)+100</f>
        <v>100</v>
      </c>
      <c r="I27" s="616"/>
      <c r="J27" s="435">
        <f>SUMIF(89:89,I27,90:90)-SUMIF(89:89,C27,90:90)+100</f>
        <v>100</v>
      </c>
      <c r="K27" s="612"/>
      <c r="L27" s="1138"/>
      <c r="M27" s="1129"/>
      <c r="N27" s="1129"/>
      <c r="O27" s="1129"/>
      <c r="P27" s="3280"/>
      <c r="Q27" s="1808" t="str">
        <f t="shared" ref="Q27:Q47" si="8">B27</f>
        <v>楼层</v>
      </c>
      <c r="R27" s="773" t="s">
        <v>17</v>
      </c>
      <c r="S27" s="774">
        <f>F27</f>
        <v>100</v>
      </c>
      <c r="T27" s="773" t="s">
        <v>17</v>
      </c>
      <c r="U27" s="774">
        <f>H27</f>
        <v>100</v>
      </c>
      <c r="V27" s="773" t="s">
        <v>17</v>
      </c>
      <c r="W27" s="774">
        <f>J27</f>
        <v>100</v>
      </c>
      <c r="X27" s="1811"/>
      <c r="Y27" s="3230"/>
      <c r="Z27" s="1812" t="str">
        <f>Q27</f>
        <v>楼层</v>
      </c>
      <c r="AA27" s="1809">
        <f t="shared" si="3"/>
        <v>1</v>
      </c>
      <c r="AB27" s="1809">
        <f t="shared" si="4"/>
        <v>1</v>
      </c>
      <c r="AC27" s="2664">
        <f t="shared" si="5"/>
        <v>1</v>
      </c>
    </row>
    <row r="28" spans="1:29" s="117" customFormat="1" ht="15">
      <c r="A28" s="431"/>
      <c r="B28" s="630" t="s">
        <v>2678</v>
      </c>
      <c r="C28" s="2667"/>
      <c r="D28" s="462">
        <v>100</v>
      </c>
      <c r="E28" s="2655"/>
      <c r="F28" s="462">
        <f>SUMIF(91:91,E28,92:92)-SUMIF(91:91,C28,92:92)+100</f>
        <v>100</v>
      </c>
      <c r="G28" s="2667"/>
      <c r="H28" s="462">
        <f>SUMIF(91:91,G28,92:92)-SUMIF(91:91,C28,92:92)+100</f>
        <v>100</v>
      </c>
      <c r="I28" s="2655"/>
      <c r="J28" s="462">
        <f>SUMIF(91:91,I28,92:92)-SUMIF(91:91,C28,92:92)+100</f>
        <v>100</v>
      </c>
      <c r="K28" s="612"/>
      <c r="L28" s="1130"/>
      <c r="M28" s="1131"/>
      <c r="N28" s="1131"/>
      <c r="O28" s="1131"/>
      <c r="P28" s="3280"/>
      <c r="Q28" s="1793" t="str">
        <f t="shared" si="8"/>
        <v>朝向</v>
      </c>
      <c r="R28" s="769" t="s">
        <v>17</v>
      </c>
      <c r="S28" s="770">
        <f>F28</f>
        <v>100</v>
      </c>
      <c r="T28" s="769" t="s">
        <v>17</v>
      </c>
      <c r="U28" s="770">
        <f>H28</f>
        <v>100</v>
      </c>
      <c r="V28" s="769" t="s">
        <v>17</v>
      </c>
      <c r="W28" s="770">
        <f>J28</f>
        <v>100</v>
      </c>
      <c r="X28" s="771"/>
      <c r="Y28" s="3230"/>
      <c r="Z28" s="55" t="str">
        <f>Q28</f>
        <v>朝向</v>
      </c>
      <c r="AA28" s="1809">
        <f>D28/F28</f>
        <v>1</v>
      </c>
      <c r="AB28" s="1809">
        <f>D28/H28</f>
        <v>1</v>
      </c>
      <c r="AC28" s="2664">
        <f>D28/J28</f>
        <v>1</v>
      </c>
    </row>
    <row r="29" spans="1:29" ht="15">
      <c r="A29" s="428"/>
      <c r="B29" s="2668">
        <v>111</v>
      </c>
      <c r="C29" s="2607"/>
      <c r="D29" s="435">
        <v>100</v>
      </c>
      <c r="E29" s="432"/>
      <c r="F29" s="435">
        <f>SUMIF(93:93,E29,94:94)-SUMIF(93:93,C29,94:94)+100</f>
        <v>100</v>
      </c>
      <c r="G29" s="2662"/>
      <c r="H29" s="435">
        <f>SUMIF(93:93,G29,94:94)-SUMIF(93:93,C29,94:94)+100</f>
        <v>100</v>
      </c>
      <c r="I29" s="432"/>
      <c r="J29" s="435">
        <f>SUMIF(93:93,I29,94:94)-SUMIF(93:93,C29,94:94)+100</f>
        <v>100</v>
      </c>
      <c r="K29" s="613"/>
      <c r="L29" s="1138"/>
      <c r="M29" s="1129"/>
      <c r="N29" s="1129"/>
      <c r="O29" s="1129"/>
      <c r="P29" s="3280"/>
      <c r="Q29" s="1808">
        <f t="shared" si="8"/>
        <v>111</v>
      </c>
      <c r="R29" s="773" t="s">
        <v>17</v>
      </c>
      <c r="S29" s="774">
        <f t="shared" ref="S29:S47" si="9">F29</f>
        <v>100</v>
      </c>
      <c r="T29" s="773" t="s">
        <v>17</v>
      </c>
      <c r="U29" s="774">
        <f t="shared" ref="U29:U47" si="10">H29</f>
        <v>100</v>
      </c>
      <c r="V29" s="773" t="s">
        <v>17</v>
      </c>
      <c r="W29" s="774">
        <f t="shared" ref="W29:W47" si="11">J29</f>
        <v>100</v>
      </c>
      <c r="X29" s="1811"/>
      <c r="Y29" s="3230"/>
      <c r="Z29" s="1812">
        <f t="shared" ref="Z29:Z47" si="12">Q29</f>
        <v>111</v>
      </c>
      <c r="AA29" s="1809">
        <f t="shared" si="3"/>
        <v>1</v>
      </c>
      <c r="AB29" s="1809">
        <f t="shared" si="4"/>
        <v>1</v>
      </c>
      <c r="AC29" s="2664">
        <f t="shared" si="5"/>
        <v>1</v>
      </c>
    </row>
    <row r="30" spans="1:29" ht="15">
      <c r="A30" s="428"/>
      <c r="B30" s="2668">
        <v>111</v>
      </c>
      <c r="C30" s="2607"/>
      <c r="D30" s="435">
        <v>100</v>
      </c>
      <c r="E30" s="432"/>
      <c r="F30" s="435">
        <f>SUMIF(95:95,E30,96:96)-SUMIF(95:95,C30,96:96)+100</f>
        <v>100</v>
      </c>
      <c r="G30" s="2662"/>
      <c r="H30" s="435">
        <f>SUMIF(95:95,G30,96:96)-SUMIF(95:95,C30,96:96)+100</f>
        <v>100</v>
      </c>
      <c r="I30" s="432"/>
      <c r="J30" s="435">
        <f>SUMIF(95:95,I30,96:96)-SUMIF(95:95,C30,96:96)+100</f>
        <v>100</v>
      </c>
      <c r="K30" s="613"/>
      <c r="L30" s="1138"/>
      <c r="M30" s="1129"/>
      <c r="N30" s="1129"/>
      <c r="O30" s="1129"/>
      <c r="P30" s="3280"/>
      <c r="Q30" s="1808">
        <f t="shared" si="8"/>
        <v>111</v>
      </c>
      <c r="R30" s="773" t="s">
        <v>17</v>
      </c>
      <c r="S30" s="774">
        <f t="shared" si="9"/>
        <v>100</v>
      </c>
      <c r="T30" s="773" t="s">
        <v>17</v>
      </c>
      <c r="U30" s="774">
        <f t="shared" si="10"/>
        <v>100</v>
      </c>
      <c r="V30" s="773" t="s">
        <v>17</v>
      </c>
      <c r="W30" s="774">
        <f t="shared" si="11"/>
        <v>100</v>
      </c>
      <c r="X30" s="1811"/>
      <c r="Y30" s="3230"/>
      <c r="Z30" s="1812">
        <f t="shared" si="12"/>
        <v>111</v>
      </c>
      <c r="AA30" s="1809">
        <f t="shared" si="3"/>
        <v>1</v>
      </c>
      <c r="AB30" s="1809">
        <f t="shared" si="4"/>
        <v>1</v>
      </c>
      <c r="AC30" s="2664">
        <f t="shared" si="5"/>
        <v>1</v>
      </c>
    </row>
    <row r="31" spans="1:29" ht="15">
      <c r="A31" s="428"/>
      <c r="B31" s="2668">
        <v>111</v>
      </c>
      <c r="C31" s="2607"/>
      <c r="D31" s="435">
        <v>100</v>
      </c>
      <c r="E31" s="432"/>
      <c r="F31" s="435">
        <f>SUMIF(97:97,E31,98:98)-SUMIF(97:97,C31,98:98)+100</f>
        <v>100</v>
      </c>
      <c r="G31" s="2662"/>
      <c r="H31" s="435">
        <f>SUMIF(97:97,G31,98:98)-SUMIF(97:97,C31,98:98)+100</f>
        <v>100</v>
      </c>
      <c r="I31" s="432"/>
      <c r="J31" s="435">
        <f>SUMIF(97:97,I31,98:98)-SUMIF(97:97,C31,98:98)+100</f>
        <v>100</v>
      </c>
      <c r="K31" s="613"/>
      <c r="L31" s="1138"/>
      <c r="M31" s="1129"/>
      <c r="N31" s="1129"/>
      <c r="O31" s="1129"/>
      <c r="P31" s="3280"/>
      <c r="Q31" s="1808">
        <f t="shared" si="8"/>
        <v>111</v>
      </c>
      <c r="R31" s="773" t="s">
        <v>17</v>
      </c>
      <c r="S31" s="774">
        <f t="shared" si="9"/>
        <v>100</v>
      </c>
      <c r="T31" s="773" t="s">
        <v>17</v>
      </c>
      <c r="U31" s="774">
        <f t="shared" si="10"/>
        <v>100</v>
      </c>
      <c r="V31" s="773" t="s">
        <v>17</v>
      </c>
      <c r="W31" s="774">
        <f t="shared" si="11"/>
        <v>100</v>
      </c>
      <c r="X31" s="1811"/>
      <c r="Y31" s="3230"/>
      <c r="Z31" s="1812">
        <f t="shared" si="12"/>
        <v>111</v>
      </c>
      <c r="AA31" s="1809">
        <f t="shared" si="3"/>
        <v>1</v>
      </c>
      <c r="AB31" s="1809">
        <f t="shared" si="4"/>
        <v>1</v>
      </c>
      <c r="AC31" s="2664">
        <f t="shared" si="5"/>
        <v>1</v>
      </c>
    </row>
    <row r="32" spans="1:29" ht="15.75" thickBot="1">
      <c r="A32" s="436"/>
      <c r="B32" s="634">
        <v>111</v>
      </c>
      <c r="C32" s="2608"/>
      <c r="D32" s="438">
        <v>100</v>
      </c>
      <c r="E32" s="627"/>
      <c r="F32" s="438">
        <f>SUMIF(99:99,E32,100:100)-SUMIF(99:99,C32,100:100)+100</f>
        <v>100</v>
      </c>
      <c r="G32" s="2662"/>
      <c r="H32" s="438">
        <f>SUMIF(99:99,G32,100:100)-SUMIF(99:99,C32,100:100)+100</f>
        <v>100</v>
      </c>
      <c r="I32" s="432"/>
      <c r="J32" s="438">
        <f>SUMIF(99:99,I32,100:100)-SUMIF(99:99,C32,100:100)+100</f>
        <v>100</v>
      </c>
      <c r="K32" s="613"/>
      <c r="L32" s="1138"/>
      <c r="M32" s="1129"/>
      <c r="N32" s="1129"/>
      <c r="O32" s="1129"/>
      <c r="P32" s="3280"/>
      <c r="Q32" s="1808">
        <f t="shared" si="8"/>
        <v>111</v>
      </c>
      <c r="R32" s="773" t="s">
        <v>17</v>
      </c>
      <c r="S32" s="774">
        <f t="shared" si="9"/>
        <v>100</v>
      </c>
      <c r="T32" s="773" t="s">
        <v>17</v>
      </c>
      <c r="U32" s="774">
        <f t="shared" si="10"/>
        <v>100</v>
      </c>
      <c r="V32" s="773" t="s">
        <v>17</v>
      </c>
      <c r="W32" s="774">
        <f t="shared" si="11"/>
        <v>100</v>
      </c>
      <c r="X32" s="1811"/>
      <c r="Y32" s="3230"/>
      <c r="Z32" s="1812">
        <f t="shared" si="12"/>
        <v>111</v>
      </c>
      <c r="AA32" s="1809">
        <f t="shared" si="3"/>
        <v>1</v>
      </c>
      <c r="AB32" s="1809">
        <f t="shared" si="4"/>
        <v>1</v>
      </c>
      <c r="AC32" s="2664">
        <f t="shared" si="5"/>
        <v>1</v>
      </c>
    </row>
    <row r="33" spans="1:29" ht="15">
      <c r="A33" s="440" t="s">
        <v>2549</v>
      </c>
      <c r="B33" s="71" t="s">
        <v>2679</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38"/>
      <c r="M33" s="1129"/>
      <c r="N33" s="1129"/>
      <c r="O33" s="1129"/>
      <c r="P33" s="3275" t="s">
        <v>2551</v>
      </c>
      <c r="Q33" s="1808" t="str">
        <f t="shared" si="8"/>
        <v>建筑类型</v>
      </c>
      <c r="R33" s="773" t="s">
        <v>17</v>
      </c>
      <c r="S33" s="774">
        <f t="shared" si="9"/>
        <v>100</v>
      </c>
      <c r="T33" s="773" t="s">
        <v>17</v>
      </c>
      <c r="U33" s="774">
        <f t="shared" si="10"/>
        <v>100</v>
      </c>
      <c r="V33" s="773" t="s">
        <v>17</v>
      </c>
      <c r="W33" s="774">
        <f t="shared" si="11"/>
        <v>100</v>
      </c>
      <c r="X33" s="1811"/>
      <c r="Y33" s="3232" t="s">
        <v>2551</v>
      </c>
      <c r="Z33" s="1812" t="str">
        <f t="shared" si="12"/>
        <v>建筑类型</v>
      </c>
      <c r="AA33" s="1809">
        <f t="shared" si="3"/>
        <v>1</v>
      </c>
      <c r="AB33" s="1809">
        <f t="shared" si="4"/>
        <v>1</v>
      </c>
      <c r="AC33" s="2664">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76"/>
      <c r="Q34" s="775" t="str">
        <f t="shared" si="8"/>
        <v>项目建筑规模</v>
      </c>
      <c r="R34" s="776" t="s">
        <v>17</v>
      </c>
      <c r="S34" s="777" t="e">
        <f t="shared" si="9"/>
        <v>#N/A</v>
      </c>
      <c r="T34" s="776" t="s">
        <v>17</v>
      </c>
      <c r="U34" s="777" t="e">
        <f t="shared" si="10"/>
        <v>#N/A</v>
      </c>
      <c r="V34" s="776" t="s">
        <v>17</v>
      </c>
      <c r="W34" s="777" t="e">
        <f t="shared" si="11"/>
        <v>#N/A</v>
      </c>
      <c r="X34" s="778"/>
      <c r="Y34" s="3232"/>
      <c r="Z34" s="779" t="str">
        <f t="shared" si="12"/>
        <v>项目建筑规模</v>
      </c>
      <c r="AA34" s="1809" t="e">
        <f t="shared" si="3"/>
        <v>#N/A</v>
      </c>
      <c r="AB34" s="1809" t="e">
        <f t="shared" si="4"/>
        <v>#N/A</v>
      </c>
      <c r="AC34" s="2664"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76"/>
      <c r="Q35" s="1808" t="str">
        <f t="shared" si="8"/>
        <v>建筑结构</v>
      </c>
      <c r="R35" s="773" t="s">
        <v>17</v>
      </c>
      <c r="S35" s="774">
        <f t="shared" si="9"/>
        <v>100</v>
      </c>
      <c r="T35" s="773" t="s">
        <v>17</v>
      </c>
      <c r="U35" s="774">
        <f t="shared" si="10"/>
        <v>100</v>
      </c>
      <c r="V35" s="773" t="s">
        <v>17</v>
      </c>
      <c r="W35" s="774">
        <f t="shared" si="11"/>
        <v>100</v>
      </c>
      <c r="X35" s="1811"/>
      <c r="Y35" s="3232"/>
      <c r="Z35" s="1812" t="str">
        <f t="shared" si="12"/>
        <v>建筑结构</v>
      </c>
      <c r="AA35" s="1809">
        <f t="shared" si="3"/>
        <v>1</v>
      </c>
      <c r="AB35" s="1809">
        <f t="shared" si="4"/>
        <v>1</v>
      </c>
      <c r="AC35" s="2664">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76"/>
      <c r="Q36" s="1808" t="str">
        <f t="shared" si="8"/>
        <v>公共部分装修</v>
      </c>
      <c r="R36" s="773" t="s">
        <v>17</v>
      </c>
      <c r="S36" s="774">
        <f t="shared" si="9"/>
        <v>100</v>
      </c>
      <c r="T36" s="773" t="s">
        <v>17</v>
      </c>
      <c r="U36" s="774">
        <f t="shared" si="10"/>
        <v>100</v>
      </c>
      <c r="V36" s="773" t="s">
        <v>17</v>
      </c>
      <c r="W36" s="774">
        <f t="shared" si="11"/>
        <v>100</v>
      </c>
      <c r="X36" s="1811"/>
      <c r="Y36" s="3232"/>
      <c r="Z36" s="1812" t="str">
        <f t="shared" si="12"/>
        <v>公共部分装修</v>
      </c>
      <c r="AA36" s="1809">
        <f t="shared" si="3"/>
        <v>1</v>
      </c>
      <c r="AB36" s="1809">
        <f t="shared" si="4"/>
        <v>1</v>
      </c>
      <c r="AC36" s="2664">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76"/>
      <c r="Q37" s="1808" t="str">
        <f t="shared" si="8"/>
        <v>成新度</v>
      </c>
      <c r="R37" s="773" t="s">
        <v>17</v>
      </c>
      <c r="S37" s="774" t="e">
        <f t="shared" si="9"/>
        <v>#N/A</v>
      </c>
      <c r="T37" s="773" t="s">
        <v>17</v>
      </c>
      <c r="U37" s="774" t="e">
        <f t="shared" si="10"/>
        <v>#N/A</v>
      </c>
      <c r="V37" s="773" t="s">
        <v>17</v>
      </c>
      <c r="W37" s="774" t="e">
        <f t="shared" si="11"/>
        <v>#N/A</v>
      </c>
      <c r="X37" s="1811"/>
      <c r="Y37" s="3232"/>
      <c r="Z37" s="1812" t="str">
        <f t="shared" si="12"/>
        <v>成新度</v>
      </c>
      <c r="AA37" s="1809" t="e">
        <f t="shared" si="3"/>
        <v>#N/A</v>
      </c>
      <c r="AB37" s="1809" t="e">
        <f t="shared" si="4"/>
        <v>#N/A</v>
      </c>
      <c r="AC37" s="2664"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76"/>
      <c r="Q38" s="1793" t="str">
        <f t="shared" si="8"/>
        <v>写字楼等级</v>
      </c>
      <c r="R38" s="769" t="s">
        <v>17</v>
      </c>
      <c r="S38" s="770">
        <f t="shared" si="9"/>
        <v>100</v>
      </c>
      <c r="T38" s="769" t="s">
        <v>17</v>
      </c>
      <c r="U38" s="770">
        <f t="shared" si="10"/>
        <v>100</v>
      </c>
      <c r="V38" s="769" t="s">
        <v>17</v>
      </c>
      <c r="W38" s="770">
        <f t="shared" si="11"/>
        <v>100</v>
      </c>
      <c r="X38" s="771"/>
      <c r="Y38" s="3232"/>
      <c r="Z38" s="55" t="str">
        <f t="shared" si="12"/>
        <v>写字楼等级</v>
      </c>
      <c r="AA38" s="772">
        <f t="shared" si="3"/>
        <v>1</v>
      </c>
      <c r="AB38" s="772">
        <f t="shared" si="4"/>
        <v>1</v>
      </c>
      <c r="AC38" s="2661">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76" t="s">
        <v>2551</v>
      </c>
      <c r="Q39" s="1808" t="str">
        <f t="shared" si="8"/>
        <v>物业管理</v>
      </c>
      <c r="R39" s="773" t="s">
        <v>17</v>
      </c>
      <c r="S39" s="774">
        <f t="shared" si="9"/>
        <v>100</v>
      </c>
      <c r="T39" s="773" t="s">
        <v>17</v>
      </c>
      <c r="U39" s="774">
        <f t="shared" si="10"/>
        <v>100</v>
      </c>
      <c r="V39" s="773" t="s">
        <v>17</v>
      </c>
      <c r="W39" s="774">
        <f t="shared" si="11"/>
        <v>100</v>
      </c>
      <c r="X39" s="1811"/>
      <c r="Y39" s="3232" t="s">
        <v>2551</v>
      </c>
      <c r="Z39" s="1812" t="str">
        <f t="shared" si="12"/>
        <v>物业管理</v>
      </c>
      <c r="AA39" s="1809">
        <f t="shared" si="3"/>
        <v>1</v>
      </c>
      <c r="AB39" s="1809">
        <f t="shared" si="4"/>
        <v>1</v>
      </c>
      <c r="AC39" s="2664">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76"/>
      <c r="Q40" s="1808" t="str">
        <f t="shared" si="8"/>
        <v>市政基础设施</v>
      </c>
      <c r="R40" s="773" t="s">
        <v>17</v>
      </c>
      <c r="S40" s="774">
        <f t="shared" si="9"/>
        <v>100</v>
      </c>
      <c r="T40" s="773" t="s">
        <v>17</v>
      </c>
      <c r="U40" s="774">
        <f t="shared" si="10"/>
        <v>100</v>
      </c>
      <c r="V40" s="773" t="s">
        <v>17</v>
      </c>
      <c r="W40" s="774">
        <f t="shared" si="11"/>
        <v>100</v>
      </c>
      <c r="X40" s="1811"/>
      <c r="Y40" s="3232"/>
      <c r="Z40" s="1812" t="str">
        <f t="shared" si="12"/>
        <v>市政基础设施</v>
      </c>
      <c r="AA40" s="1809">
        <f t="shared" si="3"/>
        <v>1</v>
      </c>
      <c r="AB40" s="1809">
        <f t="shared" si="4"/>
        <v>1</v>
      </c>
      <c r="AC40" s="2664">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76"/>
      <c r="Q41" s="1808" t="str">
        <f t="shared" si="8"/>
        <v>层高</v>
      </c>
      <c r="R41" s="773" t="s">
        <v>17</v>
      </c>
      <c r="S41" s="774">
        <f t="shared" si="9"/>
        <v>100</v>
      </c>
      <c r="T41" s="773" t="s">
        <v>17</v>
      </c>
      <c r="U41" s="774">
        <f t="shared" si="10"/>
        <v>100</v>
      </c>
      <c r="V41" s="773" t="s">
        <v>17</v>
      </c>
      <c r="W41" s="774">
        <f t="shared" si="11"/>
        <v>100</v>
      </c>
      <c r="X41" s="1811"/>
      <c r="Y41" s="3232"/>
      <c r="Z41" s="1812" t="str">
        <f t="shared" si="12"/>
        <v>层高</v>
      </c>
      <c r="AA41" s="1809">
        <f t="shared" si="3"/>
        <v>1</v>
      </c>
      <c r="AB41" s="1809">
        <f t="shared" si="4"/>
        <v>1</v>
      </c>
      <c r="AC41" s="2664">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76"/>
      <c r="Q42" s="775" t="str">
        <f t="shared" si="8"/>
        <v>单套建筑面积</v>
      </c>
      <c r="R42" s="776" t="s">
        <v>17</v>
      </c>
      <c r="S42" s="777">
        <f t="shared" si="9"/>
        <v>100</v>
      </c>
      <c r="T42" s="776" t="s">
        <v>17</v>
      </c>
      <c r="U42" s="777">
        <f t="shared" si="10"/>
        <v>100</v>
      </c>
      <c r="V42" s="776" t="s">
        <v>17</v>
      </c>
      <c r="W42" s="777">
        <f t="shared" si="11"/>
        <v>100</v>
      </c>
      <c r="X42" s="778"/>
      <c r="Y42" s="3232"/>
      <c r="Z42" s="779" t="str">
        <f t="shared" si="12"/>
        <v>单套建筑面积</v>
      </c>
      <c r="AA42" s="1809">
        <f t="shared" si="3"/>
        <v>1</v>
      </c>
      <c r="AB42" s="1809">
        <f t="shared" si="4"/>
        <v>1</v>
      </c>
      <c r="AC42" s="2664">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76"/>
      <c r="Q43" s="1808" t="str">
        <f t="shared" si="8"/>
        <v>内部装修</v>
      </c>
      <c r="R43" s="773" t="s">
        <v>17</v>
      </c>
      <c r="S43" s="774">
        <f t="shared" si="9"/>
        <v>100</v>
      </c>
      <c r="T43" s="773" t="s">
        <v>17</v>
      </c>
      <c r="U43" s="774">
        <f t="shared" si="10"/>
        <v>100</v>
      </c>
      <c r="V43" s="773" t="s">
        <v>17</v>
      </c>
      <c r="W43" s="774">
        <f t="shared" si="11"/>
        <v>100</v>
      </c>
      <c r="X43" s="1811"/>
      <c r="Y43" s="3232"/>
      <c r="Z43" s="1812" t="str">
        <f t="shared" si="12"/>
        <v>内部装修</v>
      </c>
      <c r="AA43" s="1809">
        <f t="shared" si="3"/>
        <v>1</v>
      </c>
      <c r="AB43" s="1809">
        <f t="shared" si="4"/>
        <v>1</v>
      </c>
      <c r="AC43" s="2664">
        <f t="shared" si="5"/>
        <v>1</v>
      </c>
    </row>
    <row r="44" spans="1:29" ht="15">
      <c r="A44" s="472"/>
      <c r="B44" s="422" t="s">
        <v>2562</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8"/>
      <c r="M44" s="1129"/>
      <c r="N44" s="1129"/>
      <c r="O44" s="1129"/>
      <c r="P44" s="3276"/>
      <c r="Q44" s="1808" t="str">
        <f t="shared" si="8"/>
        <v>内部装修维护情况</v>
      </c>
      <c r="R44" s="773" t="s">
        <v>17</v>
      </c>
      <c r="S44" s="774">
        <f t="shared" si="9"/>
        <v>100</v>
      </c>
      <c r="T44" s="773" t="s">
        <v>17</v>
      </c>
      <c r="U44" s="774">
        <f t="shared" si="10"/>
        <v>100</v>
      </c>
      <c r="V44" s="773" t="s">
        <v>17</v>
      </c>
      <c r="W44" s="774">
        <f t="shared" si="11"/>
        <v>100</v>
      </c>
      <c r="X44" s="1811"/>
      <c r="Y44" s="3232"/>
      <c r="Z44" s="1812" t="str">
        <f t="shared" si="12"/>
        <v>内部装修维护情况</v>
      </c>
      <c r="AA44" s="1809">
        <f t="shared" si="3"/>
        <v>1</v>
      </c>
      <c r="AB44" s="1809">
        <f t="shared" si="4"/>
        <v>1</v>
      </c>
      <c r="AC44" s="266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76"/>
      <c r="Q45" s="1793">
        <f t="shared" si="8"/>
        <v>111</v>
      </c>
      <c r="R45" s="769" t="s">
        <v>17</v>
      </c>
      <c r="S45" s="770">
        <f t="shared" si="9"/>
        <v>100</v>
      </c>
      <c r="T45" s="769" t="s">
        <v>17</v>
      </c>
      <c r="U45" s="770">
        <f t="shared" si="10"/>
        <v>100</v>
      </c>
      <c r="V45" s="769" t="s">
        <v>17</v>
      </c>
      <c r="W45" s="770">
        <f t="shared" si="11"/>
        <v>100</v>
      </c>
      <c r="X45" s="771"/>
      <c r="Y45" s="3232"/>
      <c r="Z45" s="55">
        <f t="shared" si="12"/>
        <v>111</v>
      </c>
      <c r="AA45" s="772">
        <f t="shared" si="3"/>
        <v>1</v>
      </c>
      <c r="AB45" s="772">
        <f t="shared" si="4"/>
        <v>1</v>
      </c>
      <c r="AC45" s="266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76"/>
      <c r="Q46" s="1808">
        <f t="shared" si="8"/>
        <v>111</v>
      </c>
      <c r="R46" s="773" t="s">
        <v>17</v>
      </c>
      <c r="S46" s="774">
        <f t="shared" si="9"/>
        <v>100</v>
      </c>
      <c r="T46" s="773" t="s">
        <v>17</v>
      </c>
      <c r="U46" s="774">
        <f t="shared" si="10"/>
        <v>100</v>
      </c>
      <c r="V46" s="773" t="s">
        <v>17</v>
      </c>
      <c r="W46" s="774">
        <f t="shared" si="11"/>
        <v>100</v>
      </c>
      <c r="X46" s="1811"/>
      <c r="Y46" s="3232"/>
      <c r="Z46" s="1812">
        <f t="shared" si="12"/>
        <v>111</v>
      </c>
      <c r="AA46" s="1809">
        <f t="shared" si="3"/>
        <v>1</v>
      </c>
      <c r="AB46" s="1809">
        <f t="shared" si="4"/>
        <v>1</v>
      </c>
      <c r="AC46" s="2664">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77"/>
      <c r="Q47" s="1808">
        <f t="shared" si="8"/>
        <v>111</v>
      </c>
      <c r="R47" s="773" t="s">
        <v>17</v>
      </c>
      <c r="S47" s="774">
        <f t="shared" si="9"/>
        <v>100</v>
      </c>
      <c r="T47" s="773" t="s">
        <v>17</v>
      </c>
      <c r="U47" s="774">
        <f t="shared" si="10"/>
        <v>100</v>
      </c>
      <c r="V47" s="773" t="s">
        <v>17</v>
      </c>
      <c r="W47" s="774">
        <f t="shared" si="11"/>
        <v>100</v>
      </c>
      <c r="X47" s="1811"/>
      <c r="Y47" s="3278"/>
      <c r="Z47" s="1812">
        <f t="shared" si="12"/>
        <v>111</v>
      </c>
      <c r="AA47" s="1809">
        <f t="shared" si="3"/>
        <v>1</v>
      </c>
      <c r="AB47" s="1809">
        <f t="shared" si="4"/>
        <v>1</v>
      </c>
      <c r="AC47" s="2664">
        <f t="shared" si="5"/>
        <v>1</v>
      </c>
    </row>
    <row r="48" spans="1:29" ht="15">
      <c r="A48" s="479" t="s">
        <v>2563</v>
      </c>
      <c r="B48" s="480"/>
      <c r="C48" s="1405" t="s">
        <v>1</v>
      </c>
      <c r="D48" s="1406"/>
      <c r="E48" s="1407"/>
      <c r="F48" s="1408"/>
      <c r="G48" s="1409"/>
      <c r="H48" s="1410"/>
      <c r="I48" s="1407"/>
      <c r="J48" s="485"/>
      <c r="K48" s="782"/>
      <c r="L48" s="1141"/>
      <c r="M48" s="1129"/>
      <c r="N48" s="1129"/>
      <c r="O48" s="1129"/>
      <c r="P48" s="3238" t="str">
        <f>A48</f>
        <v>成交单价（元/平方米）</v>
      </c>
      <c r="Q48" s="3214"/>
      <c r="R48" s="3274">
        <f>E48</f>
        <v>0</v>
      </c>
      <c r="S48" s="3274"/>
      <c r="T48" s="3274">
        <f>G48</f>
        <v>0</v>
      </c>
      <c r="U48" s="3274"/>
      <c r="V48" s="3274">
        <f>I48</f>
        <v>0</v>
      </c>
      <c r="W48" s="3274"/>
      <c r="X48" s="446"/>
      <c r="Y48" s="780"/>
      <c r="Z48" s="446"/>
      <c r="AA48" s="446"/>
      <c r="AB48" s="446"/>
      <c r="AC48" s="629"/>
    </row>
    <row r="49" spans="1:29" ht="15.75" thickBot="1">
      <c r="A49" s="486" t="s">
        <v>2655</v>
      </c>
      <c r="B49" s="487"/>
      <c r="C49" s="1411" t="e">
        <f>R50</f>
        <v>#DIV/0!</v>
      </c>
      <c r="D49" s="1412"/>
      <c r="E49" s="1413" t="e">
        <f>R49</f>
        <v>#DIV/0!</v>
      </c>
      <c r="F49" s="1413"/>
      <c r="G49" s="1411" t="e">
        <f>T49</f>
        <v>#DIV/0!</v>
      </c>
      <c r="H49" s="1412"/>
      <c r="I49" s="1413" t="e">
        <f>V49</f>
        <v>#DIV/0!</v>
      </c>
      <c r="J49" s="489"/>
      <c r="K49" s="783"/>
      <c r="L49" s="1141"/>
      <c r="M49" s="1129"/>
      <c r="N49" s="1129"/>
      <c r="O49" s="1129"/>
      <c r="P49" s="3238" t="str">
        <f>A49</f>
        <v>比较价值（元/平方米）</v>
      </c>
      <c r="Q49" s="3214"/>
      <c r="R49" s="3274" t="e">
        <f>IF(F1="售价",ROUND(PRODUCT(R48,AA7:AA47),0),ROUND(PRODUCT(R48,AA7:AA47),1))</f>
        <v>#DIV/0!</v>
      </c>
      <c r="S49" s="3274"/>
      <c r="T49" s="3274" t="e">
        <f>IF(F1="售价",ROUND(PRODUCT(T48,AB7:AB47),0),ROUND(PRODUCT(T48,AB7:AB47),1))</f>
        <v>#DIV/0!</v>
      </c>
      <c r="U49" s="3274"/>
      <c r="V49" s="3274" t="e">
        <f>IF(F1="售价",ROUND(PRODUCT(V48,AC7:AC47),0),ROUND(PRODUCT(V48,AC7:AC47),1))</f>
        <v>#DIV/0!</v>
      </c>
      <c r="W49" s="3274"/>
      <c r="X49" s="446"/>
      <c r="Y49" s="446"/>
      <c r="Z49" s="446"/>
      <c r="AA49" s="446"/>
      <c r="AB49" s="446"/>
      <c r="AC49" s="629"/>
    </row>
    <row r="50" spans="1:29" ht="15.75" thickBot="1">
      <c r="A50" s="492" t="s">
        <v>2656</v>
      </c>
      <c r="B50" s="493"/>
      <c r="C50" s="1415" t="e">
        <f>R50</f>
        <v>#DIV/0!</v>
      </c>
      <c r="D50" s="1415"/>
      <c r="E50" s="1415"/>
      <c r="F50" s="1415"/>
      <c r="G50" s="1415"/>
      <c r="H50" s="1415"/>
      <c r="I50" s="1415"/>
      <c r="J50" s="494"/>
      <c r="K50" s="784"/>
      <c r="L50" s="1141"/>
      <c r="M50" s="1129"/>
      <c r="N50" s="1129"/>
      <c r="O50" s="1129"/>
      <c r="P50" s="3293" t="str">
        <f>A50</f>
        <v>估价对象XX用房的比较价值（楼面单价，元/平方米）</v>
      </c>
      <c r="Q50" s="3294"/>
      <c r="R50" s="3295" t="e">
        <f>IF(F1="售价",ROUND(AVERAGE(R49:V49),0),ROUND(AVERAGE(R49:V49),1))</f>
        <v>#DIV/0!</v>
      </c>
      <c r="S50" s="3295"/>
      <c r="T50" s="3295"/>
      <c r="U50" s="3295"/>
      <c r="V50" s="3295"/>
      <c r="W50" s="3295"/>
      <c r="X50" s="2644"/>
      <c r="Y50" s="2644"/>
      <c r="Z50" s="2644"/>
      <c r="AA50" s="2644"/>
      <c r="AB50" s="2644"/>
      <c r="AC50" s="264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0"/>
    </row>
    <row r="56" spans="1:29" s="502" customFormat="1">
      <c r="A56" s="1143"/>
      <c r="B56" s="1144"/>
      <c r="C56" s="1148"/>
      <c r="D56" s="1143"/>
      <c r="E56" s="1143"/>
      <c r="F56" s="1143"/>
      <c r="G56" s="1143"/>
      <c r="H56" s="1143"/>
      <c r="I56" s="1143"/>
      <c r="J56" s="1143"/>
      <c r="K56" s="1146"/>
      <c r="L56" s="1147"/>
      <c r="M56" s="1143"/>
      <c r="N56" s="1143"/>
      <c r="O56" s="1143"/>
      <c r="P56" s="2670"/>
    </row>
    <row r="57" spans="1:29">
      <c r="A57" s="1142"/>
      <c r="B57" s="1144"/>
      <c r="C57" s="1148"/>
      <c r="D57" s="1142"/>
      <c r="E57" s="1142"/>
      <c r="F57" s="1142"/>
      <c r="G57" s="1142"/>
      <c r="H57" s="1142"/>
      <c r="I57" s="1142"/>
      <c r="J57" s="1142"/>
      <c r="K57" s="1103"/>
      <c r="L57" s="1104"/>
      <c r="M57" s="1142"/>
      <c r="N57" s="1142"/>
      <c r="O57" s="1142"/>
    </row>
    <row r="58" spans="1:29" ht="21.75" thickBot="1">
      <c r="A58" s="762" t="s">
        <v>2660</v>
      </c>
      <c r="B58" s="758"/>
      <c r="C58" s="763"/>
      <c r="D58" s="763"/>
      <c r="E58" s="763"/>
      <c r="F58" s="764"/>
      <c r="G58" s="764"/>
      <c r="H58" s="763"/>
      <c r="I58" s="763"/>
      <c r="J58" s="763"/>
      <c r="K58" s="765"/>
      <c r="L58" s="1159"/>
      <c r="M58" s="1157"/>
      <c r="N58" s="1157"/>
      <c r="O58" s="1157"/>
      <c r="P58" s="2671"/>
      <c r="Q58" s="504"/>
    </row>
    <row r="59" spans="1:29" s="508" customFormat="1" ht="15">
      <c r="A59" s="505" t="s">
        <v>2534</v>
      </c>
      <c r="B59" s="506"/>
      <c r="C59" s="1572" t="str">
        <f>YEAR(C7)&amp;"-"&amp;MONTH(C7)</f>
        <v>2018-3</v>
      </c>
      <c r="D59" s="1573">
        <f>EDATE(C59,-1)</f>
        <v>43132</v>
      </c>
      <c r="E59" s="1573">
        <f>EDATE(D59,-1)</f>
        <v>43101</v>
      </c>
      <c r="F59" s="1573">
        <f t="shared" ref="F59:O59" si="13">EDATE(E59,-1)</f>
        <v>43070</v>
      </c>
      <c r="G59" s="1573">
        <f t="shared" si="13"/>
        <v>43040</v>
      </c>
      <c r="H59" s="1573">
        <f t="shared" si="13"/>
        <v>43009</v>
      </c>
      <c r="I59" s="1573">
        <f t="shared" si="13"/>
        <v>42979</v>
      </c>
      <c r="J59" s="1573">
        <f t="shared" si="13"/>
        <v>42948</v>
      </c>
      <c r="K59" s="1573">
        <f t="shared" si="13"/>
        <v>42917</v>
      </c>
      <c r="L59" s="1573">
        <f t="shared" si="13"/>
        <v>42887</v>
      </c>
      <c r="M59" s="1573">
        <f t="shared" si="13"/>
        <v>42856</v>
      </c>
      <c r="N59" s="1573">
        <f t="shared" si="13"/>
        <v>42826</v>
      </c>
      <c r="O59" s="1573">
        <f t="shared" si="13"/>
        <v>42795</v>
      </c>
      <c r="P59" s="1569"/>
    </row>
    <row r="60" spans="1:29" s="117" customFormat="1" ht="15">
      <c r="A60" s="509"/>
      <c r="B60" s="510"/>
      <c r="C60" s="1571">
        <v>100</v>
      </c>
      <c r="D60" s="512"/>
      <c r="E60" s="512"/>
      <c r="F60" s="512"/>
      <c r="G60" s="512"/>
      <c r="H60" s="512"/>
      <c r="I60" s="512"/>
      <c r="J60" s="512"/>
      <c r="K60" s="512"/>
      <c r="L60" s="512"/>
      <c r="M60" s="513"/>
      <c r="N60" s="512"/>
      <c r="O60" s="513"/>
      <c r="P60" s="2672"/>
    </row>
    <row r="61" spans="1:29" s="117" customFormat="1" ht="15.75" thickBot="1">
      <c r="A61" s="515" t="s">
        <v>2571</v>
      </c>
      <c r="B61" s="516"/>
      <c r="C61" s="517"/>
      <c r="D61" s="518"/>
      <c r="E61" s="518"/>
      <c r="F61" s="518"/>
      <c r="G61" s="518"/>
      <c r="H61" s="518"/>
      <c r="I61" s="518"/>
      <c r="J61" s="518"/>
      <c r="K61" s="518"/>
      <c r="L61" s="518"/>
      <c r="M61" s="519"/>
      <c r="N61" s="518"/>
      <c r="O61" s="519"/>
      <c r="P61" s="2672"/>
      <c r="Q61" s="504"/>
    </row>
    <row r="62" spans="1:29" s="117" customFormat="1" ht="15">
      <c r="A62" s="521" t="s">
        <v>2536</v>
      </c>
      <c r="B62" s="510"/>
      <c r="C62" s="522" t="s">
        <v>2638</v>
      </c>
      <c r="D62" s="523"/>
      <c r="E62" s="523"/>
      <c r="F62" s="523"/>
      <c r="G62" s="523"/>
      <c r="H62" s="523"/>
      <c r="I62" s="523"/>
      <c r="J62" s="523"/>
      <c r="K62" s="523"/>
      <c r="L62" s="524"/>
      <c r="M62" s="525"/>
      <c r="N62" s="1149"/>
      <c r="O62" s="1149"/>
      <c r="P62" s="2673"/>
      <c r="Q62" s="504"/>
    </row>
    <row r="63" spans="1:29" s="117" customFormat="1" ht="15.75" thickBot="1">
      <c r="A63" s="521"/>
      <c r="B63" s="510"/>
      <c r="C63" s="511">
        <v>100</v>
      </c>
      <c r="D63" s="512"/>
      <c r="E63" s="512"/>
      <c r="F63" s="512"/>
      <c r="G63" s="512"/>
      <c r="H63" s="512"/>
      <c r="I63" s="512"/>
      <c r="J63" s="512"/>
      <c r="K63" s="512"/>
      <c r="L63" s="512"/>
      <c r="M63" s="514"/>
      <c r="N63" s="1149"/>
      <c r="O63" s="1149"/>
      <c r="P63" s="2672"/>
      <c r="Q63" s="504"/>
    </row>
    <row r="64" spans="1:29">
      <c r="A64" s="527" t="s">
        <v>2574</v>
      </c>
      <c r="B64" s="528" t="s">
        <v>2540</v>
      </c>
      <c r="C64" s="529">
        <f>C9</f>
        <v>0</v>
      </c>
      <c r="D64" s="530"/>
      <c r="E64" s="530"/>
      <c r="F64" s="530"/>
      <c r="G64" s="530"/>
      <c r="H64" s="530"/>
      <c r="I64" s="530"/>
      <c r="J64" s="530"/>
      <c r="K64" s="531"/>
      <c r="L64" s="532"/>
      <c r="M64" s="533"/>
      <c r="N64" s="1150"/>
      <c r="O64" s="1150"/>
      <c r="P64" s="2674"/>
      <c r="Q64" s="504"/>
    </row>
    <row r="65" spans="1:17" ht="15.75" thickBot="1">
      <c r="A65" s="534"/>
      <c r="B65" s="535"/>
      <c r="C65" s="536">
        <v>100</v>
      </c>
      <c r="D65" s="536"/>
      <c r="E65" s="536"/>
      <c r="F65" s="536"/>
      <c r="G65" s="536"/>
      <c r="H65" s="536"/>
      <c r="I65" s="536"/>
      <c r="J65" s="536"/>
      <c r="K65" s="536"/>
      <c r="L65" s="536"/>
      <c r="M65" s="537"/>
      <c r="N65" s="1151"/>
      <c r="O65" s="1151"/>
      <c r="P65" s="2674"/>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0"/>
      <c r="O66" s="1150"/>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74"/>
      <c r="Q67" s="504"/>
    </row>
    <row r="68" spans="1:17" ht="15.75" thickTop="1">
      <c r="A68" s="534"/>
      <c r="B68" s="546" t="s">
        <v>2544</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1"/>
      <c r="O68" s="1151"/>
      <c r="P68" s="2674"/>
      <c r="Q68" s="504"/>
    </row>
    <row r="69" spans="1:17" ht="15">
      <c r="A69" s="534"/>
      <c r="B69" s="548"/>
      <c r="C69" s="549"/>
      <c r="D69" s="549"/>
      <c r="E69" s="549"/>
      <c r="F69" s="549"/>
      <c r="G69" s="549"/>
      <c r="H69" s="549"/>
      <c r="I69" s="549"/>
      <c r="J69" s="549"/>
      <c r="K69" s="550"/>
      <c r="L69" s="551"/>
      <c r="M69" s="552"/>
      <c r="N69" s="1150"/>
      <c r="O69" s="1150"/>
      <c r="P69" s="267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1"/>
      <c r="O70" s="1151"/>
      <c r="P70" s="2674"/>
      <c r="Q70" s="504"/>
    </row>
    <row r="71" spans="1:17" s="471" customFormat="1" ht="15.75" thickTop="1">
      <c r="A71" s="553"/>
      <c r="B71" s="538">
        <f>B12</f>
        <v>111</v>
      </c>
      <c r="C71" s="554"/>
      <c r="D71" s="554"/>
      <c r="E71" s="554"/>
      <c r="F71" s="554"/>
      <c r="G71" s="554"/>
      <c r="H71" s="555"/>
      <c r="I71" s="555"/>
      <c r="J71" s="555"/>
      <c r="K71" s="555"/>
      <c r="L71" s="556"/>
      <c r="M71" s="557"/>
      <c r="N71" s="1152"/>
      <c r="O71" s="1152"/>
      <c r="P71" s="2675"/>
      <c r="Q71" s="559"/>
    </row>
    <row r="72" spans="1:17" s="471" customFormat="1" ht="15.75" thickBot="1">
      <c r="A72" s="553"/>
      <c r="B72" s="543"/>
      <c r="C72" s="560"/>
      <c r="D72" s="536"/>
      <c r="E72" s="536"/>
      <c r="F72" s="536"/>
      <c r="G72" s="536"/>
      <c r="H72" s="536"/>
      <c r="I72" s="536"/>
      <c r="J72" s="536"/>
      <c r="K72" s="536"/>
      <c r="L72" s="536"/>
      <c r="M72" s="537"/>
      <c r="N72" s="1151"/>
      <c r="O72" s="1151"/>
      <c r="P72" s="2675"/>
      <c r="Q72" s="559"/>
    </row>
    <row r="73" spans="1:17" s="471" customFormat="1" ht="15.75" thickTop="1">
      <c r="A73" s="553"/>
      <c r="B73" s="538">
        <f>B13</f>
        <v>111</v>
      </c>
      <c r="C73" s="554"/>
      <c r="D73" s="554"/>
      <c r="E73" s="554"/>
      <c r="F73" s="554"/>
      <c r="G73" s="554"/>
      <c r="H73" s="555"/>
      <c r="I73" s="555"/>
      <c r="J73" s="555"/>
      <c r="K73" s="555"/>
      <c r="L73" s="556"/>
      <c r="M73" s="557"/>
      <c r="N73" s="1152"/>
      <c r="O73" s="1152"/>
      <c r="P73" s="2676"/>
      <c r="Q73" s="561"/>
    </row>
    <row r="74" spans="1:17" s="471" customFormat="1" ht="15.75" thickBot="1">
      <c r="A74" s="553"/>
      <c r="B74" s="543"/>
      <c r="C74" s="560"/>
      <c r="D74" s="560"/>
      <c r="E74" s="560"/>
      <c r="F74" s="560"/>
      <c r="G74" s="560"/>
      <c r="H74" s="562"/>
      <c r="I74" s="562"/>
      <c r="J74" s="562"/>
      <c r="K74" s="562"/>
      <c r="L74" s="562"/>
      <c r="M74" s="563"/>
      <c r="N74" s="1152"/>
      <c r="O74" s="1152"/>
      <c r="P74" s="2675"/>
      <c r="Q74" s="559"/>
    </row>
    <row r="75" spans="1:17" s="471" customFormat="1" ht="15.75" thickTop="1">
      <c r="A75" s="553"/>
      <c r="B75" s="546">
        <f>B14</f>
        <v>111</v>
      </c>
      <c r="C75" s="523"/>
      <c r="D75" s="523"/>
      <c r="E75" s="523"/>
      <c r="F75" s="523"/>
      <c r="G75" s="523"/>
      <c r="H75" s="564"/>
      <c r="I75" s="564"/>
      <c r="J75" s="564"/>
      <c r="K75" s="564"/>
      <c r="L75" s="565"/>
      <c r="M75" s="566"/>
      <c r="N75" s="1152"/>
      <c r="O75" s="1152"/>
      <c r="P75" s="2677"/>
      <c r="Q75" s="559"/>
    </row>
    <row r="76" spans="1:17" s="471" customFormat="1" ht="15.75" thickBot="1">
      <c r="A76" s="568"/>
      <c r="B76" s="569"/>
      <c r="C76" s="570"/>
      <c r="D76" s="570"/>
      <c r="E76" s="570"/>
      <c r="F76" s="570"/>
      <c r="G76" s="570"/>
      <c r="H76" s="571"/>
      <c r="I76" s="571"/>
      <c r="J76" s="571"/>
      <c r="K76" s="571"/>
      <c r="L76" s="571"/>
      <c r="M76" s="572"/>
      <c r="N76" s="1152"/>
      <c r="O76" s="1152"/>
      <c r="P76" s="2675"/>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0"/>
      <c r="O77" s="1150"/>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74"/>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0"/>
      <c r="O79" s="1150"/>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74"/>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0"/>
      <c r="O81" s="1150"/>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74"/>
      <c r="Q82" s="504"/>
    </row>
    <row r="83" spans="1:17" ht="15.75" thickTop="1">
      <c r="A83" s="534"/>
      <c r="B83" s="546" t="s">
        <v>2675</v>
      </c>
      <c r="C83" s="659" t="s">
        <v>2661</v>
      </c>
      <c r="D83" s="659" t="s">
        <v>2662</v>
      </c>
      <c r="E83" s="659" t="s">
        <v>2663</v>
      </c>
      <c r="F83" s="659" t="s">
        <v>2664</v>
      </c>
      <c r="G83" s="659" t="s">
        <v>2665</v>
      </c>
      <c r="H83" s="539"/>
      <c r="I83" s="539"/>
      <c r="J83" s="539"/>
      <c r="K83" s="539"/>
      <c r="L83" s="539"/>
      <c r="M83" s="1380"/>
      <c r="N83" s="1151"/>
      <c r="O83" s="1151"/>
      <c r="P83" s="267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1"/>
      <c r="O84" s="1151"/>
      <c r="P84" s="2674"/>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0"/>
      <c r="O85" s="1150"/>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74"/>
      <c r="Q86" s="504"/>
    </row>
    <row r="87" spans="1:17" s="117" customFormat="1" ht="27.75" thickTop="1">
      <c r="A87" s="579"/>
      <c r="B87" s="538" t="s">
        <v>2685</v>
      </c>
      <c r="C87" s="554"/>
      <c r="D87" s="554"/>
      <c r="E87" s="554"/>
      <c r="F87" s="554"/>
      <c r="G87" s="554"/>
      <c r="H87" s="554"/>
      <c r="I87" s="554"/>
      <c r="J87" s="554"/>
      <c r="K87" s="554"/>
      <c r="L87" s="580"/>
      <c r="M87" s="581"/>
      <c r="N87" s="1149"/>
      <c r="O87" s="1149"/>
      <c r="P87" s="267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1"/>
      <c r="O88" s="1151"/>
      <c r="P88" s="2674"/>
      <c r="Q88" s="504"/>
    </row>
    <row r="89" spans="1:17" s="117" customFormat="1" ht="15.75" thickTop="1">
      <c r="A89" s="579"/>
      <c r="B89" s="538" t="str">
        <f>B27</f>
        <v>楼层</v>
      </c>
      <c r="C89" s="554"/>
      <c r="D89" s="554"/>
      <c r="E89" s="554"/>
      <c r="F89" s="2625"/>
      <c r="G89" s="554"/>
      <c r="H89" s="554"/>
      <c r="I89" s="554"/>
      <c r="J89" s="554"/>
      <c r="K89" s="554"/>
      <c r="L89" s="554"/>
      <c r="M89" s="581"/>
      <c r="N89" s="1149"/>
      <c r="O89" s="1149"/>
      <c r="P89" s="267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1"/>
      <c r="O90" s="1151"/>
      <c r="P90" s="267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7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2"/>
      <c r="O92" s="1152"/>
      <c r="P92" s="2675"/>
      <c r="Q92" s="559"/>
    </row>
    <row r="93" spans="1:17" ht="15.75" thickTop="1">
      <c r="A93" s="534"/>
      <c r="B93" s="538">
        <f>B29</f>
        <v>111</v>
      </c>
      <c r="C93" s="554"/>
      <c r="D93" s="554"/>
      <c r="E93" s="554"/>
      <c r="F93" s="554"/>
      <c r="G93" s="554"/>
      <c r="H93" s="554"/>
      <c r="I93" s="554"/>
      <c r="J93" s="554"/>
      <c r="K93" s="554"/>
      <c r="L93" s="580"/>
      <c r="M93" s="581"/>
      <c r="N93" s="1150"/>
      <c r="O93" s="1150"/>
      <c r="P93" s="2674"/>
      <c r="Q93" s="504"/>
    </row>
    <row r="94" spans="1:17" ht="15.75" thickBot="1">
      <c r="A94" s="534"/>
      <c r="B94" s="543"/>
      <c r="C94" s="560"/>
      <c r="D94" s="536"/>
      <c r="E94" s="536"/>
      <c r="F94" s="536"/>
      <c r="G94" s="536"/>
      <c r="H94" s="536"/>
      <c r="I94" s="536"/>
      <c r="J94" s="536"/>
      <c r="K94" s="536"/>
      <c r="L94" s="536"/>
      <c r="M94" s="537"/>
      <c r="N94" s="1151"/>
      <c r="O94" s="1151"/>
      <c r="P94" s="2674"/>
      <c r="Q94" s="504"/>
    </row>
    <row r="95" spans="1:17" ht="15.75" thickTop="1">
      <c r="A95" s="534"/>
      <c r="B95" s="538">
        <f>B30</f>
        <v>111</v>
      </c>
      <c r="C95" s="554"/>
      <c r="D95" s="554"/>
      <c r="E95" s="554"/>
      <c r="F95" s="554"/>
      <c r="G95" s="583"/>
      <c r="H95" s="583"/>
      <c r="I95" s="583"/>
      <c r="J95" s="583"/>
      <c r="K95" s="584"/>
      <c r="L95" s="585"/>
      <c r="M95" s="586"/>
      <c r="N95" s="1150"/>
      <c r="O95" s="1150"/>
      <c r="P95" s="2674"/>
      <c r="Q95" s="504"/>
    </row>
    <row r="96" spans="1:17" ht="15.75" thickBot="1">
      <c r="A96" s="534"/>
      <c r="B96" s="543"/>
      <c r="C96" s="560"/>
      <c r="D96" s="560"/>
      <c r="E96" s="560"/>
      <c r="F96" s="560"/>
      <c r="G96" s="536"/>
      <c r="H96" s="536"/>
      <c r="I96" s="536"/>
      <c r="J96" s="536"/>
      <c r="K96" s="536"/>
      <c r="L96" s="536"/>
      <c r="M96" s="537"/>
      <c r="N96" s="1151"/>
      <c r="O96" s="1151"/>
      <c r="P96" s="2674"/>
      <c r="Q96" s="504"/>
    </row>
    <row r="97" spans="1:17" ht="15.75" thickTop="1">
      <c r="A97" s="534"/>
      <c r="B97" s="538">
        <f>B31</f>
        <v>111</v>
      </c>
      <c r="C97" s="554"/>
      <c r="D97" s="554"/>
      <c r="E97" s="554"/>
      <c r="F97" s="554"/>
      <c r="G97" s="583"/>
      <c r="H97" s="583"/>
      <c r="I97" s="583"/>
      <c r="J97" s="583"/>
      <c r="K97" s="584"/>
      <c r="L97" s="585"/>
      <c r="M97" s="586"/>
      <c r="N97" s="1150"/>
      <c r="O97" s="1150"/>
      <c r="P97" s="2674"/>
      <c r="Q97" s="504"/>
    </row>
    <row r="98" spans="1:17" ht="15.75" thickBot="1">
      <c r="A98" s="534"/>
      <c r="B98" s="543"/>
      <c r="C98" s="560"/>
      <c r="D98" s="536"/>
      <c r="E98" s="536"/>
      <c r="F98" s="536"/>
      <c r="G98" s="536"/>
      <c r="H98" s="536"/>
      <c r="I98" s="536"/>
      <c r="J98" s="536"/>
      <c r="K98" s="536"/>
      <c r="L98" s="536"/>
      <c r="M98" s="537"/>
      <c r="N98" s="1151"/>
      <c r="O98" s="1151"/>
      <c r="P98" s="2674"/>
      <c r="Q98" s="504"/>
    </row>
    <row r="99" spans="1:17" ht="15.75" thickTop="1">
      <c r="A99" s="534"/>
      <c r="B99" s="546">
        <f>B32</f>
        <v>111</v>
      </c>
      <c r="C99" s="523"/>
      <c r="D99" s="523"/>
      <c r="E99" s="523"/>
      <c r="F99" s="523"/>
      <c r="G99" s="587"/>
      <c r="H99" s="587"/>
      <c r="I99" s="587"/>
      <c r="J99" s="587"/>
      <c r="K99" s="588"/>
      <c r="L99" s="589"/>
      <c r="M99" s="590"/>
      <c r="N99" s="1150"/>
      <c r="O99" s="1150"/>
      <c r="P99" s="2674"/>
      <c r="Q99" s="504"/>
    </row>
    <row r="100" spans="1:17" ht="15.75" thickBot="1">
      <c r="A100" s="2626"/>
      <c r="B100" s="569"/>
      <c r="C100" s="570"/>
      <c r="D100" s="570"/>
      <c r="E100" s="570"/>
      <c r="F100" s="570"/>
      <c r="G100" s="591"/>
      <c r="H100" s="591"/>
      <c r="I100" s="591"/>
      <c r="J100" s="591"/>
      <c r="K100" s="591"/>
      <c r="L100" s="591"/>
      <c r="M100" s="592"/>
      <c r="N100" s="1151"/>
      <c r="O100" s="1151"/>
      <c r="P100" s="2674"/>
      <c r="Q100" s="504"/>
    </row>
    <row r="101" spans="1:17">
      <c r="A101" s="527" t="s">
        <v>2549</v>
      </c>
      <c r="B101" s="528" t="s">
        <v>2598</v>
      </c>
      <c r="C101" s="530"/>
      <c r="D101" s="530"/>
      <c r="E101" s="530"/>
      <c r="F101" s="530"/>
      <c r="G101" s="530"/>
      <c r="H101" s="530"/>
      <c r="I101" s="530"/>
      <c r="J101" s="530"/>
      <c r="K101" s="531"/>
      <c r="L101" s="532"/>
      <c r="M101" s="533"/>
      <c r="N101" s="1150"/>
      <c r="O101" s="1150"/>
      <c r="P101" s="267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1"/>
      <c r="O102" s="1151"/>
      <c r="P102" s="2674"/>
      <c r="Q102" s="504"/>
    </row>
    <row r="103" spans="1:17" ht="15.75" thickTop="1">
      <c r="A103" s="534"/>
      <c r="B103" s="538" t="s">
        <v>2599</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1" t="str">
        <f>M104&amp;"(含)"&amp;"-"&amp;P104</f>
        <v>(含)-</v>
      </c>
      <c r="N103" s="1149"/>
      <c r="O103" s="1149"/>
      <c r="P103" s="2674"/>
      <c r="Q103" s="504"/>
    </row>
    <row r="104" spans="1:17" s="471" customFormat="1">
      <c r="A104" s="593"/>
      <c r="B104" s="594"/>
      <c r="C104" s="595"/>
      <c r="D104" s="595"/>
      <c r="E104" s="595"/>
      <c r="F104" s="595"/>
      <c r="G104" s="595"/>
      <c r="H104" s="595"/>
      <c r="I104" s="595"/>
      <c r="J104" s="596"/>
      <c r="K104" s="596"/>
      <c r="L104" s="597"/>
      <c r="M104" s="598"/>
      <c r="N104" s="1152"/>
      <c r="O104" s="1152"/>
      <c r="P104" s="267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75"/>
      <c r="Q105" s="559"/>
    </row>
    <row r="106" spans="1:17" ht="15" thickTop="1">
      <c r="A106" s="599"/>
      <c r="B106" s="538" t="s">
        <v>2600</v>
      </c>
      <c r="C106" s="554"/>
      <c r="D106" s="554"/>
      <c r="E106" s="583"/>
      <c r="F106" s="583"/>
      <c r="G106" s="583"/>
      <c r="H106" s="583"/>
      <c r="I106" s="583"/>
      <c r="J106" s="583"/>
      <c r="K106" s="584"/>
      <c r="L106" s="585"/>
      <c r="M106" s="586"/>
      <c r="N106" s="1150"/>
      <c r="O106" s="1150"/>
      <c r="P106" s="267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1"/>
      <c r="O107" s="1151"/>
      <c r="P107" s="2674"/>
      <c r="Q107" s="504"/>
    </row>
    <row r="108" spans="1:17" ht="15" thickTop="1">
      <c r="A108" s="599"/>
      <c r="B108" s="538" t="s">
        <v>2602</v>
      </c>
      <c r="C108" s="554"/>
      <c r="D108" s="554"/>
      <c r="E108" s="554"/>
      <c r="F108" s="583"/>
      <c r="G108" s="583"/>
      <c r="H108" s="583"/>
      <c r="I108" s="583"/>
      <c r="J108" s="583"/>
      <c r="K108" s="584"/>
      <c r="L108" s="585"/>
      <c r="M108" s="586"/>
      <c r="N108" s="1150"/>
      <c r="O108" s="1150"/>
      <c r="P108" s="267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1"/>
      <c r="O109" s="1151"/>
      <c r="P109" s="267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74"/>
      <c r="Q110" s="504"/>
    </row>
    <row r="111" spans="1:17">
      <c r="A111" s="599"/>
      <c r="B111" s="546"/>
      <c r="C111" s="603">
        <v>0.5</v>
      </c>
      <c r="D111" s="603">
        <v>0.6</v>
      </c>
      <c r="E111" s="603">
        <v>0.7</v>
      </c>
      <c r="F111" s="603">
        <v>0.8</v>
      </c>
      <c r="G111" s="603">
        <v>0.9</v>
      </c>
      <c r="H111" s="603">
        <v>1.0001</v>
      </c>
      <c r="I111" s="622"/>
      <c r="J111" s="622"/>
      <c r="K111" s="623"/>
      <c r="L111" s="624"/>
      <c r="M111" s="625"/>
      <c r="N111" s="1150"/>
      <c r="O111" s="1150"/>
      <c r="P111" s="267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1"/>
      <c r="O112" s="1151"/>
      <c r="P112" s="2674"/>
      <c r="Q112" s="504"/>
    </row>
    <row r="113" spans="1:17" s="471" customFormat="1" ht="15" thickTop="1">
      <c r="A113" s="593"/>
      <c r="B113" s="538" t="s">
        <v>2686</v>
      </c>
      <c r="C113" s="554"/>
      <c r="D113" s="554"/>
      <c r="E113" s="554"/>
      <c r="F113" s="554"/>
      <c r="G113" s="554"/>
      <c r="H113" s="583"/>
      <c r="I113" s="583"/>
      <c r="J113" s="583"/>
      <c r="K113" s="584"/>
      <c r="L113" s="585"/>
      <c r="M113" s="586"/>
      <c r="N113" s="1152"/>
      <c r="O113" s="1152"/>
      <c r="P113" s="267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2"/>
      <c r="O114" s="1152"/>
      <c r="P114" s="2675"/>
      <c r="Q114" s="559"/>
    </row>
    <row r="115" spans="1:17" ht="15" thickTop="1">
      <c r="A115" s="599"/>
      <c r="B115" s="538" t="s">
        <v>2603</v>
      </c>
      <c r="C115" s="554"/>
      <c r="D115" s="554"/>
      <c r="E115" s="583"/>
      <c r="F115" s="583"/>
      <c r="G115" s="583"/>
      <c r="H115" s="583"/>
      <c r="I115" s="583"/>
      <c r="J115" s="583"/>
      <c r="K115" s="584"/>
      <c r="L115" s="585"/>
      <c r="M115" s="586"/>
      <c r="N115" s="1150"/>
      <c r="O115" s="1150"/>
      <c r="P115" s="267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1"/>
      <c r="O116" s="1151"/>
      <c r="P116" s="2674"/>
      <c r="Q116" s="504"/>
    </row>
    <row r="117" spans="1:17" ht="15" thickTop="1">
      <c r="A117" s="599"/>
      <c r="B117" s="538" t="s">
        <v>2604</v>
      </c>
      <c r="C117" s="554"/>
      <c r="D117" s="554"/>
      <c r="E117" s="554"/>
      <c r="F117" s="554"/>
      <c r="G117" s="554"/>
      <c r="H117" s="583"/>
      <c r="I117" s="583"/>
      <c r="J117" s="583"/>
      <c r="K117" s="584"/>
      <c r="L117" s="585"/>
      <c r="M117" s="586"/>
      <c r="N117" s="1150"/>
      <c r="O117" s="1150"/>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74"/>
      <c r="Q118" s="504"/>
    </row>
    <row r="119" spans="1:17" ht="15" thickTop="1">
      <c r="A119" s="599"/>
      <c r="B119" s="635" t="s">
        <v>2687</v>
      </c>
      <c r="C119" s="583"/>
      <c r="D119" s="583"/>
      <c r="E119" s="583"/>
      <c r="F119" s="583"/>
      <c r="G119" s="583"/>
      <c r="H119" s="583"/>
      <c r="I119" s="583"/>
      <c r="J119" s="583"/>
      <c r="K119" s="583"/>
      <c r="L119" s="2679"/>
      <c r="M119" s="2680"/>
      <c r="N119" s="1151"/>
      <c r="O119" s="1151"/>
      <c r="P119" s="2681"/>
      <c r="Q119" s="637"/>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1"/>
      <c r="O120" s="1151"/>
      <c r="P120" s="2674"/>
      <c r="Q120" s="504"/>
    </row>
    <row r="121" spans="1:17" s="471" customFormat="1" ht="15" thickTop="1">
      <c r="A121" s="593"/>
      <c r="B121" s="538" t="s">
        <v>2670</v>
      </c>
      <c r="C121" s="554"/>
      <c r="D121" s="554"/>
      <c r="E121" s="554"/>
      <c r="F121" s="583"/>
      <c r="G121" s="555"/>
      <c r="H121" s="555"/>
      <c r="I121" s="555"/>
      <c r="J121" s="555"/>
      <c r="K121" s="555"/>
      <c r="L121" s="556"/>
      <c r="M121" s="557"/>
      <c r="N121" s="1152"/>
      <c r="O121" s="1152"/>
      <c r="P121" s="267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75"/>
      <c r="Q122" s="559"/>
    </row>
    <row r="123" spans="1:17" ht="15" thickTop="1">
      <c r="A123" s="599"/>
      <c r="B123" s="538" t="s">
        <v>2606</v>
      </c>
      <c r="C123" s="554"/>
      <c r="D123" s="554"/>
      <c r="E123" s="554"/>
      <c r="F123" s="583"/>
      <c r="G123" s="583"/>
      <c r="H123" s="583"/>
      <c r="I123" s="583"/>
      <c r="J123" s="583"/>
      <c r="K123" s="584"/>
      <c r="L123" s="585"/>
      <c r="M123" s="586"/>
      <c r="N123" s="1150"/>
      <c r="O123" s="1150"/>
      <c r="P123" s="267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1"/>
      <c r="O124" s="1151"/>
      <c r="P124" s="2674"/>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0"/>
      <c r="O125" s="1150"/>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7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7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75"/>
      <c r="Q128" s="559"/>
    </row>
    <row r="129" spans="1:17" ht="15" thickTop="1">
      <c r="A129" s="599"/>
      <c r="B129" s="538">
        <f>B46</f>
        <v>111</v>
      </c>
      <c r="C129" s="554"/>
      <c r="D129" s="554"/>
      <c r="E129" s="554"/>
      <c r="F129" s="554"/>
      <c r="G129" s="583"/>
      <c r="H129" s="583"/>
      <c r="I129" s="583"/>
      <c r="J129" s="583"/>
      <c r="K129" s="584"/>
      <c r="L129" s="585"/>
      <c r="M129" s="586"/>
      <c r="N129" s="1150"/>
      <c r="O129" s="1150"/>
      <c r="P129" s="2674"/>
      <c r="Q129" s="504"/>
    </row>
    <row r="130" spans="1:17" ht="15.75" thickBot="1">
      <c r="A130" s="534"/>
      <c r="B130" s="543"/>
      <c r="C130" s="560"/>
      <c r="D130" s="560"/>
      <c r="E130" s="560"/>
      <c r="F130" s="560"/>
      <c r="G130" s="536"/>
      <c r="H130" s="536"/>
      <c r="I130" s="536"/>
      <c r="J130" s="536"/>
      <c r="K130" s="536"/>
      <c r="L130" s="536"/>
      <c r="M130" s="537"/>
      <c r="N130" s="1151"/>
      <c r="O130" s="1151"/>
      <c r="P130" s="2674"/>
      <c r="Q130" s="504"/>
    </row>
    <row r="131" spans="1:17" ht="15" thickTop="1">
      <c r="A131" s="599"/>
      <c r="B131" s="546">
        <f>B47</f>
        <v>111</v>
      </c>
      <c r="C131" s="523"/>
      <c r="D131" s="523"/>
      <c r="E131" s="523"/>
      <c r="F131" s="523"/>
      <c r="G131" s="587"/>
      <c r="H131" s="587"/>
      <c r="I131" s="587"/>
      <c r="J131" s="587"/>
      <c r="K131" s="523"/>
      <c r="L131" s="524"/>
      <c r="M131" s="590"/>
      <c r="N131" s="1150"/>
      <c r="O131" s="1150"/>
      <c r="P131" s="2674"/>
      <c r="Q131" s="504"/>
    </row>
    <row r="132" spans="1:17" ht="15.75" thickBot="1">
      <c r="A132" s="2626"/>
      <c r="B132" s="569"/>
      <c r="C132" s="570"/>
      <c r="D132" s="570"/>
      <c r="E132" s="570"/>
      <c r="F132" s="570"/>
      <c r="G132" s="591"/>
      <c r="H132" s="591"/>
      <c r="I132" s="591"/>
      <c r="J132" s="591"/>
      <c r="K132" s="591"/>
      <c r="L132" s="591"/>
      <c r="M132" s="592"/>
      <c r="N132" s="1151"/>
      <c r="O132" s="1151"/>
      <c r="P132" s="267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2514</v>
      </c>
      <c r="B1" s="2659" t="s">
        <v>2688</v>
      </c>
      <c r="C1" s="1618" t="s">
        <v>2516</v>
      </c>
      <c r="D1" s="1619"/>
      <c r="E1" s="1628"/>
      <c r="F1" s="2577"/>
      <c r="G1" s="1629" t="s">
        <v>2629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IF(C2="——",ROUND(C43*D3/10000,0),ROUND(C43*D3/10000,0)-D2)</f>
        <v>#DIV/0!</v>
      </c>
      <c r="C2" s="2579"/>
      <c r="D2" s="1122" t="e">
        <f ca="1">SUMIF(INDIRECT("'"&amp;F2&amp;"'"&amp;"!A:A"),"承租人权益价值",INDIRECT("'"&amp;F2&amp;"'"&amp;"!c:c"))</f>
        <v>#REF!</v>
      </c>
      <c r="E2" s="2580" t="s">
        <v>2317</v>
      </c>
      <c r="F2" s="2581"/>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2630</v>
      </c>
      <c r="D3" s="399">
        <f>IF(D1="",'数据-汇总表'!E3,SUMIF('数据-汇总表'!$C19:$C33,D1,'数据-汇总表'!$E19:$E33))</f>
        <v>31952.659999999996</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2631</v>
      </c>
      <c r="B4" s="402"/>
      <c r="C4" s="3215" t="s">
        <v>2632</v>
      </c>
      <c r="D4" s="3216"/>
      <c r="E4" s="3217" t="s">
        <v>2633</v>
      </c>
      <c r="F4" s="3218"/>
      <c r="G4" s="3215" t="s">
        <v>2634</v>
      </c>
      <c r="H4" s="3216"/>
      <c r="I4" s="3215" t="s">
        <v>2635</v>
      </c>
      <c r="J4" s="3216"/>
      <c r="K4" s="610" t="s">
        <v>2636</v>
      </c>
      <c r="L4" s="1128"/>
      <c r="M4" s="1129"/>
      <c r="N4" s="1129"/>
      <c r="O4" s="1129"/>
      <c r="P4" s="3219" t="s">
        <v>2637</v>
      </c>
      <c r="Q4" s="3220"/>
      <c r="R4" s="3201" t="s">
        <v>2633</v>
      </c>
      <c r="S4" s="3202"/>
      <c r="T4" s="3201" t="s">
        <v>2634</v>
      </c>
      <c r="U4" s="3202"/>
      <c r="V4" s="3227" t="s">
        <v>2635</v>
      </c>
      <c r="W4" s="3227"/>
      <c r="X4" s="1811"/>
      <c r="Y4" s="3201" t="s">
        <v>2637</v>
      </c>
      <c r="Z4" s="3202"/>
      <c r="AA4" s="3196" t="s">
        <v>2633</v>
      </c>
      <c r="AB4" s="3197" t="s">
        <v>2634</v>
      </c>
      <c r="AC4" s="3196" t="s">
        <v>2635</v>
      </c>
    </row>
    <row r="5" spans="1:29" ht="15">
      <c r="A5" s="404"/>
      <c r="B5" s="405"/>
      <c r="C5" s="3211" t="s">
        <v>2528</v>
      </c>
      <c r="D5" s="3208"/>
      <c r="E5" s="3205" t="s">
        <v>2529</v>
      </c>
      <c r="F5" s="3206"/>
      <c r="G5" s="3211" t="s">
        <v>2530</v>
      </c>
      <c r="H5" s="3208"/>
      <c r="I5" s="3211" t="s">
        <v>2531</v>
      </c>
      <c r="J5" s="3208"/>
      <c r="K5" s="610"/>
      <c r="L5" s="1128"/>
      <c r="M5" s="1129"/>
      <c r="N5" s="1129"/>
      <c r="O5" s="1129"/>
      <c r="P5" s="3221"/>
      <c r="Q5" s="3222"/>
      <c r="R5" s="3203"/>
      <c r="S5" s="3204"/>
      <c r="T5" s="3203"/>
      <c r="U5" s="3204"/>
      <c r="V5" s="3227"/>
      <c r="W5" s="3227"/>
      <c r="X5" s="1811"/>
      <c r="Y5" s="3203"/>
      <c r="Z5" s="3204"/>
      <c r="AA5" s="3197"/>
      <c r="AB5" s="3197"/>
      <c r="AC5" s="3197"/>
    </row>
    <row r="6" spans="1:29" ht="15.75" thickBot="1">
      <c r="A6" s="406"/>
      <c r="B6" s="407"/>
      <c r="C6" s="3209" t="s">
        <v>2532</v>
      </c>
      <c r="D6" s="3210"/>
      <c r="E6" s="3212" t="s">
        <v>2532</v>
      </c>
      <c r="F6" s="3213"/>
      <c r="G6" s="3209" t="s">
        <v>2532</v>
      </c>
      <c r="H6" s="3210"/>
      <c r="I6" s="3209" t="s">
        <v>2532</v>
      </c>
      <c r="J6" s="3210"/>
      <c r="K6" s="610" t="s">
        <v>2533</v>
      </c>
      <c r="L6" s="1128"/>
      <c r="M6" s="1129"/>
      <c r="N6" s="1129"/>
      <c r="O6" s="1129"/>
      <c r="P6" s="3223"/>
      <c r="Q6" s="3224"/>
      <c r="R6" s="3203"/>
      <c r="S6" s="3204"/>
      <c r="T6" s="3225"/>
      <c r="U6" s="3226"/>
      <c r="V6" s="3227"/>
      <c r="W6" s="3227"/>
      <c r="X6" s="1811"/>
      <c r="Y6" s="3225"/>
      <c r="Z6" s="3226"/>
      <c r="AA6" s="3198"/>
      <c r="AB6" s="3198"/>
      <c r="AC6" s="3198"/>
    </row>
    <row r="7" spans="1:29" s="117" customFormat="1" ht="15.75" thickBot="1">
      <c r="A7" s="408" t="s">
        <v>2534</v>
      </c>
      <c r="B7" s="409"/>
      <c r="C7" s="410">
        <f>'数据-取费表'!B2</f>
        <v>43165</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9" t="s">
        <v>2535</v>
      </c>
      <c r="Q7" s="3228"/>
      <c r="R7" s="769" t="s">
        <v>17</v>
      </c>
      <c r="S7" s="770">
        <f t="shared" ref="S7:S15" si="0">F7</f>
        <v>0</v>
      </c>
      <c r="T7" s="769" t="s">
        <v>17</v>
      </c>
      <c r="U7" s="770">
        <f t="shared" ref="U7:U15" si="1">H7</f>
        <v>0</v>
      </c>
      <c r="V7" s="769" t="s">
        <v>17</v>
      </c>
      <c r="W7" s="770">
        <f t="shared" ref="W7:W15" si="2">J7</f>
        <v>0</v>
      </c>
      <c r="X7" s="771"/>
      <c r="Y7" s="3199" t="s">
        <v>2535</v>
      </c>
      <c r="Z7" s="3200"/>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9" t="s">
        <v>2538</v>
      </c>
      <c r="Q8" s="3200"/>
      <c r="R8" s="769" t="s">
        <v>17</v>
      </c>
      <c r="S8" s="770">
        <f t="shared" si="0"/>
        <v>0</v>
      </c>
      <c r="T8" s="769" t="s">
        <v>17</v>
      </c>
      <c r="U8" s="770">
        <f t="shared" si="1"/>
        <v>0</v>
      </c>
      <c r="V8" s="769" t="s">
        <v>17</v>
      </c>
      <c r="W8" s="770">
        <f t="shared" si="2"/>
        <v>0</v>
      </c>
      <c r="X8" s="771"/>
      <c r="Y8" s="3199" t="s">
        <v>2538</v>
      </c>
      <c r="Z8" s="3200"/>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4" t="s">
        <v>2541</v>
      </c>
      <c r="Q9" s="1793" t="str">
        <f t="shared" ref="Q9:Q15" si="6">B9</f>
        <v>用途</v>
      </c>
      <c r="R9" s="769" t="s">
        <v>17</v>
      </c>
      <c r="S9" s="770">
        <f t="shared" si="0"/>
        <v>100</v>
      </c>
      <c r="T9" s="769" t="s">
        <v>17</v>
      </c>
      <c r="U9" s="770">
        <f t="shared" si="1"/>
        <v>100</v>
      </c>
      <c r="V9" s="769" t="s">
        <v>17</v>
      </c>
      <c r="W9" s="770">
        <f t="shared" si="2"/>
        <v>100</v>
      </c>
      <c r="X9" s="771"/>
      <c r="Y9" s="3076"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4"/>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4"/>
      <c r="Q11" s="1793"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136">
        <f>SUMIF(64:64,E12,65:65)-SUMIF(64:64,C12,65:65)+100</f>
        <v>100</v>
      </c>
      <c r="G12" s="2682"/>
      <c r="H12" s="136">
        <f>SUMIF(64:64,G12,65:65)-SUMIF(64:64,C12,65:65)+100</f>
        <v>100</v>
      </c>
      <c r="I12" s="469"/>
      <c r="J12" s="136">
        <f>SUMIF(64:64,I12,65:65)-SUMIF(64:64,C12,65:65)+100</f>
        <v>100</v>
      </c>
      <c r="K12" s="613"/>
      <c r="L12" s="1130"/>
      <c r="M12" s="1131"/>
      <c r="N12" s="1131"/>
      <c r="O12" s="1132"/>
      <c r="P12" s="3214"/>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
      <c r="A13" s="428"/>
      <c r="B13" s="2592">
        <v>111</v>
      </c>
      <c r="C13" s="434"/>
      <c r="D13" s="435">
        <v>100</v>
      </c>
      <c r="E13" s="434"/>
      <c r="F13" s="136">
        <f>SUMIF(66:66,E13,67:67)-SUMIF(66:66,C13,67:67)+100</f>
        <v>100</v>
      </c>
      <c r="G13" s="2682"/>
      <c r="H13" s="435">
        <f>SUMIF(66:66,G13,67:67)-SUMIF(66:66,C13,67:67)+100</f>
        <v>100</v>
      </c>
      <c r="I13" s="469"/>
      <c r="J13" s="435">
        <f>SUMIF(66:66,I13,67:67)-SUMIF(66:66,C13,67:67)+100</f>
        <v>100</v>
      </c>
      <c r="K13" s="613"/>
      <c r="L13" s="1138"/>
      <c r="M13" s="1129"/>
      <c r="N13" s="1129"/>
      <c r="O13" s="1137"/>
      <c r="P13" s="3214"/>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15.75" thickBot="1">
      <c r="A14" s="436"/>
      <c r="B14" s="2594">
        <v>111</v>
      </c>
      <c r="C14" s="437"/>
      <c r="D14" s="438">
        <v>100</v>
      </c>
      <c r="E14" s="437"/>
      <c r="F14" s="438">
        <f>SUMIF(68:68,E14,69:69)-SUMIF(68:68,C14,69:69)+100</f>
        <v>100</v>
      </c>
      <c r="G14" s="2682"/>
      <c r="H14" s="438">
        <f>SUMIF(68:68,G14,69:69)-SUMIF(68:68,C14,69:69)+100</f>
        <v>100</v>
      </c>
      <c r="I14" s="469"/>
      <c r="J14" s="438">
        <f>SUMIF(68:68,I14,69:69)-SUMIF(68:68,C14,69:69)+100</f>
        <v>100</v>
      </c>
      <c r="K14" s="613"/>
      <c r="L14" s="1138"/>
      <c r="M14" s="1129"/>
      <c r="N14" s="1129"/>
      <c r="O14" s="1137"/>
      <c r="P14" s="3214"/>
      <c r="Q14" s="1793">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772">
        <f t="shared" si="5"/>
        <v>1</v>
      </c>
    </row>
    <row r="15" spans="1:29" ht="15">
      <c r="A15" s="440" t="s">
        <v>2545</v>
      </c>
      <c r="B15" s="69" t="s">
        <v>2689</v>
      </c>
      <c r="C15" s="268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29" t="s">
        <v>2546</v>
      </c>
      <c r="Q15" s="1808" t="str">
        <f t="shared" si="6"/>
        <v>产业集聚程度</v>
      </c>
      <c r="R15" s="773" t="s">
        <v>17</v>
      </c>
      <c r="S15" s="774">
        <f t="shared" si="0"/>
        <v>100</v>
      </c>
      <c r="T15" s="773" t="s">
        <v>17</v>
      </c>
      <c r="U15" s="774">
        <f t="shared" si="1"/>
        <v>100</v>
      </c>
      <c r="V15" s="773" t="s">
        <v>17</v>
      </c>
      <c r="W15" s="774">
        <f t="shared" si="2"/>
        <v>100</v>
      </c>
      <c r="X15" s="1811"/>
      <c r="Y15" s="3229"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30"/>
      <c r="Q16" s="1808"/>
      <c r="R16" s="773"/>
      <c r="S16" s="774"/>
      <c r="T16" s="773"/>
      <c r="U16" s="774"/>
      <c r="V16" s="773"/>
      <c r="W16" s="774"/>
      <c r="X16" s="1811"/>
      <c r="Y16" s="3230"/>
      <c r="Z16" s="1812"/>
      <c r="AA16" s="1809">
        <v>1</v>
      </c>
      <c r="AB16" s="1809">
        <v>1</v>
      </c>
      <c r="AC16" s="1809">
        <v>1</v>
      </c>
    </row>
    <row r="17" spans="1:29" ht="15">
      <c r="A17" s="428"/>
      <c r="B17" s="451" t="s">
        <v>2088</v>
      </c>
      <c r="C17" s="259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3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456"/>
      <c r="C18" s="2600"/>
      <c r="D18" s="450"/>
      <c r="E18" s="2602"/>
      <c r="F18" s="453"/>
      <c r="G18" s="2601"/>
      <c r="H18" s="448"/>
      <c r="I18" s="2602"/>
      <c r="J18" s="448"/>
      <c r="K18" s="615"/>
      <c r="L18" s="1138"/>
      <c r="M18" s="1129"/>
      <c r="N18" s="1129"/>
      <c r="O18" s="1137"/>
      <c r="P18" s="3230"/>
      <c r="Q18" s="1808"/>
      <c r="R18" s="773"/>
      <c r="S18" s="774"/>
      <c r="T18" s="773"/>
      <c r="U18" s="774"/>
      <c r="V18" s="773"/>
      <c r="W18" s="774"/>
      <c r="X18" s="1811"/>
      <c r="Y18" s="3230"/>
      <c r="Z18" s="1812"/>
      <c r="AA18" s="1809">
        <v>1</v>
      </c>
      <c r="AB18" s="1809">
        <v>1</v>
      </c>
      <c r="AC18" s="1809">
        <v>1</v>
      </c>
    </row>
    <row r="19" spans="1:29" ht="15">
      <c r="A19" s="428"/>
      <c r="B19" s="451" t="s">
        <v>2674</v>
      </c>
      <c r="C19" s="259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30"/>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1809">
        <f t="shared" si="5"/>
        <v>1</v>
      </c>
    </row>
    <row r="20" spans="1:29" ht="15">
      <c r="A20" s="428"/>
      <c r="B20" s="456"/>
      <c r="C20" s="447"/>
      <c r="D20" s="448"/>
      <c r="E20" s="2597"/>
      <c r="F20" s="449"/>
      <c r="G20" s="2596"/>
      <c r="H20" s="448"/>
      <c r="I20" s="2597"/>
      <c r="J20" s="448"/>
      <c r="K20" s="615"/>
      <c r="L20" s="1138"/>
      <c r="M20" s="1129"/>
      <c r="N20" s="1129"/>
      <c r="O20" s="1137"/>
      <c r="P20" s="3230"/>
      <c r="Q20" s="1808"/>
      <c r="R20" s="773"/>
      <c r="S20" s="774"/>
      <c r="T20" s="773"/>
      <c r="U20" s="774"/>
      <c r="V20" s="773"/>
      <c r="W20" s="774"/>
      <c r="X20" s="1811"/>
      <c r="Y20" s="3230"/>
      <c r="Z20" s="1812"/>
      <c r="AA20" s="1809">
        <v>1</v>
      </c>
      <c r="AB20" s="1809">
        <v>1</v>
      </c>
      <c r="AC20" s="1809">
        <v>1</v>
      </c>
    </row>
    <row r="21" spans="1:29" ht="15">
      <c r="A21" s="428"/>
      <c r="B21" s="1382" t="s">
        <v>2675</v>
      </c>
      <c r="C21" s="259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30"/>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D21/F21</f>
        <v>1</v>
      </c>
      <c r="AB21" s="1809">
        <f>D21/H21</f>
        <v>1</v>
      </c>
      <c r="AC21" s="1809">
        <f>D21/J21</f>
        <v>1</v>
      </c>
    </row>
    <row r="22" spans="1:29" ht="15">
      <c r="A22" s="428"/>
      <c r="B22" s="1382"/>
      <c r="C22" s="2600"/>
      <c r="D22" s="448"/>
      <c r="E22" s="447"/>
      <c r="F22" s="449"/>
      <c r="G22" s="447"/>
      <c r="H22" s="448"/>
      <c r="I22" s="447"/>
      <c r="J22" s="448"/>
      <c r="K22" s="1381"/>
      <c r="L22" s="1138"/>
      <c r="M22" s="1129"/>
      <c r="N22" s="1129"/>
      <c r="O22" s="1137"/>
      <c r="P22" s="3230"/>
      <c r="Q22" s="1808"/>
      <c r="R22" s="773"/>
      <c r="S22" s="774"/>
      <c r="T22" s="773"/>
      <c r="U22" s="774"/>
      <c r="V22" s="773"/>
      <c r="W22" s="774"/>
      <c r="X22" s="1811"/>
      <c r="Y22" s="3230"/>
      <c r="Z22" s="1812"/>
      <c r="AA22" s="1809">
        <v>1</v>
      </c>
      <c r="AB22" s="1809">
        <v>1</v>
      </c>
      <c r="AC22" s="1809">
        <v>1</v>
      </c>
    </row>
    <row r="23" spans="1:29" ht="15">
      <c r="A23" s="428"/>
      <c r="B23" s="451" t="s">
        <v>2676</v>
      </c>
      <c r="C23" s="259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30"/>
      <c r="Q23" s="1808" t="str">
        <f>B23</f>
        <v>环境质量</v>
      </c>
      <c r="R23" s="773" t="s">
        <v>17</v>
      </c>
      <c r="S23" s="774">
        <f>F23</f>
        <v>100</v>
      </c>
      <c r="T23" s="773" t="s">
        <v>17</v>
      </c>
      <c r="U23" s="774">
        <f>H23</f>
        <v>100</v>
      </c>
      <c r="V23" s="773" t="s">
        <v>17</v>
      </c>
      <c r="W23" s="774">
        <f>J23</f>
        <v>100</v>
      </c>
      <c r="X23" s="1811"/>
      <c r="Y23" s="3230"/>
      <c r="Z23" s="1812" t="str">
        <f>Q23</f>
        <v>环境质量</v>
      </c>
      <c r="AA23" s="1809">
        <f t="shared" si="3"/>
        <v>1</v>
      </c>
      <c r="AB23" s="1809">
        <f t="shared" si="4"/>
        <v>1</v>
      </c>
      <c r="AC23" s="1809">
        <f t="shared" si="5"/>
        <v>1</v>
      </c>
    </row>
    <row r="24" spans="1:29" ht="15">
      <c r="A24" s="428"/>
      <c r="B24" s="1382"/>
      <c r="C24" s="447"/>
      <c r="D24" s="448"/>
      <c r="E24" s="2597"/>
      <c r="F24" s="449"/>
      <c r="G24" s="2596"/>
      <c r="H24" s="448"/>
      <c r="I24" s="2597"/>
      <c r="J24" s="448"/>
      <c r="K24" s="615"/>
      <c r="L24" s="1138"/>
      <c r="M24" s="1129"/>
      <c r="N24" s="1129"/>
      <c r="O24" s="1137"/>
      <c r="P24" s="3230"/>
      <c r="Q24" s="1808"/>
      <c r="R24" s="773"/>
      <c r="S24" s="774"/>
      <c r="T24" s="773"/>
      <c r="U24" s="774"/>
      <c r="V24" s="773"/>
      <c r="W24" s="774"/>
      <c r="X24" s="1811"/>
      <c r="Y24" s="323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30"/>
      <c r="Q25" s="1808">
        <f>B25</f>
        <v>111</v>
      </c>
      <c r="R25" s="773" t="s">
        <v>17</v>
      </c>
      <c r="S25" s="774">
        <f>F25</f>
        <v>100</v>
      </c>
      <c r="T25" s="773" t="s">
        <v>17</v>
      </c>
      <c r="U25" s="774">
        <f>H25</f>
        <v>100</v>
      </c>
      <c r="V25" s="773" t="s">
        <v>17</v>
      </c>
      <c r="W25" s="774">
        <f>J25</f>
        <v>100</v>
      </c>
      <c r="X25" s="1811"/>
      <c r="Y25" s="323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30"/>
      <c r="Q26" s="1808">
        <f t="shared" ref="Q26:Q40" si="8">B26</f>
        <v>111</v>
      </c>
      <c r="R26" s="773" t="s">
        <v>17</v>
      </c>
      <c r="S26" s="774">
        <f>F26</f>
        <v>100</v>
      </c>
      <c r="T26" s="773" t="s">
        <v>17</v>
      </c>
      <c r="U26" s="774">
        <f>H26</f>
        <v>100</v>
      </c>
      <c r="V26" s="773" t="s">
        <v>17</v>
      </c>
      <c r="W26" s="774">
        <f>J26</f>
        <v>100</v>
      </c>
      <c r="X26" s="1811"/>
      <c r="Y26" s="323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30"/>
      <c r="Q27" s="1793">
        <f t="shared" si="8"/>
        <v>111</v>
      </c>
      <c r="R27" s="769" t="s">
        <v>17</v>
      </c>
      <c r="S27" s="770">
        <f>F27</f>
        <v>100</v>
      </c>
      <c r="T27" s="769" t="s">
        <v>17</v>
      </c>
      <c r="U27" s="770">
        <f>H27</f>
        <v>100</v>
      </c>
      <c r="V27" s="769" t="s">
        <v>17</v>
      </c>
      <c r="W27" s="770">
        <f>J27</f>
        <v>100</v>
      </c>
      <c r="X27" s="771"/>
      <c r="Y27" s="323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30"/>
      <c r="Q28" s="1808">
        <f t="shared" si="8"/>
        <v>111</v>
      </c>
      <c r="R28" s="773" t="s">
        <v>17</v>
      </c>
      <c r="S28" s="774">
        <f t="shared" ref="S28:S40" si="9">F28</f>
        <v>100</v>
      </c>
      <c r="T28" s="773" t="s">
        <v>17</v>
      </c>
      <c r="U28" s="774">
        <f t="shared" ref="U28:U40" si="10">H28</f>
        <v>100</v>
      </c>
      <c r="V28" s="773" t="s">
        <v>17</v>
      </c>
      <c r="W28" s="774">
        <f t="shared" ref="W28:W40" si="11">J28</f>
        <v>100</v>
      </c>
      <c r="X28" s="1811"/>
      <c r="Y28" s="3230"/>
      <c r="Z28" s="1812">
        <f t="shared" ref="Z28:Z40" si="12">Q28</f>
        <v>111</v>
      </c>
      <c r="AA28" s="1809">
        <f t="shared" si="3"/>
        <v>1</v>
      </c>
      <c r="AB28" s="1809">
        <f t="shared" si="4"/>
        <v>1</v>
      </c>
      <c r="AC28" s="1809">
        <f t="shared" si="5"/>
        <v>1</v>
      </c>
    </row>
    <row r="29" spans="1:29" ht="15">
      <c r="A29" s="466" t="s">
        <v>2549</v>
      </c>
      <c r="B29" s="71" t="s">
        <v>2679</v>
      </c>
      <c r="C29" s="2669"/>
      <c r="D29" s="467">
        <v>100</v>
      </c>
      <c r="E29" s="2669"/>
      <c r="F29" s="461">
        <f>SUMIF(88:88,E29,89:89)-SUMIF(88:88,C29,89:89)+100</f>
        <v>100</v>
      </c>
      <c r="G29" s="2669"/>
      <c r="H29" s="435">
        <f>SUMIF(88:88,G29,89:89)-SUMIF(88:88,C29,89:89)+100</f>
        <v>100</v>
      </c>
      <c r="I29" s="2669"/>
      <c r="J29" s="467">
        <f>SUMIF(88:88,I29,89:89)-SUMIF(88:88,C29,89:89)+100</f>
        <v>100</v>
      </c>
      <c r="K29" s="612"/>
      <c r="L29" s="1138"/>
      <c r="M29" s="1129"/>
      <c r="N29" s="1129"/>
      <c r="O29" s="1137"/>
      <c r="P29" s="3231" t="s">
        <v>2551</v>
      </c>
      <c r="Q29" s="1808" t="str">
        <f t="shared" si="8"/>
        <v>建筑类型</v>
      </c>
      <c r="R29" s="773" t="s">
        <v>17</v>
      </c>
      <c r="S29" s="774">
        <f t="shared" si="9"/>
        <v>100</v>
      </c>
      <c r="T29" s="773" t="s">
        <v>17</v>
      </c>
      <c r="U29" s="774">
        <f t="shared" si="10"/>
        <v>100</v>
      </c>
      <c r="V29" s="773" t="s">
        <v>17</v>
      </c>
      <c r="W29" s="774">
        <f t="shared" si="11"/>
        <v>100</v>
      </c>
      <c r="X29" s="1811"/>
      <c r="Y29" s="3232" t="s">
        <v>2551</v>
      </c>
      <c r="Z29" s="1812" t="str">
        <f t="shared" si="12"/>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32"/>
      <c r="Q30" s="775" t="str">
        <f t="shared" si="8"/>
        <v>项目建筑规模</v>
      </c>
      <c r="R30" s="776" t="s">
        <v>17</v>
      </c>
      <c r="S30" s="777" t="e">
        <f t="shared" si="9"/>
        <v>#N/A</v>
      </c>
      <c r="T30" s="776" t="s">
        <v>17</v>
      </c>
      <c r="U30" s="777" t="e">
        <f t="shared" si="10"/>
        <v>#N/A</v>
      </c>
      <c r="V30" s="776" t="s">
        <v>17</v>
      </c>
      <c r="W30" s="777" t="e">
        <f t="shared" si="11"/>
        <v>#N/A</v>
      </c>
      <c r="X30" s="778"/>
      <c r="Y30" s="3232"/>
      <c r="Z30" s="779" t="str">
        <f t="shared" si="12"/>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32"/>
      <c r="Q31" s="1808" t="str">
        <f t="shared" si="8"/>
        <v>建筑结构</v>
      </c>
      <c r="R31" s="773" t="s">
        <v>17</v>
      </c>
      <c r="S31" s="774">
        <f t="shared" si="9"/>
        <v>100</v>
      </c>
      <c r="T31" s="773" t="s">
        <v>17</v>
      </c>
      <c r="U31" s="774">
        <f t="shared" si="10"/>
        <v>100</v>
      </c>
      <c r="V31" s="773" t="s">
        <v>17</v>
      </c>
      <c r="W31" s="774">
        <f t="shared" si="11"/>
        <v>100</v>
      </c>
      <c r="X31" s="1811"/>
      <c r="Y31" s="3232"/>
      <c r="Z31" s="1812" t="str">
        <f t="shared" si="12"/>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32"/>
      <c r="Q32" s="1808" t="str">
        <f t="shared" si="8"/>
        <v>公共部分装修</v>
      </c>
      <c r="R32" s="773" t="s">
        <v>17</v>
      </c>
      <c r="S32" s="774">
        <f t="shared" si="9"/>
        <v>100</v>
      </c>
      <c r="T32" s="773" t="s">
        <v>17</v>
      </c>
      <c r="U32" s="774">
        <f t="shared" si="10"/>
        <v>100</v>
      </c>
      <c r="V32" s="773" t="s">
        <v>17</v>
      </c>
      <c r="W32" s="774">
        <f t="shared" si="11"/>
        <v>100</v>
      </c>
      <c r="X32" s="1811"/>
      <c r="Y32" s="3232"/>
      <c r="Z32" s="1812" t="str">
        <f t="shared" si="12"/>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32"/>
      <c r="Q33" s="1808" t="str">
        <f t="shared" si="8"/>
        <v>成新度</v>
      </c>
      <c r="R33" s="773" t="s">
        <v>17</v>
      </c>
      <c r="S33" s="774" t="e">
        <f t="shared" si="9"/>
        <v>#N/A</v>
      </c>
      <c r="T33" s="773" t="s">
        <v>17</v>
      </c>
      <c r="U33" s="774" t="e">
        <f t="shared" si="10"/>
        <v>#N/A</v>
      </c>
      <c r="V33" s="773" t="s">
        <v>17</v>
      </c>
      <c r="W33" s="774" t="e">
        <f t="shared" si="11"/>
        <v>#N/A</v>
      </c>
      <c r="X33" s="1811"/>
      <c r="Y33" s="3232"/>
      <c r="Z33" s="1812" t="str">
        <f t="shared" si="12"/>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32"/>
      <c r="Q34" s="1793" t="str">
        <f t="shared" si="8"/>
        <v>物业管理</v>
      </c>
      <c r="R34" s="769" t="s">
        <v>17</v>
      </c>
      <c r="S34" s="770">
        <f t="shared" si="9"/>
        <v>100</v>
      </c>
      <c r="T34" s="769" t="s">
        <v>17</v>
      </c>
      <c r="U34" s="770">
        <f t="shared" si="10"/>
        <v>100</v>
      </c>
      <c r="V34" s="769" t="s">
        <v>17</v>
      </c>
      <c r="W34" s="770">
        <f t="shared" si="11"/>
        <v>100</v>
      </c>
      <c r="X34" s="771"/>
      <c r="Y34" s="3232"/>
      <c r="Z34" s="55" t="str">
        <f t="shared" si="12"/>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32" t="s">
        <v>2551</v>
      </c>
      <c r="Q35" s="1808" t="str">
        <f t="shared" si="8"/>
        <v>市政基础设施</v>
      </c>
      <c r="R35" s="773" t="s">
        <v>17</v>
      </c>
      <c r="S35" s="774">
        <f t="shared" si="9"/>
        <v>100</v>
      </c>
      <c r="T35" s="773" t="s">
        <v>17</v>
      </c>
      <c r="U35" s="774">
        <f t="shared" si="10"/>
        <v>100</v>
      </c>
      <c r="V35" s="773" t="s">
        <v>17</v>
      </c>
      <c r="W35" s="774">
        <f t="shared" si="11"/>
        <v>100</v>
      </c>
      <c r="X35" s="1811"/>
      <c r="Y35" s="3232" t="s">
        <v>2551</v>
      </c>
      <c r="Z35" s="1812" t="str">
        <f t="shared" si="12"/>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32"/>
      <c r="Q36" s="1808" t="str">
        <f t="shared" si="8"/>
        <v>内部装修</v>
      </c>
      <c r="R36" s="773" t="s">
        <v>17</v>
      </c>
      <c r="S36" s="774">
        <f t="shared" si="9"/>
        <v>100</v>
      </c>
      <c r="T36" s="773" t="s">
        <v>17</v>
      </c>
      <c r="U36" s="774">
        <f t="shared" si="10"/>
        <v>100</v>
      </c>
      <c r="V36" s="773" t="s">
        <v>17</v>
      </c>
      <c r="W36" s="774">
        <f t="shared" si="11"/>
        <v>100</v>
      </c>
      <c r="X36" s="1811"/>
      <c r="Y36" s="3232"/>
      <c r="Z36" s="1812" t="str">
        <f t="shared" si="12"/>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32"/>
      <c r="Q37" s="1808" t="str">
        <f t="shared" si="8"/>
        <v>内部装修状况</v>
      </c>
      <c r="R37" s="773" t="s">
        <v>17</v>
      </c>
      <c r="S37" s="774">
        <f t="shared" si="9"/>
        <v>100</v>
      </c>
      <c r="T37" s="773" t="s">
        <v>17</v>
      </c>
      <c r="U37" s="774">
        <f t="shared" si="10"/>
        <v>100</v>
      </c>
      <c r="V37" s="773" t="s">
        <v>17</v>
      </c>
      <c r="W37" s="774">
        <f t="shared" si="11"/>
        <v>100</v>
      </c>
      <c r="X37" s="1811"/>
      <c r="Y37" s="3232"/>
      <c r="Z37" s="1812" t="str">
        <f t="shared" si="12"/>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32"/>
      <c r="Q38" s="775">
        <f t="shared" si="8"/>
        <v>111</v>
      </c>
      <c r="R38" s="776" t="s">
        <v>17</v>
      </c>
      <c r="S38" s="777">
        <f t="shared" si="9"/>
        <v>100</v>
      </c>
      <c r="T38" s="776" t="s">
        <v>17</v>
      </c>
      <c r="U38" s="777">
        <f t="shared" si="10"/>
        <v>100</v>
      </c>
      <c r="V38" s="776" t="s">
        <v>17</v>
      </c>
      <c r="W38" s="777">
        <f t="shared" si="11"/>
        <v>100</v>
      </c>
      <c r="X38" s="778"/>
      <c r="Y38" s="3232"/>
      <c r="Z38" s="779">
        <f t="shared" si="12"/>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32"/>
      <c r="Q39" s="1808">
        <f t="shared" si="8"/>
        <v>111</v>
      </c>
      <c r="R39" s="773" t="s">
        <v>17</v>
      </c>
      <c r="S39" s="774">
        <f t="shared" si="9"/>
        <v>100</v>
      </c>
      <c r="T39" s="773" t="s">
        <v>17</v>
      </c>
      <c r="U39" s="774">
        <f t="shared" si="10"/>
        <v>100</v>
      </c>
      <c r="V39" s="773" t="s">
        <v>17</v>
      </c>
      <c r="W39" s="774">
        <f t="shared" si="11"/>
        <v>100</v>
      </c>
      <c r="X39" s="1811"/>
      <c r="Y39" s="3232"/>
      <c r="Z39" s="1812">
        <f t="shared" si="12"/>
        <v>111</v>
      </c>
      <c r="AA39" s="1809">
        <f t="shared" si="3"/>
        <v>1</v>
      </c>
      <c r="AB39" s="1809">
        <f t="shared" si="4"/>
        <v>1</v>
      </c>
      <c r="AC39" s="1809">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78"/>
      <c r="Q40" s="1808">
        <f t="shared" si="8"/>
        <v>111</v>
      </c>
      <c r="R40" s="773" t="s">
        <v>17</v>
      </c>
      <c r="S40" s="774">
        <f t="shared" si="9"/>
        <v>100</v>
      </c>
      <c r="T40" s="773" t="s">
        <v>17</v>
      </c>
      <c r="U40" s="774">
        <f t="shared" si="10"/>
        <v>100</v>
      </c>
      <c r="V40" s="773" t="s">
        <v>17</v>
      </c>
      <c r="W40" s="774">
        <f t="shared" si="11"/>
        <v>100</v>
      </c>
      <c r="X40" s="1811"/>
      <c r="Y40" s="3278"/>
      <c r="Z40" s="1812">
        <f t="shared" si="12"/>
        <v>111</v>
      </c>
      <c r="AA40" s="1809">
        <f t="shared" si="3"/>
        <v>1</v>
      </c>
      <c r="AB40" s="1809">
        <f t="shared" si="4"/>
        <v>1</v>
      </c>
      <c r="AC40" s="1809">
        <f t="shared" si="5"/>
        <v>1</v>
      </c>
    </row>
    <row r="41" spans="1:29" ht="15">
      <c r="A41" s="479" t="s">
        <v>2563</v>
      </c>
      <c r="B41" s="480"/>
      <c r="C41" s="1405" t="s">
        <v>1</v>
      </c>
      <c r="D41" s="1406"/>
      <c r="E41" s="1407"/>
      <c r="F41" s="1408"/>
      <c r="G41" s="1409"/>
      <c r="H41" s="1410"/>
      <c r="I41" s="1407"/>
      <c r="J41" s="1410"/>
      <c r="K41" s="782"/>
      <c r="L41" s="1141"/>
      <c r="M41" s="1142"/>
      <c r="N41" s="1129"/>
      <c r="O41" s="1142"/>
      <c r="P41" s="3214" t="str">
        <f>A41</f>
        <v>成交单价（元/平方米）</v>
      </c>
      <c r="Q41" s="3214"/>
      <c r="R41" s="3274">
        <f>E41</f>
        <v>0</v>
      </c>
      <c r="S41" s="3274"/>
      <c r="T41" s="3274">
        <f>G41</f>
        <v>0</v>
      </c>
      <c r="U41" s="3274"/>
      <c r="V41" s="3274">
        <f>I41</f>
        <v>0</v>
      </c>
      <c r="W41" s="3274"/>
      <c r="X41" s="758"/>
      <c r="Y41" s="780"/>
      <c r="Z41" s="758"/>
      <c r="AA41" s="758"/>
      <c r="AB41" s="758"/>
      <c r="AC41" s="758"/>
    </row>
    <row r="42" spans="1:29" ht="15.75" thickBot="1">
      <c r="A42" s="486" t="s">
        <v>2655</v>
      </c>
      <c r="B42" s="487"/>
      <c r="C42" s="1411" t="e">
        <f>R43</f>
        <v>#DIV/0!</v>
      </c>
      <c r="D42" s="1412"/>
      <c r="E42" s="1413" t="e">
        <f>R42</f>
        <v>#DIV/0!</v>
      </c>
      <c r="F42" s="1413"/>
      <c r="G42" s="1411" t="e">
        <f>T42</f>
        <v>#DIV/0!</v>
      </c>
      <c r="H42" s="1412"/>
      <c r="I42" s="1413" t="e">
        <f>V42</f>
        <v>#DIV/0!</v>
      </c>
      <c r="J42" s="1412"/>
      <c r="K42" s="783"/>
      <c r="L42" s="1141"/>
      <c r="M42" s="1142"/>
      <c r="N42" s="1129"/>
      <c r="O42" s="1142"/>
      <c r="P42" s="3214" t="str">
        <f>A42</f>
        <v>比较价值（元/平方米）</v>
      </c>
      <c r="Q42" s="3214"/>
      <c r="R42" s="3274" t="e">
        <f>IF(F1="售价",ROUND(PRODUCT(R41,AA7:AA40),0),ROUND(PRODUCT(R41,AA7:AA40),1))</f>
        <v>#DIV/0!</v>
      </c>
      <c r="S42" s="3274"/>
      <c r="T42" s="3274" t="e">
        <f>IF(F1="售价",ROUND(PRODUCT(T41,AB7:AB40),0),ROUND(PRODUCT(T41,AB7:AB40),1))</f>
        <v>#DIV/0!</v>
      </c>
      <c r="U42" s="3274"/>
      <c r="V42" s="3274" t="e">
        <f>IF(F1="售价",ROUND(PRODUCT(V41,AC7:AC40),0),ROUND(PRODUCT(V41,AC7:AC40),1))</f>
        <v>#DIV/0!</v>
      </c>
      <c r="W42" s="3274"/>
      <c r="X42" s="758"/>
      <c r="Y42" s="758"/>
      <c r="Z42" s="758"/>
      <c r="AA42" s="758"/>
      <c r="AB42" s="758"/>
      <c r="AC42" s="758"/>
    </row>
    <row r="43" spans="1:29" ht="15.75" thickBot="1">
      <c r="A43" s="492" t="s">
        <v>2656</v>
      </c>
      <c r="B43" s="493"/>
      <c r="C43" s="1415" t="e">
        <f>R43</f>
        <v>#DIV/0!</v>
      </c>
      <c r="D43" s="1415"/>
      <c r="E43" s="1415"/>
      <c r="F43" s="1415"/>
      <c r="G43" s="1415"/>
      <c r="H43" s="1415"/>
      <c r="I43" s="1415"/>
      <c r="J43" s="1415"/>
      <c r="K43" s="784"/>
      <c r="L43" s="1141"/>
      <c r="M43" s="1142"/>
      <c r="N43" s="1142"/>
      <c r="O43" s="1142"/>
      <c r="P43" s="3234" t="str">
        <f>A43</f>
        <v>估价对象XX用房的比较价值（楼面单价，元/平方米）</v>
      </c>
      <c r="Q43" s="3235"/>
      <c r="R43" s="3273" t="e">
        <f>IF(F1="售价",ROUND(AVERAGE(R42:V42),0),ROUND(AVERAGE(R42:V42),1))</f>
        <v>#DIV/0!</v>
      </c>
      <c r="S43" s="3273"/>
      <c r="T43" s="3273"/>
      <c r="U43" s="3273"/>
      <c r="V43" s="3273"/>
      <c r="W43" s="3273"/>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2660</v>
      </c>
      <c r="B51" s="758"/>
      <c r="C51" s="763"/>
      <c r="D51" s="763"/>
      <c r="E51" s="763"/>
      <c r="F51" s="764"/>
      <c r="G51" s="764"/>
      <c r="H51" s="763"/>
      <c r="I51" s="763"/>
      <c r="J51" s="763"/>
      <c r="K51" s="1158"/>
      <c r="L51" s="1159"/>
      <c r="M51" s="1157"/>
      <c r="N51" s="1157"/>
      <c r="O51" s="1157"/>
      <c r="P51" s="503"/>
      <c r="Q51" s="504"/>
    </row>
    <row r="52" spans="1:17" s="508" customFormat="1" ht="15">
      <c r="A52" s="505" t="s">
        <v>2534</v>
      </c>
      <c r="B52" s="506"/>
      <c r="C52" s="1572" t="str">
        <f>YEAR(C7)&amp;"-"&amp;MONTH(C7)</f>
        <v>2018-3</v>
      </c>
      <c r="D52" s="1573">
        <f>EDATE(C52,-1)</f>
        <v>43132</v>
      </c>
      <c r="E52" s="1573">
        <f t="shared" ref="E52:O52" si="13">EDATE(D52,-1)</f>
        <v>43101</v>
      </c>
      <c r="F52" s="1573">
        <f t="shared" si="13"/>
        <v>43070</v>
      </c>
      <c r="G52" s="1573">
        <f t="shared" si="13"/>
        <v>43040</v>
      </c>
      <c r="H52" s="1573">
        <f t="shared" si="13"/>
        <v>43009</v>
      </c>
      <c r="I52" s="1573">
        <f t="shared" si="13"/>
        <v>42979</v>
      </c>
      <c r="J52" s="1573">
        <f t="shared" si="13"/>
        <v>42948</v>
      </c>
      <c r="K52" s="1573">
        <f t="shared" si="13"/>
        <v>42917</v>
      </c>
      <c r="L52" s="1573">
        <f t="shared" si="13"/>
        <v>42887</v>
      </c>
      <c r="M52" s="1573">
        <f t="shared" si="13"/>
        <v>42856</v>
      </c>
      <c r="N52" s="1573">
        <f t="shared" si="13"/>
        <v>42826</v>
      </c>
      <c r="O52" s="1573">
        <f t="shared" si="13"/>
        <v>42795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49"/>
      <c r="O55" s="1149"/>
      <c r="P55" s="526"/>
      <c r="Q55" s="504"/>
    </row>
    <row r="56" spans="1:17" s="117" customFormat="1" ht="15.75" thickBot="1">
      <c r="A56" s="521"/>
      <c r="B56" s="510"/>
      <c r="C56" s="638">
        <v>100</v>
      </c>
      <c r="D56" s="512"/>
      <c r="E56" s="512"/>
      <c r="F56" s="512"/>
      <c r="G56" s="512"/>
      <c r="H56" s="512"/>
      <c r="I56" s="512"/>
      <c r="J56" s="512"/>
      <c r="K56" s="512"/>
      <c r="L56" s="512"/>
      <c r="M56" s="514"/>
      <c r="N56" s="1149"/>
      <c r="O56" s="1149"/>
      <c r="P56" s="504"/>
      <c r="Q56" s="504"/>
    </row>
    <row r="57" spans="1:17">
      <c r="A57" s="527" t="s">
        <v>2574</v>
      </c>
      <c r="B57" s="528" t="s">
        <v>2540</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2544</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2675</v>
      </c>
      <c r="C76" s="659" t="s">
        <v>2661</v>
      </c>
      <c r="D76" s="659" t="s">
        <v>2662</v>
      </c>
      <c r="E76" s="659" t="s">
        <v>2663</v>
      </c>
      <c r="F76" s="659" t="s">
        <v>2664</v>
      </c>
      <c r="G76" s="659" t="s">
        <v>2665</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1"/>
      <c r="O77" s="1151"/>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26"/>
      <c r="B87" s="569"/>
      <c r="C87" s="570"/>
      <c r="D87" s="570"/>
      <c r="E87" s="570"/>
      <c r="F87" s="570"/>
      <c r="G87" s="591"/>
      <c r="H87" s="591"/>
      <c r="I87" s="591"/>
      <c r="J87" s="591"/>
      <c r="K87" s="591"/>
      <c r="L87" s="591"/>
      <c r="M87" s="592"/>
      <c r="N87" s="1151"/>
      <c r="O87" s="1151"/>
      <c r="P87" s="45"/>
      <c r="Q87" s="504"/>
    </row>
    <row r="88" spans="1:17">
      <c r="A88" s="527" t="s">
        <v>2549</v>
      </c>
      <c r="B88" s="528" t="s">
        <v>2598</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1"/>
      <c r="O89" s="1151"/>
      <c r="P89" s="45"/>
      <c r="Q89" s="504"/>
    </row>
    <row r="90" spans="1:17" ht="15.75" thickTop="1">
      <c r="A90" s="534"/>
      <c r="B90" s="538" t="s">
        <v>2599</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1"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2600</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1"/>
      <c r="O94" s="1151"/>
      <c r="P94" s="45"/>
      <c r="Q94" s="504"/>
    </row>
    <row r="95" spans="1:17" ht="15" thickTop="1">
      <c r="A95" s="599"/>
      <c r="B95" s="538" t="s">
        <v>2602</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1"/>
      <c r="O96" s="1151"/>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2"/>
      <c r="J98" s="622"/>
      <c r="K98" s="623"/>
      <c r="L98" s="624"/>
      <c r="M98" s="625"/>
      <c r="N98" s="1150"/>
      <c r="O98" s="1150"/>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1"/>
      <c r="O99" s="1151"/>
      <c r="P99" s="45"/>
      <c r="Q99" s="504"/>
    </row>
    <row r="100" spans="1:17" s="471" customFormat="1" ht="15" thickTop="1">
      <c r="A100" s="593"/>
      <c r="B100" s="538" t="s">
        <v>2603</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2"/>
      <c r="O101" s="1152"/>
      <c r="P101" s="558"/>
      <c r="Q101" s="559"/>
    </row>
    <row r="102" spans="1:17" ht="15" thickTop="1">
      <c r="A102" s="599"/>
      <c r="B102" s="538" t="s">
        <v>2604</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1"/>
      <c r="O103" s="1151"/>
      <c r="P103" s="45"/>
      <c r="Q103" s="504"/>
    </row>
    <row r="104" spans="1:17" ht="15" thickTop="1">
      <c r="A104" s="599"/>
      <c r="B104" s="538" t="s">
        <v>2606</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5" t="s">
        <v>2692</v>
      </c>
      <c r="C106" s="578" t="s">
        <v>2583</v>
      </c>
      <c r="D106" s="578" t="s">
        <v>2584</v>
      </c>
      <c r="E106" s="578" t="s">
        <v>2585</v>
      </c>
      <c r="F106" s="578" t="s">
        <v>2586</v>
      </c>
      <c r="G106" s="578" t="s">
        <v>2587</v>
      </c>
      <c r="H106" s="539"/>
      <c r="I106" s="539"/>
      <c r="J106" s="539"/>
      <c r="K106" s="540"/>
      <c r="L106" s="541"/>
      <c r="M106" s="542"/>
      <c r="N106" s="1151"/>
      <c r="O106" s="1151"/>
      <c r="P106" s="636"/>
      <c r="Q106" s="637"/>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2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北京绿地京翰房地产开发有限公司：</v>
      </c>
    </row>
    <row r="4" spans="1:1" ht="54">
      <c r="A4" s="1946" t="str">
        <f>"受贵公司委托，我公司对"&amp;项目基本情况!S1&amp;"进行了预评估。"</f>
        <v>受贵公司委托，我公司对北京市大兴区黄村镇四街、五街、六街村项目DX00-0208-6001地块4、6-10号楼住宅、地下仓储、地下车库用房出让国有建设用地使用权及在建建筑物房地产抵押价值进行了预评估。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四街、五街、六街村项目DX00-0208-6001地块4、6-10号楼住宅、地下仓储、地下车库用房出让国有建设用地使用权及在建建筑物房地产，为所有。根据《不动产权证书》，估价对象（分摊）出让国有建设用地使用权面积为7892.1平方米。根据《不动产权证书》、《测绘报告》，估价对象建筑面积为31952.66平方米。</v>
      </c>
    </row>
    <row r="8" spans="1:1" ht="57.75">
      <c r="A8" s="1949" t="s">
        <v>1615</v>
      </c>
    </row>
    <row r="9" spans="1:1" ht="18.75">
      <c r="A9" s="1948" t="s">
        <v>1616</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四街、五街、六街村项目DX00-0208-6001地块4、6-10号楼住宅、地下仓储、地下车库用房出让国有建设用地使用权及在建建筑物房地产,属开发建设的居住项目，该项目尚在开发建设中。根据《不动产权证书》，估价对象（分摊）出让国有建设用地使用权面积为7892.1平方米。根据《不动产权证书》、《测绘报告》，估价对象规划建筑面积为31952.66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为估价委托人在向渤海银行股份有限公司北京市分行办理贷款手续过程中，确定房地产抵押贷款额度提供参考依据而评估房地产抵押价值。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2018年3月6日（评估专业人员实地查勘之日）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本次评估采用的主估价方法为比较法和假设开发法。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2693</v>
      </c>
      <c r="B1" s="1617" t="s">
        <v>3062</v>
      </c>
      <c r="C1" s="1618" t="s">
        <v>2516</v>
      </c>
      <c r="D1" s="1619" t="s">
        <v>3062</v>
      </c>
      <c r="E1" s="1620"/>
      <c r="F1" s="2577" t="s">
        <v>3202</v>
      </c>
      <c r="G1" s="1621" t="s">
        <v>2629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6" t="e">
        <f>IF(C2="——",IF(B37="元/平方米",ROUND(C39*D3/10000,0),ROUND(F3*C39/10000,0)),IF(B37="元/平方米",ROUND(C39*D3/10000,0),ROUND(F3*C39/10000,0))-D2)</f>
        <v>#DIV/0!</v>
      </c>
      <c r="C2" s="2579" t="s">
        <v>70</v>
      </c>
      <c r="D2" s="1122" t="e">
        <f ca="1">SUMIF(INDIRECT("'"&amp;F2&amp;"'"&amp;"!A:A"),"承租人权益价值",INDIRECT("'"&amp;F2&amp;"'"&amp;"!c:c"))</f>
        <v>#REF!</v>
      </c>
      <c r="E2" s="2580" t="s">
        <v>2317</v>
      </c>
      <c r="F2" s="2581"/>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8" customFormat="1" ht="28.5" customHeight="1" thickBot="1">
      <c r="A3" s="247" t="s">
        <v>2318</v>
      </c>
      <c r="B3" s="609" t="e">
        <f>IF(AND(C2="——",B37="元/平方米"),C39,ROUND(B2*10000/D3,0))</f>
        <v>#DIV/0!</v>
      </c>
      <c r="C3" s="400" t="s">
        <v>2630</v>
      </c>
      <c r="D3" s="399">
        <f>SUMIF('数据-汇总表'!$C19:$C33,D1,'数据-汇总表'!$E19:$E33)</f>
        <v>0</v>
      </c>
      <c r="E3" s="400" t="s">
        <v>2694</v>
      </c>
      <c r="F3" s="399">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1" t="s">
        <v>2631</v>
      </c>
      <c r="B4" s="402"/>
      <c r="C4" s="3215" t="s">
        <v>2632</v>
      </c>
      <c r="D4" s="3216"/>
      <c r="E4" s="3217" t="s">
        <v>2633</v>
      </c>
      <c r="F4" s="3218"/>
      <c r="G4" s="3215" t="s">
        <v>2634</v>
      </c>
      <c r="H4" s="3216"/>
      <c r="I4" s="3215" t="s">
        <v>2635</v>
      </c>
      <c r="J4" s="3216"/>
      <c r="K4" s="610" t="s">
        <v>2636</v>
      </c>
      <c r="L4" s="1128"/>
      <c r="M4" s="1129"/>
      <c r="N4" s="1129"/>
      <c r="O4" s="1129"/>
      <c r="P4" s="3219" t="s">
        <v>2637</v>
      </c>
      <c r="Q4" s="3220"/>
      <c r="R4" s="3201" t="s">
        <v>2633</v>
      </c>
      <c r="S4" s="3202"/>
      <c r="T4" s="3201" t="s">
        <v>2634</v>
      </c>
      <c r="U4" s="3202"/>
      <c r="V4" s="3227" t="s">
        <v>2635</v>
      </c>
      <c r="W4" s="3227"/>
      <c r="X4" s="1811"/>
      <c r="Y4" s="3201" t="s">
        <v>2637</v>
      </c>
      <c r="Z4" s="3202"/>
      <c r="AA4" s="3196" t="s">
        <v>2633</v>
      </c>
      <c r="AB4" s="3197" t="s">
        <v>2634</v>
      </c>
      <c r="AC4" s="3196" t="s">
        <v>2635</v>
      </c>
    </row>
    <row r="5" spans="1:29" ht="15">
      <c r="A5" s="404"/>
      <c r="B5" s="405"/>
      <c r="C5" s="3211" t="s">
        <v>2528</v>
      </c>
      <c r="D5" s="3208"/>
      <c r="E5" s="3270" t="s">
        <v>3182</v>
      </c>
      <c r="F5" s="3206"/>
      <c r="G5" s="3207" t="s">
        <v>3203</v>
      </c>
      <c r="H5" s="3208"/>
      <c r="I5" s="3207" t="s">
        <v>3204</v>
      </c>
      <c r="J5" s="3208"/>
      <c r="K5" s="610"/>
      <c r="L5" s="1128"/>
      <c r="M5" s="1129"/>
      <c r="N5" s="1129"/>
      <c r="O5" s="1129"/>
      <c r="P5" s="3221"/>
      <c r="Q5" s="3222"/>
      <c r="R5" s="3203"/>
      <c r="S5" s="3204"/>
      <c r="T5" s="3203"/>
      <c r="U5" s="3204"/>
      <c r="V5" s="3227"/>
      <c r="W5" s="3227"/>
      <c r="X5" s="1811"/>
      <c r="Y5" s="3203"/>
      <c r="Z5" s="3204"/>
      <c r="AA5" s="3197"/>
      <c r="AB5" s="3197"/>
      <c r="AC5" s="3197"/>
    </row>
    <row r="6" spans="1:29" ht="15.75" thickBot="1">
      <c r="A6" s="406"/>
      <c r="B6" s="407"/>
      <c r="C6" s="3209" t="s">
        <v>2532</v>
      </c>
      <c r="D6" s="3210"/>
      <c r="E6" s="3212" t="s">
        <v>2532</v>
      </c>
      <c r="F6" s="3213"/>
      <c r="G6" s="3209" t="s">
        <v>2532</v>
      </c>
      <c r="H6" s="3210"/>
      <c r="I6" s="3209" t="s">
        <v>2532</v>
      </c>
      <c r="J6" s="3210"/>
      <c r="K6" s="610" t="s">
        <v>2533</v>
      </c>
      <c r="L6" s="1128"/>
      <c r="M6" s="1129"/>
      <c r="N6" s="1129"/>
      <c r="O6" s="1129"/>
      <c r="P6" s="3223"/>
      <c r="Q6" s="3224"/>
      <c r="R6" s="3203"/>
      <c r="S6" s="3204"/>
      <c r="T6" s="3225"/>
      <c r="U6" s="3226"/>
      <c r="V6" s="3227"/>
      <c r="W6" s="3227"/>
      <c r="X6" s="1811"/>
      <c r="Y6" s="3225"/>
      <c r="Z6" s="3226"/>
      <c r="AA6" s="3198"/>
      <c r="AB6" s="3198"/>
      <c r="AC6" s="3198"/>
    </row>
    <row r="7" spans="1:29" s="117" customFormat="1" ht="15.75" thickBot="1">
      <c r="A7" s="408" t="s">
        <v>2534</v>
      </c>
      <c r="B7" s="409"/>
      <c r="C7" s="410">
        <f>'数据-取费表'!B2</f>
        <v>43165</v>
      </c>
      <c r="D7" s="411">
        <v>100</v>
      </c>
      <c r="E7" s="2981">
        <v>43155</v>
      </c>
      <c r="F7" s="2982">
        <f>SUMIF(48:48,YEAR(E7)&amp;"-"&amp;MONTH(E7),49:49)</f>
        <v>100</v>
      </c>
      <c r="G7" s="2981">
        <v>43143</v>
      </c>
      <c r="H7" s="2984">
        <f>SUMIF(48:48,YEAR(G7)&amp;"-"&amp;MONTH(G7),49:49)</f>
        <v>100</v>
      </c>
      <c r="I7" s="2981">
        <v>43140</v>
      </c>
      <c r="J7" s="2984">
        <f>SUMIF(48:48,YEAR(I7)&amp;"-"&amp;MONTH(I7),49:49)</f>
        <v>100</v>
      </c>
      <c r="K7" s="611"/>
      <c r="L7" s="1130"/>
      <c r="M7" s="1131"/>
      <c r="N7" s="1131"/>
      <c r="O7" s="1131"/>
      <c r="P7" s="3199" t="s">
        <v>2535</v>
      </c>
      <c r="Q7" s="3228"/>
      <c r="R7" s="769" t="s">
        <v>17</v>
      </c>
      <c r="S7" s="770">
        <f t="shared" ref="S7:S14" si="0">F7</f>
        <v>100</v>
      </c>
      <c r="T7" s="769" t="s">
        <v>17</v>
      </c>
      <c r="U7" s="770">
        <f t="shared" ref="U7:U14" si="1">H7</f>
        <v>100</v>
      </c>
      <c r="V7" s="769" t="s">
        <v>17</v>
      </c>
      <c r="W7" s="770">
        <f t="shared" ref="W7:W14" si="2">J7</f>
        <v>100</v>
      </c>
      <c r="X7" s="771"/>
      <c r="Y7" s="3199" t="s">
        <v>2535</v>
      </c>
      <c r="Z7" s="3200"/>
      <c r="AA7" s="772">
        <f>D7/F7</f>
        <v>1</v>
      </c>
      <c r="AB7" s="772">
        <f>D7/H7</f>
        <v>1</v>
      </c>
      <c r="AC7" s="772">
        <f>D7/J7</f>
        <v>1</v>
      </c>
    </row>
    <row r="8" spans="1:29" s="117" customFormat="1" ht="15.75" thickBot="1">
      <c r="A8" s="408" t="s">
        <v>2536</v>
      </c>
      <c r="B8" s="409"/>
      <c r="C8" s="414" t="s">
        <v>2638</v>
      </c>
      <c r="D8" s="411">
        <v>100</v>
      </c>
      <c r="E8" s="414" t="s">
        <v>2573</v>
      </c>
      <c r="F8" s="413">
        <f>SUMIF(51:51,E8,52:52)-SUMIF(51:51,C8,52:52)+100</f>
        <v>100</v>
      </c>
      <c r="G8" s="414" t="s">
        <v>2573</v>
      </c>
      <c r="H8" s="411">
        <f>SUMIF(51:51,G8,52:52)-SUMIF(51:51,C8,52:52)+100</f>
        <v>100</v>
      </c>
      <c r="I8" s="414" t="s">
        <v>2573</v>
      </c>
      <c r="J8" s="411">
        <f>SUMIF(51:51,I8,52:52)-SUMIF(51:51,C8,52:52)+100</f>
        <v>100</v>
      </c>
      <c r="K8" s="611"/>
      <c r="L8" s="1130"/>
      <c r="M8" s="1131"/>
      <c r="N8" s="1131"/>
      <c r="O8" s="1131"/>
      <c r="P8" s="3199" t="s">
        <v>2538</v>
      </c>
      <c r="Q8" s="3200"/>
      <c r="R8" s="769" t="s">
        <v>17</v>
      </c>
      <c r="S8" s="770">
        <f t="shared" si="0"/>
        <v>100</v>
      </c>
      <c r="T8" s="769" t="s">
        <v>17</v>
      </c>
      <c r="U8" s="770">
        <f t="shared" si="1"/>
        <v>100</v>
      </c>
      <c r="V8" s="769" t="s">
        <v>17</v>
      </c>
      <c r="W8" s="770">
        <f t="shared" si="2"/>
        <v>100</v>
      </c>
      <c r="X8" s="771"/>
      <c r="Y8" s="3199" t="s">
        <v>2538</v>
      </c>
      <c r="Z8" s="3200"/>
      <c r="AA8" s="772">
        <f t="shared" ref="AA8:AA36" si="3">D8/F8</f>
        <v>1</v>
      </c>
      <c r="AB8" s="772">
        <f t="shared" ref="AB8:AB36" si="4">D8/H8</f>
        <v>1</v>
      </c>
      <c r="AC8" s="772">
        <f t="shared" ref="AC8:AC36" si="5">D8/J8</f>
        <v>1</v>
      </c>
    </row>
    <row r="9" spans="1:29" s="117" customFormat="1">
      <c r="A9" s="68" t="s">
        <v>2539</v>
      </c>
      <c r="B9" s="639" t="s">
        <v>2540</v>
      </c>
      <c r="C9" s="2957" t="s">
        <v>3205</v>
      </c>
      <c r="D9" s="135">
        <v>100</v>
      </c>
      <c r="E9" s="419" t="s">
        <v>3062</v>
      </c>
      <c r="F9" s="135">
        <f>SUMIF(53:53,E9,54:54)-SUMIF(53:53,C9,54:54)+100</f>
        <v>100</v>
      </c>
      <c r="G9" s="419" t="s">
        <v>3062</v>
      </c>
      <c r="H9" s="135">
        <f>SUMIF(53:53,G9,54:54)-SUMIF(53:53,C9,54:54)+100</f>
        <v>100</v>
      </c>
      <c r="I9" s="419" t="s">
        <v>3062</v>
      </c>
      <c r="J9" s="135">
        <f>SUMIF(53:53,I9,54:54)-SUMIF(53:53,C9,54:54)+100</f>
        <v>100</v>
      </c>
      <c r="K9" s="611"/>
      <c r="L9" s="1130"/>
      <c r="M9" s="1131"/>
      <c r="N9" s="1131"/>
      <c r="O9" s="1131"/>
      <c r="P9" s="3214" t="s">
        <v>2541</v>
      </c>
      <c r="Q9" s="1793" t="str">
        <f t="shared" ref="Q9:Q14" si="6">B9</f>
        <v>用途</v>
      </c>
      <c r="R9" s="769" t="s">
        <v>17</v>
      </c>
      <c r="S9" s="770">
        <f t="shared" si="0"/>
        <v>100</v>
      </c>
      <c r="T9" s="769" t="s">
        <v>17</v>
      </c>
      <c r="U9" s="770">
        <f t="shared" si="1"/>
        <v>100</v>
      </c>
      <c r="V9" s="769" t="s">
        <v>17</v>
      </c>
      <c r="W9" s="770">
        <f t="shared" si="2"/>
        <v>100</v>
      </c>
      <c r="X9" s="771"/>
      <c r="Y9" s="3076" t="s">
        <v>2542</v>
      </c>
      <c r="Z9" s="55" t="str">
        <f t="shared" ref="Z9:Z14" si="7">Q9</f>
        <v>用途</v>
      </c>
      <c r="AA9" s="772">
        <f t="shared" si="3"/>
        <v>1</v>
      </c>
      <c r="AB9" s="772">
        <f t="shared" si="4"/>
        <v>1</v>
      </c>
      <c r="AC9" s="772">
        <f t="shared" si="5"/>
        <v>1</v>
      </c>
    </row>
    <row r="10" spans="1:29" s="427" customFormat="1" ht="27.75" thickBot="1">
      <c r="A10" s="640"/>
      <c r="B10" s="641" t="s">
        <v>2543</v>
      </c>
      <c r="C10" s="423" t="s">
        <v>3206</v>
      </c>
      <c r="D10" s="136">
        <v>100</v>
      </c>
      <c r="E10" s="423" t="s">
        <v>3206</v>
      </c>
      <c r="F10" s="136">
        <f>SUMIF(55:55,E10,56:56)-SUMIF(55:55,C10,56:56)+100</f>
        <v>100</v>
      </c>
      <c r="G10" s="423" t="s">
        <v>3206</v>
      </c>
      <c r="H10" s="136">
        <f>SUMIF(55:55,G10,56:56)-SUMIF(55:55,C10,56:56)+100</f>
        <v>100</v>
      </c>
      <c r="I10" s="423" t="s">
        <v>3206</v>
      </c>
      <c r="J10" s="136">
        <f>SUMIF(55:55,I10,56:56)-SUMIF(55:55,C10,56:56)+100</f>
        <v>100</v>
      </c>
      <c r="K10" s="612">
        <f>'比较法-住宅'!K10</f>
        <v>1</v>
      </c>
      <c r="L10" s="1133"/>
      <c r="M10" s="1134"/>
      <c r="N10" s="1134"/>
      <c r="O10" s="1134"/>
      <c r="P10" s="3214"/>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hidden="1">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4"/>
      <c r="Q11" s="1793">
        <f t="shared" si="6"/>
        <v>111</v>
      </c>
      <c r="R11" s="769" t="s">
        <v>17</v>
      </c>
      <c r="S11" s="770">
        <f t="shared" si="0"/>
        <v>100</v>
      </c>
      <c r="T11" s="769" t="s">
        <v>17</v>
      </c>
      <c r="U11" s="770">
        <f t="shared" si="1"/>
        <v>100</v>
      </c>
      <c r="V11" s="769" t="s">
        <v>17</v>
      </c>
      <c r="W11" s="770">
        <f t="shared" si="2"/>
        <v>100</v>
      </c>
      <c r="X11" s="771"/>
      <c r="Y11" s="3076"/>
      <c r="Z11" s="55">
        <f t="shared" si="7"/>
        <v>111</v>
      </c>
      <c r="AA11" s="772">
        <f t="shared" si="3"/>
        <v>1</v>
      </c>
      <c r="AB11" s="772">
        <f t="shared" si="4"/>
        <v>1</v>
      </c>
      <c r="AC11" s="772">
        <f t="shared" si="5"/>
        <v>1</v>
      </c>
    </row>
    <row r="12" spans="1:29" s="117" customFormat="1" ht="15" hidden="1">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4"/>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75" hidden="1"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4"/>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71.25">
      <c r="A14" s="401" t="s">
        <v>2545</v>
      </c>
      <c r="B14" s="628" t="s">
        <v>2695</v>
      </c>
      <c r="C14" s="2683" t="str">
        <f>IF(B1="工业",估价对象房地状况!G4,估价对象房地状况!C6)</f>
        <v>估价对象周边有849、兴23路等公交线路，综合评价交通便捷度一般</v>
      </c>
      <c r="D14" s="441">
        <v>100</v>
      </c>
      <c r="E14" s="442"/>
      <c r="F14" s="443">
        <f>SUMIF(63:63,E15,64:64)-SUMIF(63:63,C15,64:64)+100</f>
        <v>100</v>
      </c>
      <c r="G14" s="2974" t="s">
        <v>3237</v>
      </c>
      <c r="H14" s="441">
        <f>SUMIF(63:63,G15,64:64)-SUMIF(63:63,C15,64:64)+100</f>
        <v>102</v>
      </c>
      <c r="I14" s="442"/>
      <c r="J14" s="441">
        <f>SUMIF(63:63,I15,64:64)-SUMIF(63:63,C15,64:64)+100</f>
        <v>100</v>
      </c>
      <c r="K14" s="614">
        <f>'比较法-住宅'!K17</f>
        <v>2</v>
      </c>
      <c r="L14" s="1138"/>
      <c r="M14" s="1129"/>
      <c r="N14" s="1129"/>
      <c r="O14" s="1129"/>
      <c r="P14" s="3229" t="s">
        <v>2546</v>
      </c>
      <c r="Q14" s="1808" t="str">
        <f t="shared" si="6"/>
        <v>交通便捷度</v>
      </c>
      <c r="R14" s="773" t="s">
        <v>17</v>
      </c>
      <c r="S14" s="774">
        <f t="shared" si="0"/>
        <v>100</v>
      </c>
      <c r="T14" s="773" t="s">
        <v>17</v>
      </c>
      <c r="U14" s="774">
        <f t="shared" si="1"/>
        <v>102</v>
      </c>
      <c r="V14" s="773" t="s">
        <v>17</v>
      </c>
      <c r="W14" s="774">
        <f t="shared" si="2"/>
        <v>100</v>
      </c>
      <c r="X14" s="1811"/>
      <c r="Y14" s="3229" t="s">
        <v>2546</v>
      </c>
      <c r="Z14" s="1812" t="str">
        <f t="shared" si="7"/>
        <v>交通便捷度</v>
      </c>
      <c r="AA14" s="1809">
        <f t="shared" si="3"/>
        <v>1</v>
      </c>
      <c r="AB14" s="1809">
        <f t="shared" si="4"/>
        <v>0.98039215686274506</v>
      </c>
      <c r="AC14" s="1809">
        <f t="shared" si="5"/>
        <v>1</v>
      </c>
    </row>
    <row r="15" spans="1:29" ht="15">
      <c r="A15" s="404"/>
      <c r="B15" s="646"/>
      <c r="C15" s="447" t="s">
        <v>3157</v>
      </c>
      <c r="D15" s="448"/>
      <c r="E15" s="447" t="s">
        <v>3157</v>
      </c>
      <c r="F15" s="449"/>
      <c r="G15" s="447" t="s">
        <v>3072</v>
      </c>
      <c r="H15" s="450"/>
      <c r="I15" s="447" t="s">
        <v>3157</v>
      </c>
      <c r="J15" s="448"/>
      <c r="K15" s="615"/>
      <c r="L15" s="1138"/>
      <c r="M15" s="1129"/>
      <c r="N15" s="1129"/>
      <c r="O15" s="1129"/>
      <c r="P15" s="3230"/>
      <c r="Q15" s="1808"/>
      <c r="R15" s="773"/>
      <c r="S15" s="774"/>
      <c r="T15" s="773"/>
      <c r="U15" s="774"/>
      <c r="V15" s="773"/>
      <c r="W15" s="774"/>
      <c r="X15" s="1811"/>
      <c r="Y15" s="3230"/>
      <c r="Z15" s="1812"/>
      <c r="AA15" s="1809">
        <v>1</v>
      </c>
      <c r="AB15" s="1809">
        <v>1</v>
      </c>
      <c r="AC15" s="1809">
        <v>1</v>
      </c>
    </row>
    <row r="16" spans="1:29" ht="42.75">
      <c r="A16" s="404"/>
      <c r="B16" s="630" t="s">
        <v>2674</v>
      </c>
      <c r="C16" s="2599" t="str">
        <f>IF(B1="工业",估价对象房地状况!G5,估价对象房地状况!C7)</f>
        <v>估价对象所在区域公共配套设施齐备较齐备</v>
      </c>
      <c r="D16" s="455">
        <v>100</v>
      </c>
      <c r="E16" s="457"/>
      <c r="F16" s="458">
        <f>SUMIF(65:65,E17,66:66)-SUMIF(65:65,C17,66:66)+100</f>
        <v>100</v>
      </c>
      <c r="G16" s="459"/>
      <c r="H16" s="455">
        <f>SUMIF(65:65,G17,66:66)-SUMIF(65:65,C17,66:66)+100</f>
        <v>100</v>
      </c>
      <c r="I16" s="457"/>
      <c r="J16" s="455">
        <f>SUMIF(65:65,I17,66:66)-SUMIF(65:65,C17,66:66)+100</f>
        <v>100</v>
      </c>
      <c r="K16" s="614">
        <f>'比较法-住宅'!K19</f>
        <v>2</v>
      </c>
      <c r="L16" s="1138"/>
      <c r="M16" s="1129"/>
      <c r="N16" s="1129"/>
      <c r="O16" s="1129"/>
      <c r="P16" s="3230"/>
      <c r="Q16" s="1808" t="str">
        <f>B16</f>
        <v>公共配套设施</v>
      </c>
      <c r="R16" s="773" t="s">
        <v>17</v>
      </c>
      <c r="S16" s="774">
        <f>F16</f>
        <v>100</v>
      </c>
      <c r="T16" s="773" t="s">
        <v>17</v>
      </c>
      <c r="U16" s="774">
        <f>H16</f>
        <v>100</v>
      </c>
      <c r="V16" s="773" t="s">
        <v>17</v>
      </c>
      <c r="W16" s="774">
        <f>J16</f>
        <v>100</v>
      </c>
      <c r="X16" s="1811"/>
      <c r="Y16" s="3230"/>
      <c r="Z16" s="1812" t="str">
        <f>Q16</f>
        <v>公共配套设施</v>
      </c>
      <c r="AA16" s="1809">
        <f t="shared" si="3"/>
        <v>1</v>
      </c>
      <c r="AB16" s="1809">
        <f t="shared" si="4"/>
        <v>1</v>
      </c>
      <c r="AC16" s="1809">
        <f t="shared" si="5"/>
        <v>1</v>
      </c>
    </row>
    <row r="17" spans="1:29" ht="15">
      <c r="A17" s="404"/>
      <c r="B17" s="631"/>
      <c r="C17" s="2600" t="s">
        <v>3072</v>
      </c>
      <c r="D17" s="448"/>
      <c r="E17" s="2600" t="s">
        <v>3072</v>
      </c>
      <c r="F17" s="449"/>
      <c r="G17" s="2600" t="s">
        <v>3072</v>
      </c>
      <c r="H17" s="448"/>
      <c r="I17" s="2600" t="s">
        <v>3072</v>
      </c>
      <c r="J17" s="448"/>
      <c r="K17" s="615"/>
      <c r="L17" s="1138"/>
      <c r="M17" s="1129"/>
      <c r="N17" s="1129"/>
      <c r="O17" s="1129"/>
      <c r="P17" s="3230"/>
      <c r="Q17" s="1808"/>
      <c r="R17" s="773"/>
      <c r="S17" s="774"/>
      <c r="T17" s="773"/>
      <c r="U17" s="774"/>
      <c r="V17" s="773"/>
      <c r="W17" s="774"/>
      <c r="X17" s="1811"/>
      <c r="Y17" s="3230"/>
      <c r="Z17" s="1812"/>
      <c r="AA17" s="1809">
        <v>1</v>
      </c>
      <c r="AB17" s="1809">
        <v>1</v>
      </c>
      <c r="AC17" s="1809">
        <v>1</v>
      </c>
    </row>
    <row r="18" spans="1:29" ht="28.5">
      <c r="A18" s="404"/>
      <c r="B18" s="632" t="s">
        <v>2675</v>
      </c>
      <c r="C18" s="2599" t="str">
        <f>IF(B1="工业",估价对象房地状况!G6,估价对象房地状况!C8)</f>
        <v>区域基础设施水平达七通</v>
      </c>
      <c r="D18" s="450">
        <v>100</v>
      </c>
      <c r="E18" s="452"/>
      <c r="F18" s="458">
        <f>SUMIF(67:67,E19,68:68)-SUMIF(67:67,C19,68:68)+100</f>
        <v>100</v>
      </c>
      <c r="G18" s="454"/>
      <c r="H18" s="455">
        <f>SUMIF(67:67,G19,68:68)-SUMIF(67:67,C19,68:68)+100</f>
        <v>100</v>
      </c>
      <c r="I18" s="452"/>
      <c r="J18" s="455">
        <f>SUMIF(67:67,I19,68:68)-SUMIF(67:67,C19,68:68)+100</f>
        <v>100</v>
      </c>
      <c r="K18" s="614">
        <f>'比较法-住宅'!K21</f>
        <v>1</v>
      </c>
      <c r="L18" s="1138"/>
      <c r="M18" s="1129"/>
      <c r="N18" s="1129"/>
      <c r="O18" s="1129"/>
      <c r="P18" s="3230"/>
      <c r="Q18" s="1808" t="str">
        <f>B18</f>
        <v>基础设施水平</v>
      </c>
      <c r="R18" s="773" t="s">
        <v>17</v>
      </c>
      <c r="S18" s="774">
        <f>F18</f>
        <v>100</v>
      </c>
      <c r="T18" s="773" t="s">
        <v>17</v>
      </c>
      <c r="U18" s="774">
        <f>H18</f>
        <v>100</v>
      </c>
      <c r="V18" s="773" t="s">
        <v>17</v>
      </c>
      <c r="W18" s="774">
        <f>J18</f>
        <v>100</v>
      </c>
      <c r="X18" s="1811"/>
      <c r="Y18" s="3230"/>
      <c r="Z18" s="1812" t="str">
        <f>Q18</f>
        <v>基础设施水平</v>
      </c>
      <c r="AA18" s="1809">
        <f>D18/F18</f>
        <v>1</v>
      </c>
      <c r="AB18" s="1809">
        <f>D18/H18</f>
        <v>1</v>
      </c>
      <c r="AC18" s="1809">
        <f>D18/J18</f>
        <v>1</v>
      </c>
    </row>
    <row r="19" spans="1:29" ht="15">
      <c r="A19" s="404"/>
      <c r="B19" s="632"/>
      <c r="C19" s="2600" t="s">
        <v>3158</v>
      </c>
      <c r="D19" s="450"/>
      <c r="E19" s="2600" t="s">
        <v>3158</v>
      </c>
      <c r="F19" s="453"/>
      <c r="G19" s="2600" t="s">
        <v>3158</v>
      </c>
      <c r="H19" s="448"/>
      <c r="I19" s="2600" t="s">
        <v>3158</v>
      </c>
      <c r="J19" s="448"/>
      <c r="K19" s="1381"/>
      <c r="L19" s="1138"/>
      <c r="M19" s="1129"/>
      <c r="N19" s="1129"/>
      <c r="O19" s="1129"/>
      <c r="P19" s="3230"/>
      <c r="Q19" s="1808"/>
      <c r="R19" s="773"/>
      <c r="S19" s="774"/>
      <c r="T19" s="773"/>
      <c r="U19" s="774"/>
      <c r="V19" s="773"/>
      <c r="W19" s="774"/>
      <c r="X19" s="1811"/>
      <c r="Y19" s="3230"/>
      <c r="Z19" s="1812"/>
      <c r="AA19" s="1809">
        <v>1</v>
      </c>
      <c r="AB19" s="1809">
        <v>1</v>
      </c>
      <c r="AC19" s="1809">
        <v>1</v>
      </c>
    </row>
    <row r="20" spans="1:29" ht="57">
      <c r="A20" s="404"/>
      <c r="B20" s="630" t="s">
        <v>2696</v>
      </c>
      <c r="C20" s="2599" t="str">
        <f>IF(B1="工业",估价对象房地状况!G7,估价对象房地状况!C9)</f>
        <v>周边有北京广播电视大学、康庄公园；综合评价环境状况较好</v>
      </c>
      <c r="D20" s="455">
        <v>100</v>
      </c>
      <c r="E20" s="457"/>
      <c r="F20" s="458">
        <f>SUMIF(69:69,E21,70:70)-SUMIF(69:69,C21,70:70)+100</f>
        <v>102</v>
      </c>
      <c r="G20" s="459"/>
      <c r="H20" s="450">
        <f>SUMIF(69:69,G21,70:70)-SUMIF(69:69,C21,70:70)+100</f>
        <v>100</v>
      </c>
      <c r="I20" s="452"/>
      <c r="J20" s="450">
        <f>SUMIF(69:69,I21,70:70)-SUMIF(69:69,C21,70:70)+100</f>
        <v>100</v>
      </c>
      <c r="K20" s="614">
        <f>'比较法-住宅'!K23</f>
        <v>2</v>
      </c>
      <c r="L20" s="1138"/>
      <c r="M20" s="1129"/>
      <c r="N20" s="1129"/>
      <c r="O20" s="1129"/>
      <c r="P20" s="3230"/>
      <c r="Q20" s="1808" t="str">
        <f>B20</f>
        <v>自然及人文环境</v>
      </c>
      <c r="R20" s="773" t="s">
        <v>17</v>
      </c>
      <c r="S20" s="774">
        <f>F20</f>
        <v>102</v>
      </c>
      <c r="T20" s="773" t="s">
        <v>17</v>
      </c>
      <c r="U20" s="774">
        <f>H20</f>
        <v>100</v>
      </c>
      <c r="V20" s="773" t="s">
        <v>17</v>
      </c>
      <c r="W20" s="774">
        <f>J20</f>
        <v>100</v>
      </c>
      <c r="X20" s="1811"/>
      <c r="Y20" s="3230"/>
      <c r="Z20" s="1812" t="str">
        <f>Q20</f>
        <v>自然及人文环境</v>
      </c>
      <c r="AA20" s="1809">
        <f t="shared" si="3"/>
        <v>0.98039215686274506</v>
      </c>
      <c r="AB20" s="1809">
        <f t="shared" si="4"/>
        <v>1</v>
      </c>
      <c r="AC20" s="1809">
        <f t="shared" si="5"/>
        <v>1</v>
      </c>
    </row>
    <row r="21" spans="1:29" ht="15">
      <c r="A21" s="404"/>
      <c r="B21" s="631"/>
      <c r="C21" s="447" t="s">
        <v>3072</v>
      </c>
      <c r="D21" s="448"/>
      <c r="E21" s="447" t="s">
        <v>3236</v>
      </c>
      <c r="F21" s="449"/>
      <c r="G21" s="447" t="s">
        <v>3072</v>
      </c>
      <c r="H21" s="448"/>
      <c r="I21" s="447" t="s">
        <v>3072</v>
      </c>
      <c r="J21" s="448"/>
      <c r="K21" s="615"/>
      <c r="L21" s="1138"/>
      <c r="M21" s="1129"/>
      <c r="N21" s="1129"/>
      <c r="O21" s="1129"/>
      <c r="P21" s="3230"/>
      <c r="Q21" s="1808"/>
      <c r="R21" s="773"/>
      <c r="S21" s="774"/>
      <c r="T21" s="773"/>
      <c r="U21" s="774"/>
      <c r="V21" s="773"/>
      <c r="W21" s="774"/>
      <c r="X21" s="1811"/>
      <c r="Y21" s="3230"/>
      <c r="Z21" s="1812"/>
      <c r="AA21" s="1809">
        <v>1</v>
      </c>
      <c r="AB21" s="1809">
        <v>1</v>
      </c>
      <c r="AC21" s="1809">
        <v>1</v>
      </c>
    </row>
    <row r="22" spans="1:29" ht="15.75" thickBot="1">
      <c r="A22" s="404"/>
      <c r="B22" s="630" t="s">
        <v>2697</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30"/>
      <c r="Q22" s="1808" t="str">
        <f>B22</f>
        <v>楼层</v>
      </c>
      <c r="R22" s="773" t="s">
        <v>17</v>
      </c>
      <c r="S22" s="774">
        <f>F22</f>
        <v>100</v>
      </c>
      <c r="T22" s="773" t="s">
        <v>17</v>
      </c>
      <c r="U22" s="774">
        <f>H22</f>
        <v>100</v>
      </c>
      <c r="V22" s="773" t="s">
        <v>17</v>
      </c>
      <c r="W22" s="774">
        <f>J22</f>
        <v>100</v>
      </c>
      <c r="X22" s="1811"/>
      <c r="Y22" s="3230"/>
      <c r="Z22" s="1812" t="str">
        <f>Q22</f>
        <v>楼层</v>
      </c>
      <c r="AA22" s="1809">
        <f t="shared" si="3"/>
        <v>1</v>
      </c>
      <c r="AB22" s="1809">
        <f t="shared" si="4"/>
        <v>1</v>
      </c>
      <c r="AC22" s="1809">
        <f t="shared" si="5"/>
        <v>1</v>
      </c>
    </row>
    <row r="23" spans="1:29" ht="15" hidden="1">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30"/>
      <c r="Q23" s="1808">
        <f>B23</f>
        <v>111</v>
      </c>
      <c r="R23" s="773" t="s">
        <v>17</v>
      </c>
      <c r="S23" s="774">
        <f>F23</f>
        <v>100</v>
      </c>
      <c r="T23" s="773" t="s">
        <v>17</v>
      </c>
      <c r="U23" s="774">
        <f>H23</f>
        <v>100</v>
      </c>
      <c r="V23" s="773" t="s">
        <v>17</v>
      </c>
      <c r="W23" s="774">
        <f>J23</f>
        <v>100</v>
      </c>
      <c r="X23" s="1811"/>
      <c r="Y23" s="3230"/>
      <c r="Z23" s="1812">
        <f>Q23</f>
        <v>111</v>
      </c>
      <c r="AA23" s="1809">
        <f t="shared" si="3"/>
        <v>1</v>
      </c>
      <c r="AB23" s="1809">
        <f t="shared" si="4"/>
        <v>1</v>
      </c>
      <c r="AC23" s="1809">
        <f t="shared" si="5"/>
        <v>1</v>
      </c>
    </row>
    <row r="24" spans="1:29" ht="15" hidden="1">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30"/>
      <c r="Q24" s="1808">
        <f t="shared" ref="Q24:Q36" si="8">B24</f>
        <v>111</v>
      </c>
      <c r="R24" s="773" t="s">
        <v>17</v>
      </c>
      <c r="S24" s="774">
        <f>F24</f>
        <v>100</v>
      </c>
      <c r="T24" s="773" t="s">
        <v>17</v>
      </c>
      <c r="U24" s="774">
        <f>H24</f>
        <v>100</v>
      </c>
      <c r="V24" s="773" t="s">
        <v>17</v>
      </c>
      <c r="W24" s="774">
        <f>J24</f>
        <v>100</v>
      </c>
      <c r="X24" s="1811"/>
      <c r="Y24" s="3230"/>
      <c r="Z24" s="1812">
        <f>Q24</f>
        <v>111</v>
      </c>
      <c r="AA24" s="1809">
        <f t="shared" si="3"/>
        <v>1</v>
      </c>
      <c r="AB24" s="1809">
        <f t="shared" si="4"/>
        <v>1</v>
      </c>
      <c r="AC24" s="1809">
        <f t="shared" si="5"/>
        <v>1</v>
      </c>
    </row>
    <row r="25" spans="1:29" s="117" customFormat="1" ht="15.75" hidden="1"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0"/>
      <c r="M25" s="1131"/>
      <c r="N25" s="1131"/>
      <c r="O25" s="1131"/>
      <c r="P25" s="3230"/>
      <c r="Q25" s="1793">
        <f t="shared" si="8"/>
        <v>111</v>
      </c>
      <c r="R25" s="769" t="s">
        <v>17</v>
      </c>
      <c r="S25" s="770">
        <f>F25</f>
        <v>100</v>
      </c>
      <c r="T25" s="769" t="s">
        <v>17</v>
      </c>
      <c r="U25" s="770">
        <f>H25</f>
        <v>100</v>
      </c>
      <c r="V25" s="769" t="s">
        <v>17</v>
      </c>
      <c r="W25" s="770">
        <f>J25</f>
        <v>100</v>
      </c>
      <c r="X25" s="771"/>
      <c r="Y25" s="3230"/>
      <c r="Z25" s="55">
        <f>Q25</f>
        <v>111</v>
      </c>
      <c r="AA25" s="1809">
        <f>D25/F25</f>
        <v>1</v>
      </c>
      <c r="AB25" s="1809">
        <f>D25/H25</f>
        <v>1</v>
      </c>
      <c r="AC25" s="1809">
        <f>D25/J25</f>
        <v>1</v>
      </c>
    </row>
    <row r="26" spans="1:29" ht="15">
      <c r="A26" s="651" t="s">
        <v>2549</v>
      </c>
      <c r="B26" s="70" t="s">
        <v>2698</v>
      </c>
      <c r="C26" s="2684" t="str">
        <f>B1</f>
        <v>车库</v>
      </c>
      <c r="D26" s="448">
        <v>100</v>
      </c>
      <c r="E26" s="447" t="s">
        <v>3062</v>
      </c>
      <c r="F26" s="449">
        <f>SUMIF(79:79,E26,80:80)-SUMIF(79:79,C26,80:80)+100</f>
        <v>100</v>
      </c>
      <c r="G26" s="447" t="s">
        <v>3062</v>
      </c>
      <c r="H26" s="448">
        <f>SUMIF(79:79,G26,80:80)-SUMIF(79:79,C26,80:80)+100</f>
        <v>100</v>
      </c>
      <c r="I26" s="447" t="s">
        <v>3062</v>
      </c>
      <c r="J26" s="448">
        <f>SUMIF(79:79,I26,80:80)-SUMIF(79:79,C26,80:80)+100</f>
        <v>100</v>
      </c>
      <c r="K26" s="612"/>
      <c r="L26" s="1138"/>
      <c r="M26" s="1129"/>
      <c r="N26" s="1129"/>
      <c r="O26" s="1129"/>
      <c r="P26" s="3231" t="s">
        <v>2551</v>
      </c>
      <c r="Q26" s="1808" t="str">
        <f t="shared" si="8"/>
        <v>配套类型</v>
      </c>
      <c r="R26" s="773" t="s">
        <v>17</v>
      </c>
      <c r="S26" s="774">
        <f t="shared" ref="S26:S36" si="9">F26</f>
        <v>100</v>
      </c>
      <c r="T26" s="773" t="s">
        <v>17</v>
      </c>
      <c r="U26" s="774">
        <f t="shared" ref="U26:U36" si="10">H26</f>
        <v>100</v>
      </c>
      <c r="V26" s="773" t="s">
        <v>17</v>
      </c>
      <c r="W26" s="774">
        <f t="shared" ref="W26:W36" si="11">J26</f>
        <v>100</v>
      </c>
      <c r="X26" s="1811"/>
      <c r="Y26" s="3232" t="s">
        <v>2551</v>
      </c>
      <c r="Z26" s="1812" t="str">
        <f t="shared" ref="Z26:Z36" si="12">Q26</f>
        <v>配套类型</v>
      </c>
      <c r="AA26" s="1809">
        <f t="shared" si="3"/>
        <v>1</v>
      </c>
      <c r="AB26" s="1809">
        <f t="shared" si="4"/>
        <v>1</v>
      </c>
      <c r="AC26" s="1809">
        <f t="shared" si="5"/>
        <v>1</v>
      </c>
    </row>
    <row r="27" spans="1:29" s="471" customFormat="1" ht="15">
      <c r="A27" s="652"/>
      <c r="B27" s="653" t="s">
        <v>2699</v>
      </c>
      <c r="C27" s="654" t="s">
        <v>3207</v>
      </c>
      <c r="D27" s="136">
        <v>100</v>
      </c>
      <c r="E27" s="654" t="s">
        <v>3207</v>
      </c>
      <c r="F27" s="461">
        <f>SUMIF(81:81,E27,82:82)-SUMIF(81:81,C27,82:82)+100</f>
        <v>100</v>
      </c>
      <c r="G27" s="654" t="s">
        <v>3207</v>
      </c>
      <c r="H27" s="435">
        <f>SUMIF(81:81,G27,82:82)-SUMIF(81:81,C27,82:82)+100</f>
        <v>100</v>
      </c>
      <c r="I27" s="654" t="s">
        <v>3207</v>
      </c>
      <c r="J27" s="435">
        <f>SUMIF(81:81,I27,82:82)-SUMIF(81:81,C27,82:82)+100</f>
        <v>100</v>
      </c>
      <c r="K27" s="613"/>
      <c r="L27" s="1136"/>
      <c r="M27" s="1139"/>
      <c r="N27" s="1139"/>
      <c r="O27" s="1139"/>
      <c r="P27" s="3232"/>
      <c r="Q27" s="775" t="str">
        <f t="shared" si="8"/>
        <v>项目停车位配比</v>
      </c>
      <c r="R27" s="776" t="s">
        <v>17</v>
      </c>
      <c r="S27" s="777">
        <f t="shared" si="9"/>
        <v>100</v>
      </c>
      <c r="T27" s="776" t="s">
        <v>17</v>
      </c>
      <c r="U27" s="777">
        <f t="shared" si="10"/>
        <v>100</v>
      </c>
      <c r="V27" s="776" t="s">
        <v>17</v>
      </c>
      <c r="W27" s="777">
        <f t="shared" si="11"/>
        <v>100</v>
      </c>
      <c r="X27" s="778"/>
      <c r="Y27" s="3232"/>
      <c r="Z27" s="779" t="str">
        <f t="shared" si="12"/>
        <v>项目停车位配比</v>
      </c>
      <c r="AA27" s="1809">
        <f t="shared" si="3"/>
        <v>1</v>
      </c>
      <c r="AB27" s="1809">
        <f t="shared" si="4"/>
        <v>1</v>
      </c>
      <c r="AC27" s="1809">
        <f t="shared" si="5"/>
        <v>1</v>
      </c>
    </row>
    <row r="28" spans="1:29" ht="15">
      <c r="A28" s="655"/>
      <c r="B28" s="653" t="s">
        <v>2700</v>
      </c>
      <c r="C28" s="460" t="s">
        <v>3194</v>
      </c>
      <c r="D28" s="435">
        <v>100</v>
      </c>
      <c r="E28" s="460" t="s">
        <v>3194</v>
      </c>
      <c r="F28" s="461">
        <f>SUMIF(83:83,E28,84:84)-SUMIF(83:83,C28,84:84)+100</f>
        <v>100</v>
      </c>
      <c r="G28" s="460" t="s">
        <v>3194</v>
      </c>
      <c r="H28" s="435">
        <f>SUMIF(83:83,G28,84:84)-SUMIF(83:83,C28,84:84)+100</f>
        <v>100</v>
      </c>
      <c r="I28" s="460" t="s">
        <v>3194</v>
      </c>
      <c r="J28" s="435">
        <f>SUMIF(83:83,I28,84:84)-SUMIF(83:83,C28,84:84)+100</f>
        <v>100</v>
      </c>
      <c r="K28" s="612">
        <f>'比较法-住宅'!K36</f>
        <v>2</v>
      </c>
      <c r="L28" s="1138"/>
      <c r="M28" s="1129"/>
      <c r="N28" s="1129"/>
      <c r="O28" s="1129"/>
      <c r="P28" s="3232"/>
      <c r="Q28" s="1808" t="str">
        <f t="shared" si="8"/>
        <v>公共部分装修</v>
      </c>
      <c r="R28" s="773" t="s">
        <v>17</v>
      </c>
      <c r="S28" s="774">
        <f t="shared" si="9"/>
        <v>100</v>
      </c>
      <c r="T28" s="773" t="s">
        <v>17</v>
      </c>
      <c r="U28" s="774">
        <f t="shared" si="10"/>
        <v>100</v>
      </c>
      <c r="V28" s="773" t="s">
        <v>17</v>
      </c>
      <c r="W28" s="774">
        <f t="shared" si="11"/>
        <v>100</v>
      </c>
      <c r="X28" s="1811"/>
      <c r="Y28" s="3232"/>
      <c r="Z28" s="1812" t="str">
        <f t="shared" si="12"/>
        <v>公共部分装修</v>
      </c>
      <c r="AA28" s="1809">
        <f t="shared" si="3"/>
        <v>1</v>
      </c>
      <c r="AB28" s="1809">
        <f t="shared" si="4"/>
        <v>1</v>
      </c>
      <c r="AC28" s="1809">
        <f t="shared" si="5"/>
        <v>1</v>
      </c>
    </row>
    <row r="29" spans="1:29" ht="15">
      <c r="A29" s="655"/>
      <c r="B29" s="653" t="s">
        <v>2701</v>
      </c>
      <c r="C29" s="469">
        <v>100</v>
      </c>
      <c r="D29" s="435">
        <v>100</v>
      </c>
      <c r="E29" s="469">
        <v>100</v>
      </c>
      <c r="F29" s="461">
        <f>LOOKUP(E29,86:86,87:87)-LOOKUP(C29,86:86,87:87)+100</f>
        <v>100</v>
      </c>
      <c r="G29" s="469">
        <v>100</v>
      </c>
      <c r="H29" s="461">
        <f>LOOKUP(G29,86:86,87:87)-LOOKUP(C29,86:86,87:87)+100</f>
        <v>100</v>
      </c>
      <c r="I29" s="469">
        <v>100</v>
      </c>
      <c r="J29" s="435">
        <f>LOOKUP(I29,86:86,87:87)-LOOKUP(C29,86:86,87:87)+100</f>
        <v>100</v>
      </c>
      <c r="K29" s="612">
        <f>'比较法-住宅'!K37</f>
        <v>1</v>
      </c>
      <c r="L29" s="1138"/>
      <c r="M29" s="1129"/>
      <c r="N29" s="1129"/>
      <c r="O29" s="1129"/>
      <c r="P29" s="3232"/>
      <c r="Q29" s="1808" t="str">
        <f t="shared" si="8"/>
        <v>成新率</v>
      </c>
      <c r="R29" s="773" t="s">
        <v>17</v>
      </c>
      <c r="S29" s="774">
        <f t="shared" si="9"/>
        <v>100</v>
      </c>
      <c r="T29" s="773" t="s">
        <v>17</v>
      </c>
      <c r="U29" s="774">
        <f t="shared" si="10"/>
        <v>100</v>
      </c>
      <c r="V29" s="773" t="s">
        <v>17</v>
      </c>
      <c r="W29" s="774">
        <f t="shared" si="11"/>
        <v>100</v>
      </c>
      <c r="X29" s="1811"/>
      <c r="Y29" s="3232"/>
      <c r="Z29" s="1812" t="str">
        <f t="shared" si="12"/>
        <v>成新率</v>
      </c>
      <c r="AA29" s="1809">
        <f t="shared" si="3"/>
        <v>1</v>
      </c>
      <c r="AB29" s="1809">
        <f t="shared" si="4"/>
        <v>1</v>
      </c>
      <c r="AC29" s="1809">
        <f t="shared" si="5"/>
        <v>1</v>
      </c>
    </row>
    <row r="30" spans="1:29" ht="15">
      <c r="A30" s="655"/>
      <c r="B30" s="653" t="s">
        <v>2702</v>
      </c>
      <c r="C30" s="656" t="s">
        <v>3208</v>
      </c>
      <c r="D30" s="435">
        <v>100</v>
      </c>
      <c r="E30" s="656" t="s">
        <v>3208</v>
      </c>
      <c r="F30" s="461">
        <f>SUMIF(88:88,E30,89:89)-SUMIF(88:88,C30,89:89)+100</f>
        <v>100</v>
      </c>
      <c r="G30" s="656" t="s">
        <v>3208</v>
      </c>
      <c r="H30" s="435">
        <f>SUMIF(88:88,E30,89:89)-SUMIF(88:88,C30,89:89)+100</f>
        <v>100</v>
      </c>
      <c r="I30" s="656" t="s">
        <v>3208</v>
      </c>
      <c r="J30" s="435">
        <f>SUMIF(88:88,E30,89:89)-SUMIF(88:88,C30,89:89)+100</f>
        <v>100</v>
      </c>
      <c r="K30" s="612">
        <f>'比较法-住宅'!K38</f>
        <v>2</v>
      </c>
      <c r="L30" s="1138"/>
      <c r="M30" s="1129"/>
      <c r="N30" s="1129"/>
      <c r="O30" s="1129"/>
      <c r="P30" s="3232"/>
      <c r="Q30" s="1808" t="str">
        <f t="shared" si="8"/>
        <v>物业等级</v>
      </c>
      <c r="R30" s="773" t="s">
        <v>17</v>
      </c>
      <c r="S30" s="774">
        <f t="shared" si="9"/>
        <v>100</v>
      </c>
      <c r="T30" s="773" t="s">
        <v>17</v>
      </c>
      <c r="U30" s="774">
        <f t="shared" si="10"/>
        <v>100</v>
      </c>
      <c r="V30" s="773" t="s">
        <v>17</v>
      </c>
      <c r="W30" s="774">
        <f t="shared" si="11"/>
        <v>100</v>
      </c>
      <c r="X30" s="1811"/>
      <c r="Y30" s="3232"/>
      <c r="Z30" s="1812" t="str">
        <f t="shared" si="12"/>
        <v>物业等级</v>
      </c>
      <c r="AA30" s="1809">
        <f t="shared" si="3"/>
        <v>1</v>
      </c>
      <c r="AB30" s="1809">
        <f t="shared" si="4"/>
        <v>1</v>
      </c>
      <c r="AC30" s="1809">
        <f t="shared" si="5"/>
        <v>1</v>
      </c>
    </row>
    <row r="31" spans="1:29" s="117" customFormat="1" ht="15">
      <c r="A31" s="657"/>
      <c r="B31" s="653" t="s">
        <v>2703</v>
      </c>
      <c r="C31" s="469" t="e">
        <f>ROUND(D3/F3,0)</f>
        <v>#DIV/0!</v>
      </c>
      <c r="D31" s="136">
        <v>100</v>
      </c>
      <c r="E31" s="469">
        <v>30</v>
      </c>
      <c r="F31" s="461" t="e">
        <f>LOOKUP(E31,91:91,92:92)-LOOKUP(C31,91:91,92:92)+100</f>
        <v>#DIV/0!</v>
      </c>
      <c r="G31" s="469">
        <v>44</v>
      </c>
      <c r="H31" s="435" t="e">
        <f>LOOKUP(G31,91:91,92:92)-LOOKUP(C31,91:91,92:92)+100</f>
        <v>#DIV/0!</v>
      </c>
      <c r="I31" s="469">
        <v>34</v>
      </c>
      <c r="J31" s="435" t="e">
        <f>LOOKUP(I31,91:91,92:92)-LOOKUP(C31,91:91,92:92)+100</f>
        <v>#DIV/0!</v>
      </c>
      <c r="K31" s="612">
        <v>1</v>
      </c>
      <c r="L31" s="1130"/>
      <c r="M31" s="1131"/>
      <c r="N31" s="1131"/>
      <c r="O31" s="1131"/>
      <c r="P31" s="3232"/>
      <c r="Q31" s="1793" t="str">
        <f t="shared" si="8"/>
        <v>停车位面积</v>
      </c>
      <c r="R31" s="769" t="s">
        <v>17</v>
      </c>
      <c r="S31" s="770" t="e">
        <f t="shared" si="9"/>
        <v>#DIV/0!</v>
      </c>
      <c r="T31" s="769" t="s">
        <v>17</v>
      </c>
      <c r="U31" s="770" t="e">
        <f t="shared" si="10"/>
        <v>#DIV/0!</v>
      </c>
      <c r="V31" s="769" t="s">
        <v>17</v>
      </c>
      <c r="W31" s="770" t="e">
        <f t="shared" si="11"/>
        <v>#DIV/0!</v>
      </c>
      <c r="X31" s="771"/>
      <c r="Y31" s="3232"/>
      <c r="Z31" s="55" t="str">
        <f t="shared" si="12"/>
        <v>停车位面积</v>
      </c>
      <c r="AA31" s="772" t="e">
        <f t="shared" si="3"/>
        <v>#DIV/0!</v>
      </c>
      <c r="AB31" s="772" t="e">
        <f t="shared" si="4"/>
        <v>#DIV/0!</v>
      </c>
      <c r="AC31" s="772" t="e">
        <f t="shared" si="5"/>
        <v>#DIV/0!</v>
      </c>
    </row>
    <row r="32" spans="1:29" ht="15">
      <c r="A32" s="655"/>
      <c r="B32" s="653" t="s">
        <v>2704</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32" t="s">
        <v>2551</v>
      </c>
      <c r="Q32" s="1808" t="str">
        <f t="shared" si="8"/>
        <v>车位类型</v>
      </c>
      <c r="R32" s="773" t="s">
        <v>17</v>
      </c>
      <c r="S32" s="774">
        <f t="shared" si="9"/>
        <v>100</v>
      </c>
      <c r="T32" s="773" t="s">
        <v>17</v>
      </c>
      <c r="U32" s="774">
        <f t="shared" si="10"/>
        <v>100</v>
      </c>
      <c r="V32" s="773" t="s">
        <v>17</v>
      </c>
      <c r="W32" s="774">
        <f t="shared" si="11"/>
        <v>100</v>
      </c>
      <c r="X32" s="1811"/>
      <c r="Y32" s="3232" t="s">
        <v>2551</v>
      </c>
      <c r="Z32" s="1812" t="str">
        <f t="shared" si="12"/>
        <v>车位类型</v>
      </c>
      <c r="AA32" s="1809">
        <f t="shared" si="3"/>
        <v>1</v>
      </c>
      <c r="AB32" s="1809">
        <f t="shared" si="4"/>
        <v>1</v>
      </c>
      <c r="AC32" s="1809">
        <f t="shared" si="5"/>
        <v>1</v>
      </c>
    </row>
    <row r="33" spans="1:29" ht="15.75" thickBot="1">
      <c r="A33" s="655"/>
      <c r="B33" s="653" t="s">
        <v>2705</v>
      </c>
      <c r="C33" s="460" t="s">
        <v>3210</v>
      </c>
      <c r="D33" s="435">
        <v>100</v>
      </c>
      <c r="E33" s="460" t="s">
        <v>3210</v>
      </c>
      <c r="F33" s="461">
        <f>SUMIF(95:95,E33,96:96)-SUMIF(95:95,C33,96:96)+100</f>
        <v>100</v>
      </c>
      <c r="G33" s="460" t="s">
        <v>3210</v>
      </c>
      <c r="H33" s="435">
        <f>SUMIF(95:95,G33,96:96)-SUMIF(95:95,C33,96:96)+100</f>
        <v>100</v>
      </c>
      <c r="I33" s="460" t="s">
        <v>3210</v>
      </c>
      <c r="J33" s="435">
        <f>SUMIF(95:95,I33,96:96)-SUMIF(95:95,C33,96:96)+100</f>
        <v>100</v>
      </c>
      <c r="K33" s="612">
        <v>2</v>
      </c>
      <c r="L33" s="1138"/>
      <c r="M33" s="1129"/>
      <c r="N33" s="1129"/>
      <c r="O33" s="1129"/>
      <c r="P33" s="3232"/>
      <c r="Q33" s="1808" t="str">
        <f t="shared" si="8"/>
        <v>是否直接入户</v>
      </c>
      <c r="R33" s="773" t="s">
        <v>17</v>
      </c>
      <c r="S33" s="774">
        <f t="shared" si="9"/>
        <v>100</v>
      </c>
      <c r="T33" s="773" t="s">
        <v>17</v>
      </c>
      <c r="U33" s="774">
        <f t="shared" si="10"/>
        <v>100</v>
      </c>
      <c r="V33" s="773" t="s">
        <v>17</v>
      </c>
      <c r="W33" s="774">
        <f t="shared" si="11"/>
        <v>100</v>
      </c>
      <c r="X33" s="1811"/>
      <c r="Y33" s="3232"/>
      <c r="Z33" s="1812" t="str">
        <f t="shared" si="12"/>
        <v>是否直接入户</v>
      </c>
      <c r="AA33" s="1809">
        <f t="shared" si="3"/>
        <v>1</v>
      </c>
      <c r="AB33" s="1809">
        <f t="shared" si="4"/>
        <v>1</v>
      </c>
      <c r="AC33" s="1809">
        <f t="shared" si="5"/>
        <v>1</v>
      </c>
    </row>
    <row r="34" spans="1:29" ht="15" hidden="1">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32"/>
      <c r="Q34" s="1808">
        <f t="shared" si="8"/>
        <v>111</v>
      </c>
      <c r="R34" s="773" t="s">
        <v>17</v>
      </c>
      <c r="S34" s="774">
        <f t="shared" si="9"/>
        <v>100</v>
      </c>
      <c r="T34" s="773" t="s">
        <v>17</v>
      </c>
      <c r="U34" s="774">
        <f t="shared" si="10"/>
        <v>100</v>
      </c>
      <c r="V34" s="773" t="s">
        <v>17</v>
      </c>
      <c r="W34" s="774">
        <f t="shared" si="11"/>
        <v>100</v>
      </c>
      <c r="X34" s="1811"/>
      <c r="Y34" s="3232"/>
      <c r="Z34" s="1812">
        <f t="shared" si="12"/>
        <v>111</v>
      </c>
      <c r="AA34" s="1809">
        <f t="shared" si="3"/>
        <v>1</v>
      </c>
      <c r="AB34" s="1809">
        <f t="shared" si="4"/>
        <v>1</v>
      </c>
      <c r="AC34" s="1809">
        <f t="shared" si="5"/>
        <v>1</v>
      </c>
    </row>
    <row r="35" spans="1:29" s="471" customFormat="1" ht="15" hidden="1">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32"/>
      <c r="Q35" s="775">
        <f t="shared" si="8"/>
        <v>111</v>
      </c>
      <c r="R35" s="776" t="s">
        <v>17</v>
      </c>
      <c r="S35" s="777">
        <f t="shared" si="9"/>
        <v>100</v>
      </c>
      <c r="T35" s="776" t="s">
        <v>17</v>
      </c>
      <c r="U35" s="777">
        <f t="shared" si="10"/>
        <v>100</v>
      </c>
      <c r="V35" s="776" t="s">
        <v>17</v>
      </c>
      <c r="W35" s="777">
        <f t="shared" si="11"/>
        <v>100</v>
      </c>
      <c r="X35" s="778"/>
      <c r="Y35" s="3232"/>
      <c r="Z35" s="779">
        <f t="shared" si="12"/>
        <v>111</v>
      </c>
      <c r="AA35" s="1809">
        <f t="shared" si="3"/>
        <v>1</v>
      </c>
      <c r="AB35" s="1809">
        <f t="shared" si="4"/>
        <v>1</v>
      </c>
      <c r="AC35" s="1809">
        <f t="shared" si="5"/>
        <v>1</v>
      </c>
    </row>
    <row r="36" spans="1:29" ht="15.75" hidden="1"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32"/>
      <c r="Q36" s="1808">
        <f t="shared" si="8"/>
        <v>111</v>
      </c>
      <c r="R36" s="773" t="s">
        <v>17</v>
      </c>
      <c r="S36" s="774">
        <f t="shared" si="9"/>
        <v>100</v>
      </c>
      <c r="T36" s="773" t="s">
        <v>17</v>
      </c>
      <c r="U36" s="774">
        <f t="shared" si="10"/>
        <v>100</v>
      </c>
      <c r="V36" s="773" t="s">
        <v>17</v>
      </c>
      <c r="W36" s="774">
        <f t="shared" si="11"/>
        <v>100</v>
      </c>
      <c r="X36" s="1811"/>
      <c r="Y36" s="3232"/>
      <c r="Z36" s="1812">
        <f t="shared" si="12"/>
        <v>111</v>
      </c>
      <c r="AA36" s="1809">
        <f t="shared" si="3"/>
        <v>1</v>
      </c>
      <c r="AB36" s="1809">
        <f t="shared" si="4"/>
        <v>1</v>
      </c>
      <c r="AC36" s="1809">
        <f t="shared" si="5"/>
        <v>1</v>
      </c>
    </row>
    <row r="37" spans="1:29" ht="15">
      <c r="A37" s="479" t="s">
        <v>2706</v>
      </c>
      <c r="B37" s="2685" t="s">
        <v>2707</v>
      </c>
      <c r="C37" s="1405" t="s">
        <v>1</v>
      </c>
      <c r="D37" s="1406"/>
      <c r="E37" s="1407">
        <v>265000</v>
      </c>
      <c r="F37" s="1408"/>
      <c r="G37" s="1409">
        <v>300000</v>
      </c>
      <c r="H37" s="1410"/>
      <c r="I37" s="1407">
        <v>260000</v>
      </c>
      <c r="J37" s="1410"/>
      <c r="K37" s="619"/>
      <c r="L37" s="1141"/>
      <c r="M37" s="1142"/>
      <c r="N37" s="1129"/>
      <c r="O37" s="1142"/>
      <c r="P37" s="3214" t="str">
        <f>A37</f>
        <v>成交单价</v>
      </c>
      <c r="Q37" s="3214"/>
      <c r="R37" s="3274">
        <f>E37</f>
        <v>265000</v>
      </c>
      <c r="S37" s="3274"/>
      <c r="T37" s="3274">
        <f>G37</f>
        <v>300000</v>
      </c>
      <c r="U37" s="3274"/>
      <c r="V37" s="3274">
        <f>I37</f>
        <v>260000</v>
      </c>
      <c r="W37" s="3274"/>
      <c r="X37" s="758"/>
      <c r="Y37" s="780"/>
      <c r="Z37" s="758"/>
      <c r="AA37" s="758"/>
      <c r="AB37" s="758"/>
      <c r="AC37" s="758"/>
    </row>
    <row r="38" spans="1:29" ht="15.75" thickBot="1">
      <c r="A38" s="486" t="s">
        <v>2708</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4" t="str">
        <f>A38</f>
        <v>比较价值（元/平方米）</v>
      </c>
      <c r="Q38" s="3214"/>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758"/>
      <c r="Y38" s="758"/>
      <c r="Z38" s="758"/>
      <c r="AA38" s="758"/>
      <c r="AB38" s="758"/>
      <c r="AC38" s="758"/>
    </row>
    <row r="39" spans="1:29" ht="15.75" thickBot="1">
      <c r="A39" s="492" t="s">
        <v>2709</v>
      </c>
      <c r="B39" s="493"/>
      <c r="C39" s="1415" t="e">
        <f>R39</f>
        <v>#DIV/0!</v>
      </c>
      <c r="D39" s="1415"/>
      <c r="E39" s="1415"/>
      <c r="F39" s="1415"/>
      <c r="G39" s="1415"/>
      <c r="H39" s="1415"/>
      <c r="I39" s="1415"/>
      <c r="J39" s="1415"/>
      <c r="K39" s="2967">
        <v>270492</v>
      </c>
      <c r="L39" s="1141"/>
      <c r="M39" s="1142"/>
      <c r="N39" s="1142"/>
      <c r="O39" s="1142"/>
      <c r="P39" s="3234" t="str">
        <f>A39</f>
        <v>估价对象XX用房的比较价值（楼面单价，元/平方米）</v>
      </c>
      <c r="Q39" s="3235"/>
      <c r="R39" s="3273" t="e">
        <f>IF(F1="售价",ROUND(AVERAGE(R38:V38),0),ROUND(AVERAGE(R38:V38),1))</f>
        <v>#DIV/0!</v>
      </c>
      <c r="S39" s="3273"/>
      <c r="T39" s="3273"/>
      <c r="U39" s="3273"/>
      <c r="V39" s="3273"/>
      <c r="W39" s="3273"/>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2712</v>
      </c>
      <c r="D44" s="501"/>
      <c r="E44" s="499">
        <f>IF(E37&lt;G37,G37/E37-1,E37/G37-1)</f>
        <v>0.13207547169811318</v>
      </c>
      <c r="F44" s="500" t="str">
        <f>IF(OR(E44&gt;=0.3,E44&lt;=-0.3),"超过30%","")</f>
        <v/>
      </c>
      <c r="G44" s="499">
        <f>IF(G37&lt;I37,I37/G37-1,G37/I37-1)</f>
        <v>0.15384615384615374</v>
      </c>
      <c r="H44" s="500" t="str">
        <f>IF(OR(G44&gt;=0.3,G44&lt;=-0.3),"超过30%","")</f>
        <v/>
      </c>
      <c r="I44" s="499">
        <f>IF(I37&lt;E37,E37/I37-1,I37/E37-1)</f>
        <v>1.9230769230769162E-2</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2713</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2714</v>
      </c>
      <c r="B48" s="506"/>
      <c r="C48" s="1572" t="str">
        <f>YEAR(C7)&amp;"-"&amp;MONTH(C7)</f>
        <v>2018-3</v>
      </c>
      <c r="D48" s="1573">
        <f>EDATE(C48,-1)</f>
        <v>43132</v>
      </c>
      <c r="E48" s="1573">
        <f t="shared" ref="E48:O48" si="13">EDATE(D48,-1)</f>
        <v>43101</v>
      </c>
      <c r="F48" s="1573">
        <f t="shared" si="13"/>
        <v>43070</v>
      </c>
      <c r="G48" s="1573">
        <f t="shared" si="13"/>
        <v>43040</v>
      </c>
      <c r="H48" s="1573">
        <f t="shared" si="13"/>
        <v>43009</v>
      </c>
      <c r="I48" s="1573">
        <f t="shared" si="13"/>
        <v>42979</v>
      </c>
      <c r="J48" s="1573">
        <f t="shared" si="13"/>
        <v>42948</v>
      </c>
      <c r="K48" s="1573">
        <f t="shared" si="13"/>
        <v>42917</v>
      </c>
      <c r="L48" s="1573">
        <f t="shared" si="13"/>
        <v>42887</v>
      </c>
      <c r="M48" s="1573">
        <f t="shared" si="13"/>
        <v>42856</v>
      </c>
      <c r="N48" s="1573">
        <f t="shared" si="13"/>
        <v>42826</v>
      </c>
      <c r="O48" s="1573">
        <f t="shared" si="13"/>
        <v>42795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f>'比较法-住宅'!D59</f>
        <v>100</v>
      </c>
      <c r="E49" s="512">
        <f>'比较法-住宅'!E59</f>
        <v>100</v>
      </c>
      <c r="F49" s="512">
        <f>'比较法-住宅'!F59</f>
        <v>98</v>
      </c>
      <c r="G49" s="512">
        <f>'比较法-住宅'!G59</f>
        <v>98</v>
      </c>
      <c r="H49" s="512">
        <f>'比较法-住宅'!H59</f>
        <v>0</v>
      </c>
      <c r="I49" s="512">
        <f>'比较法-住宅'!I59</f>
        <v>0</v>
      </c>
      <c r="J49" s="512">
        <f>'比较法-住宅'!J59</f>
        <v>0</v>
      </c>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2571</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2536</v>
      </c>
      <c r="B51" s="510"/>
      <c r="C51" s="522" t="s">
        <v>2638</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8">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2574</v>
      </c>
      <c r="B53" s="528" t="s">
        <v>2540</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59">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98</v>
      </c>
      <c r="E64" s="544">
        <f>D64-$K14</f>
        <v>96</v>
      </c>
      <c r="F64" s="544">
        <f>E64-$K14</f>
        <v>94</v>
      </c>
      <c r="G64" s="544">
        <f>F64-$K14</f>
        <v>92</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2589</v>
      </c>
      <c r="C65" s="578" t="s">
        <v>2583</v>
      </c>
      <c r="D65" s="578" t="s">
        <v>2584</v>
      </c>
      <c r="E65" s="578" t="s">
        <v>2585</v>
      </c>
      <c r="F65" s="578" t="s">
        <v>2586</v>
      </c>
      <c r="G65" s="578" t="s">
        <v>2587</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98</v>
      </c>
      <c r="E66" s="544">
        <f>D66-$K16</f>
        <v>96</v>
      </c>
      <c r="F66" s="544">
        <f>E66-$K16</f>
        <v>94</v>
      </c>
      <c r="G66" s="544">
        <f>F66-$K16</f>
        <v>92</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2675</v>
      </c>
      <c r="C67" s="659" t="s">
        <v>2661</v>
      </c>
      <c r="D67" s="659" t="s">
        <v>2662</v>
      </c>
      <c r="E67" s="659" t="s">
        <v>2663</v>
      </c>
      <c r="F67" s="659" t="s">
        <v>2664</v>
      </c>
      <c r="G67" s="659" t="s">
        <v>2665</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99</v>
      </c>
      <c r="E68" s="544">
        <f>D68-$K18</f>
        <v>98</v>
      </c>
      <c r="F68" s="544">
        <f>E68-$K18</f>
        <v>97</v>
      </c>
      <c r="G68" s="544">
        <f>F68-$K18</f>
        <v>96</v>
      </c>
      <c r="H68" s="659"/>
      <c r="I68" s="659"/>
      <c r="J68" s="659"/>
      <c r="K68" s="659"/>
      <c r="L68" s="659"/>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2595</v>
      </c>
      <c r="C69" s="578" t="s">
        <v>2583</v>
      </c>
      <c r="D69" s="578" t="s">
        <v>2584</v>
      </c>
      <c r="E69" s="578" t="s">
        <v>2585</v>
      </c>
      <c r="F69" s="578" t="s">
        <v>2586</v>
      </c>
      <c r="G69" s="578" t="s">
        <v>2587</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98</v>
      </c>
      <c r="E70" s="544">
        <f>D70-$K20</f>
        <v>96</v>
      </c>
      <c r="F70" s="544">
        <f>E70-$K20</f>
        <v>94</v>
      </c>
      <c r="G70" s="544">
        <f>F70-$K20</f>
        <v>92</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2715</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2549</v>
      </c>
      <c r="B79" s="528" t="s">
        <v>2716</v>
      </c>
      <c r="C79" s="529" t="str">
        <f>C26</f>
        <v>车库</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2717</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2602</v>
      </c>
      <c r="C83" s="2958" t="s">
        <v>3198</v>
      </c>
      <c r="D83" s="2958" t="s">
        <v>3193</v>
      </c>
      <c r="E83" s="2958" t="s">
        <v>3195</v>
      </c>
      <c r="F83" s="2959" t="s">
        <v>3196</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5">C84-$K28</f>
        <v>98</v>
      </c>
      <c r="E84" s="544">
        <f t="shared" si="15"/>
        <v>96</v>
      </c>
      <c r="F84" s="544">
        <f t="shared" si="15"/>
        <v>94</v>
      </c>
      <c r="G84" s="544">
        <f t="shared" si="15"/>
        <v>92</v>
      </c>
      <c r="H84" s="544">
        <f t="shared" si="15"/>
        <v>90</v>
      </c>
      <c r="I84" s="544">
        <f t="shared" si="15"/>
        <v>88</v>
      </c>
      <c r="J84" s="544">
        <f t="shared" si="15"/>
        <v>86</v>
      </c>
      <c r="K84" s="544">
        <f t="shared" si="15"/>
        <v>84</v>
      </c>
      <c r="L84" s="544">
        <f t="shared" si="15"/>
        <v>82</v>
      </c>
      <c r="M84" s="545">
        <f t="shared" si="15"/>
        <v>80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101</v>
      </c>
      <c r="E87" s="544">
        <f t="shared" ref="E87:M87" si="16">D87+$K$29</f>
        <v>102</v>
      </c>
      <c r="F87" s="544">
        <f t="shared" si="16"/>
        <v>103</v>
      </c>
      <c r="G87" s="544">
        <f t="shared" si="16"/>
        <v>104</v>
      </c>
      <c r="H87" s="544">
        <f t="shared" si="16"/>
        <v>105</v>
      </c>
      <c r="I87" s="544">
        <f t="shared" si="16"/>
        <v>106</v>
      </c>
      <c r="J87" s="544">
        <f t="shared" si="16"/>
        <v>107</v>
      </c>
      <c r="K87" s="544">
        <f t="shared" si="16"/>
        <v>108</v>
      </c>
      <c r="L87" s="544">
        <f t="shared" si="16"/>
        <v>109</v>
      </c>
      <c r="M87" s="544">
        <f t="shared" si="16"/>
        <v>110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2719</v>
      </c>
      <c r="C88" s="2948" t="s">
        <v>3209</v>
      </c>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17">C89+$K30</f>
        <v>102</v>
      </c>
      <c r="E89" s="544">
        <f t="shared" si="17"/>
        <v>104</v>
      </c>
      <c r="F89" s="544">
        <f t="shared" si="17"/>
        <v>106</v>
      </c>
      <c r="G89" s="544">
        <f t="shared" si="17"/>
        <v>108</v>
      </c>
      <c r="H89" s="544">
        <f t="shared" si="17"/>
        <v>110</v>
      </c>
      <c r="I89" s="544">
        <f t="shared" si="17"/>
        <v>112</v>
      </c>
      <c r="J89" s="544">
        <f t="shared" si="17"/>
        <v>114</v>
      </c>
      <c r="K89" s="544">
        <f t="shared" si="17"/>
        <v>116</v>
      </c>
      <c r="L89" s="544">
        <f t="shared" si="17"/>
        <v>118</v>
      </c>
      <c r="M89" s="544">
        <f t="shared" si="17"/>
        <v>120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2720</v>
      </c>
      <c r="C90" s="578" t="str">
        <f>C91&amp;"(含)"&amp;"-"&amp;D91</f>
        <v>0(含)-30</v>
      </c>
      <c r="D90" s="578" t="str">
        <f t="shared" ref="D90:L90" si="18">D91&amp;"(含)"&amp;"-"&amp;E91</f>
        <v>30(含)-40</v>
      </c>
      <c r="E90" s="578" t="str">
        <f t="shared" si="18"/>
        <v>40(含)-50</v>
      </c>
      <c r="F90" s="578" t="str">
        <f t="shared" si="18"/>
        <v>50(含)-</v>
      </c>
      <c r="G90" s="578" t="str">
        <f t="shared" si="18"/>
        <v>(含)-</v>
      </c>
      <c r="H90" s="578" t="str">
        <f t="shared" si="18"/>
        <v>(含)-</v>
      </c>
      <c r="I90" s="578" t="str">
        <f t="shared" si="18"/>
        <v>(含)-</v>
      </c>
      <c r="J90" s="578" t="str">
        <f t="shared" si="18"/>
        <v>(含)-</v>
      </c>
      <c r="K90" s="578" t="str">
        <f t="shared" si="18"/>
        <v>(含)-</v>
      </c>
      <c r="L90" s="578" t="str">
        <f t="shared" si="18"/>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30</v>
      </c>
      <c r="E91" s="595">
        <v>40</v>
      </c>
      <c r="F91" s="595">
        <v>50</v>
      </c>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100</v>
      </c>
      <c r="D92" s="536">
        <v>101</v>
      </c>
      <c r="E92" s="536">
        <v>102</v>
      </c>
      <c r="F92" s="536">
        <v>103</v>
      </c>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2721</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2722</v>
      </c>
      <c r="C95" s="2948" t="s">
        <v>3211</v>
      </c>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98</v>
      </c>
      <c r="E96" s="544">
        <f>D96-$K33</f>
        <v>96</v>
      </c>
      <c r="F96" s="544">
        <f>E96-$K33</f>
        <v>94</v>
      </c>
      <c r="G96" s="544">
        <f>F96-$K33</f>
        <v>92</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5">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2693</v>
      </c>
      <c r="B1" s="1617"/>
      <c r="C1" s="1618" t="s">
        <v>2516</v>
      </c>
      <c r="D1" s="1619"/>
      <c r="E1" s="1628"/>
      <c r="F1" s="2577"/>
      <c r="G1" s="1629" t="s">
        <v>2629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IF(C2="——",ROUND(C37*D3/10000,0),ROUND(C37*D3/10000,0)-D2)</f>
        <v>#DIV/0!</v>
      </c>
      <c r="C2" s="2579"/>
      <c r="D2" s="1122" t="e">
        <f ca="1">SUMIF(INDIRECT("'"&amp;F2&amp;"'"&amp;"!A:A"),"承租人权益价值",INDIRECT("'"&amp;F2&amp;"'"&amp;"!c:c"))</f>
        <v>#REF!</v>
      </c>
      <c r="E2" s="2580" t="s">
        <v>2317</v>
      </c>
      <c r="F2" s="2581"/>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2630</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2631</v>
      </c>
      <c r="B4" s="402"/>
      <c r="C4" s="3215" t="s">
        <v>2632</v>
      </c>
      <c r="D4" s="3216"/>
      <c r="E4" s="3217" t="s">
        <v>2633</v>
      </c>
      <c r="F4" s="3218"/>
      <c r="G4" s="3215" t="s">
        <v>2634</v>
      </c>
      <c r="H4" s="3216"/>
      <c r="I4" s="3215" t="s">
        <v>2635</v>
      </c>
      <c r="J4" s="3216"/>
      <c r="K4" s="610" t="s">
        <v>2636</v>
      </c>
      <c r="L4" s="1128"/>
      <c r="M4" s="1129"/>
      <c r="N4" s="1129"/>
      <c r="O4" s="1129"/>
      <c r="P4" s="3219" t="s">
        <v>2637</v>
      </c>
      <c r="Q4" s="3220"/>
      <c r="R4" s="3201" t="s">
        <v>2633</v>
      </c>
      <c r="S4" s="3202"/>
      <c r="T4" s="3201" t="s">
        <v>2634</v>
      </c>
      <c r="U4" s="3202"/>
      <c r="V4" s="3227" t="s">
        <v>2635</v>
      </c>
      <c r="W4" s="3227"/>
      <c r="X4" s="1811"/>
      <c r="Y4" s="3201" t="s">
        <v>2637</v>
      </c>
      <c r="Z4" s="3202"/>
      <c r="AA4" s="3196" t="s">
        <v>2633</v>
      </c>
      <c r="AB4" s="3197" t="s">
        <v>2634</v>
      </c>
      <c r="AC4" s="3196" t="s">
        <v>2635</v>
      </c>
    </row>
    <row r="5" spans="1:29" ht="15">
      <c r="A5" s="404"/>
      <c r="B5" s="405"/>
      <c r="C5" s="3211" t="s">
        <v>2528</v>
      </c>
      <c r="D5" s="3208"/>
      <c r="E5" s="3205" t="s">
        <v>2529</v>
      </c>
      <c r="F5" s="3206"/>
      <c r="G5" s="3211" t="s">
        <v>2530</v>
      </c>
      <c r="H5" s="3208"/>
      <c r="I5" s="3211" t="s">
        <v>2531</v>
      </c>
      <c r="J5" s="3208"/>
      <c r="K5" s="610"/>
      <c r="L5" s="1128"/>
      <c r="M5" s="1129"/>
      <c r="N5" s="1129"/>
      <c r="O5" s="1129"/>
      <c r="P5" s="3221"/>
      <c r="Q5" s="3222"/>
      <c r="R5" s="3203"/>
      <c r="S5" s="3204"/>
      <c r="T5" s="3203"/>
      <c r="U5" s="3204"/>
      <c r="V5" s="3227"/>
      <c r="W5" s="3227"/>
      <c r="X5" s="1811"/>
      <c r="Y5" s="3203"/>
      <c r="Z5" s="3204"/>
      <c r="AA5" s="3197"/>
      <c r="AB5" s="3197"/>
      <c r="AC5" s="3197"/>
    </row>
    <row r="6" spans="1:29" ht="15.75" thickBot="1">
      <c r="A6" s="406"/>
      <c r="B6" s="407"/>
      <c r="C6" s="3209" t="s">
        <v>2532</v>
      </c>
      <c r="D6" s="3210"/>
      <c r="E6" s="3212" t="s">
        <v>2532</v>
      </c>
      <c r="F6" s="3213"/>
      <c r="G6" s="3209" t="s">
        <v>2532</v>
      </c>
      <c r="H6" s="3210"/>
      <c r="I6" s="3209" t="s">
        <v>2532</v>
      </c>
      <c r="J6" s="3210"/>
      <c r="K6" s="610" t="s">
        <v>2533</v>
      </c>
      <c r="L6" s="1128"/>
      <c r="M6" s="1129"/>
      <c r="N6" s="1129"/>
      <c r="O6" s="1129"/>
      <c r="P6" s="3223"/>
      <c r="Q6" s="3224"/>
      <c r="R6" s="3203"/>
      <c r="S6" s="3204"/>
      <c r="T6" s="3225"/>
      <c r="U6" s="3226"/>
      <c r="V6" s="3227"/>
      <c r="W6" s="3227"/>
      <c r="X6" s="1811"/>
      <c r="Y6" s="3225"/>
      <c r="Z6" s="3226"/>
      <c r="AA6" s="3198"/>
      <c r="AB6" s="3198"/>
      <c r="AC6" s="3198"/>
    </row>
    <row r="7" spans="1:29" s="117" customFormat="1" ht="15.75" thickBot="1">
      <c r="A7" s="408" t="s">
        <v>2534</v>
      </c>
      <c r="B7" s="409"/>
      <c r="C7" s="410">
        <f>'数据-取费表'!B2</f>
        <v>43165</v>
      </c>
      <c r="D7" s="411">
        <v>100</v>
      </c>
      <c r="E7" s="412"/>
      <c r="F7" s="413">
        <f>SUMIF(46:46,YEAR(E7)&amp;"-"&amp;MONTH(E7),47:47)</f>
        <v>0</v>
      </c>
      <c r="G7" s="2686"/>
      <c r="H7" s="411">
        <f>SUMIF(46:46,YEAR(G7)&amp;"-"&amp;MONTH(G7),47:47)</f>
        <v>0</v>
      </c>
      <c r="I7" s="412"/>
      <c r="J7" s="411">
        <f>SUMIF(46:46,YEAR(I7)&amp;"-"&amp;MONTH(I7),47:47)</f>
        <v>0</v>
      </c>
      <c r="K7" s="611"/>
      <c r="L7" s="1130"/>
      <c r="M7" s="1131"/>
      <c r="N7" s="1131"/>
      <c r="O7" s="1131"/>
      <c r="P7" s="3199" t="s">
        <v>2535</v>
      </c>
      <c r="Q7" s="3228"/>
      <c r="R7" s="769" t="s">
        <v>17</v>
      </c>
      <c r="S7" s="770">
        <f t="shared" ref="S7:S14" si="0">F7</f>
        <v>0</v>
      </c>
      <c r="T7" s="769" t="s">
        <v>17</v>
      </c>
      <c r="U7" s="770">
        <f t="shared" ref="U7:U14" si="1">H7</f>
        <v>0</v>
      </c>
      <c r="V7" s="769" t="s">
        <v>17</v>
      </c>
      <c r="W7" s="770">
        <f t="shared" ref="W7:W14" si="2">J7</f>
        <v>0</v>
      </c>
      <c r="X7" s="771"/>
      <c r="Y7" s="3199" t="s">
        <v>2535</v>
      </c>
      <c r="Z7" s="3200"/>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9" t="s">
        <v>2538</v>
      </c>
      <c r="Q8" s="3200"/>
      <c r="R8" s="769" t="s">
        <v>17</v>
      </c>
      <c r="S8" s="770">
        <f t="shared" si="0"/>
        <v>0</v>
      </c>
      <c r="T8" s="769" t="s">
        <v>17</v>
      </c>
      <c r="U8" s="770">
        <f t="shared" si="1"/>
        <v>0</v>
      </c>
      <c r="V8" s="769" t="s">
        <v>17</v>
      </c>
      <c r="W8" s="770">
        <f t="shared" si="2"/>
        <v>0</v>
      </c>
      <c r="X8" s="771"/>
      <c r="Y8" s="3199" t="s">
        <v>2538</v>
      </c>
      <c r="Z8" s="3200"/>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4" t="s">
        <v>2541</v>
      </c>
      <c r="Q9" s="1793" t="str">
        <f t="shared" ref="Q9:Q14" si="6">B9</f>
        <v>用途</v>
      </c>
      <c r="R9" s="769" t="s">
        <v>17</v>
      </c>
      <c r="S9" s="770">
        <f t="shared" si="0"/>
        <v>100</v>
      </c>
      <c r="T9" s="769" t="s">
        <v>17</v>
      </c>
      <c r="U9" s="770">
        <f t="shared" si="1"/>
        <v>100</v>
      </c>
      <c r="V9" s="769" t="s">
        <v>17</v>
      </c>
      <c r="W9" s="770">
        <f t="shared" si="2"/>
        <v>100</v>
      </c>
      <c r="X9" s="771"/>
      <c r="Y9" s="3076"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4"/>
      <c r="Q10" s="1793" t="str">
        <f t="shared" si="6"/>
        <v>土地使用年限（年）</v>
      </c>
      <c r="R10" s="769" t="s">
        <v>17</v>
      </c>
      <c r="S10" s="770">
        <f t="shared" si="0"/>
        <v>100</v>
      </c>
      <c r="T10" s="769" t="s">
        <v>17</v>
      </c>
      <c r="U10" s="770">
        <f t="shared" si="1"/>
        <v>100</v>
      </c>
      <c r="V10" s="769" t="s">
        <v>17</v>
      </c>
      <c r="W10" s="770">
        <f t="shared" si="2"/>
        <v>100</v>
      </c>
      <c r="X10" s="771"/>
      <c r="Y10" s="3076"/>
      <c r="Z10" s="55" t="str">
        <f t="shared" si="7"/>
        <v>土地使用年限（年）</v>
      </c>
      <c r="AA10" s="772">
        <f t="shared" si="3"/>
        <v>1</v>
      </c>
      <c r="AB10" s="772">
        <f t="shared" si="4"/>
        <v>1</v>
      </c>
      <c r="AC10" s="772">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4"/>
      <c r="Q11" s="1793">
        <f t="shared" si="6"/>
        <v>111</v>
      </c>
      <c r="R11" s="769" t="s">
        <v>17</v>
      </c>
      <c r="S11" s="770">
        <f t="shared" si="0"/>
        <v>100</v>
      </c>
      <c r="T11" s="769" t="s">
        <v>17</v>
      </c>
      <c r="U11" s="770">
        <f t="shared" si="1"/>
        <v>100</v>
      </c>
      <c r="V11" s="769" t="s">
        <v>17</v>
      </c>
      <c r="W11" s="770">
        <f t="shared" si="2"/>
        <v>100</v>
      </c>
      <c r="X11" s="771"/>
      <c r="Y11" s="3076"/>
      <c r="Z11" s="55">
        <f t="shared" si="7"/>
        <v>111</v>
      </c>
      <c r="AA11" s="772">
        <f t="shared" si="3"/>
        <v>1</v>
      </c>
      <c r="AB11" s="772">
        <f t="shared" si="4"/>
        <v>1</v>
      </c>
      <c r="AC11" s="772">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4"/>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75" thickBot="1">
      <c r="A13" s="428"/>
      <c r="B13" s="2592">
        <v>111</v>
      </c>
      <c r="C13" s="434"/>
      <c r="D13" s="435">
        <v>100</v>
      </c>
      <c r="E13" s="469"/>
      <c r="F13" s="425">
        <f>SUMIF(59:59,E13,60:60)-SUMIF(59:59,C13,60:60)+100</f>
        <v>100</v>
      </c>
      <c r="G13" s="2687"/>
      <c r="H13" s="438">
        <f>SUMIF(59:59,G13,60:60)-SUMIF(59:59,C13,60:60)+100</f>
        <v>100</v>
      </c>
      <c r="I13" s="469"/>
      <c r="J13" s="435">
        <f>SUMIF(59:59,I13,60:60)-SUMIF(59:59,C13,60:60)+100</f>
        <v>100</v>
      </c>
      <c r="K13" s="613"/>
      <c r="L13" s="1138"/>
      <c r="M13" s="1129"/>
      <c r="N13" s="1129"/>
      <c r="O13" s="1137"/>
      <c r="P13" s="3214"/>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71.25">
      <c r="A14" s="440" t="s">
        <v>2545</v>
      </c>
      <c r="B14" s="69" t="s">
        <v>2695</v>
      </c>
      <c r="C14" s="2683" t="str">
        <f>IF(B1="工业",估价对象房地状况!G4,估价对象房地状况!C6)</f>
        <v>估价对象周边有849、兴23路等公交线路，综合评价交通便捷度一般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29" t="s">
        <v>2546</v>
      </c>
      <c r="Q14" s="1808" t="str">
        <f t="shared" si="6"/>
        <v>交通便捷度</v>
      </c>
      <c r="R14" s="773" t="s">
        <v>17</v>
      </c>
      <c r="S14" s="774">
        <f t="shared" si="0"/>
        <v>100</v>
      </c>
      <c r="T14" s="773" t="s">
        <v>17</v>
      </c>
      <c r="U14" s="774">
        <f t="shared" si="1"/>
        <v>100</v>
      </c>
      <c r="V14" s="773" t="s">
        <v>17</v>
      </c>
      <c r="W14" s="774">
        <f t="shared" si="2"/>
        <v>100</v>
      </c>
      <c r="X14" s="1811"/>
      <c r="Y14" s="3229"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30"/>
      <c r="Q15" s="1808"/>
      <c r="R15" s="773"/>
      <c r="S15" s="774"/>
      <c r="T15" s="773"/>
      <c r="U15" s="774"/>
      <c r="V15" s="773"/>
      <c r="W15" s="774"/>
      <c r="X15" s="1811"/>
      <c r="Y15" s="3230"/>
      <c r="Z15" s="1812"/>
      <c r="AA15" s="1809">
        <v>1</v>
      </c>
      <c r="AB15" s="1809">
        <v>1</v>
      </c>
      <c r="AC15" s="1809">
        <v>1</v>
      </c>
    </row>
    <row r="16" spans="1:29" ht="42.75">
      <c r="A16" s="428"/>
      <c r="B16" s="451" t="s">
        <v>2674</v>
      </c>
      <c r="C16" s="2599" t="str">
        <f>IF(B1="工业",估价对象房地状况!G5,估价对象房地状况!C7)</f>
        <v>估价对象所在区域公共配套设施齐备较齐备</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30"/>
      <c r="Q16" s="1808" t="str">
        <f>B16</f>
        <v>公共配套设施</v>
      </c>
      <c r="R16" s="773" t="s">
        <v>17</v>
      </c>
      <c r="S16" s="774">
        <f>F16</f>
        <v>100</v>
      </c>
      <c r="T16" s="773" t="s">
        <v>17</v>
      </c>
      <c r="U16" s="774">
        <f>H16</f>
        <v>100</v>
      </c>
      <c r="V16" s="773" t="s">
        <v>17</v>
      </c>
      <c r="W16" s="774">
        <f>J16</f>
        <v>100</v>
      </c>
      <c r="X16" s="1811"/>
      <c r="Y16" s="3230"/>
      <c r="Z16" s="1812" t="str">
        <f>Q16</f>
        <v>公共配套设施</v>
      </c>
      <c r="AA16" s="1809">
        <f t="shared" si="3"/>
        <v>1</v>
      </c>
      <c r="AB16" s="1809">
        <f t="shared" si="4"/>
        <v>1</v>
      </c>
      <c r="AC16" s="1809">
        <f t="shared" si="5"/>
        <v>1</v>
      </c>
    </row>
    <row r="17" spans="1:29" ht="15">
      <c r="A17" s="428"/>
      <c r="B17" s="456"/>
      <c r="C17" s="2600"/>
      <c r="D17" s="448"/>
      <c r="E17" s="447"/>
      <c r="F17" s="449"/>
      <c r="G17" s="447"/>
      <c r="H17" s="448"/>
      <c r="I17" s="447"/>
      <c r="J17" s="448"/>
      <c r="K17" s="615"/>
      <c r="L17" s="1138"/>
      <c r="M17" s="1129"/>
      <c r="N17" s="1129"/>
      <c r="O17" s="1137"/>
      <c r="P17" s="3230"/>
      <c r="Q17" s="1808"/>
      <c r="R17" s="773"/>
      <c r="S17" s="774"/>
      <c r="T17" s="773"/>
      <c r="U17" s="774"/>
      <c r="V17" s="773"/>
      <c r="W17" s="774"/>
      <c r="X17" s="1811"/>
      <c r="Y17" s="3230"/>
      <c r="Z17" s="1812"/>
      <c r="AA17" s="1809">
        <v>1</v>
      </c>
      <c r="AB17" s="1809">
        <v>1</v>
      </c>
      <c r="AC17" s="1809">
        <v>1</v>
      </c>
    </row>
    <row r="18" spans="1:29" ht="28.5">
      <c r="A18" s="428"/>
      <c r="B18" s="1382" t="s">
        <v>2675</v>
      </c>
      <c r="C18" s="2599" t="str">
        <f>IF(B1="工业",估价对象房地状况!G6,估价对象房地状况!C8)</f>
        <v>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30"/>
      <c r="Q18" s="1808" t="str">
        <f>B18</f>
        <v>基础设施水平</v>
      </c>
      <c r="R18" s="773" t="s">
        <v>17</v>
      </c>
      <c r="S18" s="774">
        <f>F18</f>
        <v>100</v>
      </c>
      <c r="T18" s="773" t="s">
        <v>17</v>
      </c>
      <c r="U18" s="774">
        <f>H18</f>
        <v>100</v>
      </c>
      <c r="V18" s="773" t="s">
        <v>17</v>
      </c>
      <c r="W18" s="774">
        <f>J18</f>
        <v>100</v>
      </c>
      <c r="X18" s="1811"/>
      <c r="Y18" s="3230"/>
      <c r="Z18" s="1812" t="str">
        <f>Q18</f>
        <v>基础设施水平</v>
      </c>
      <c r="AA18" s="1809">
        <f>D18/F18</f>
        <v>1</v>
      </c>
      <c r="AB18" s="1809">
        <f>D18/H18</f>
        <v>1</v>
      </c>
      <c r="AC18" s="1809">
        <f>D18/J18</f>
        <v>1</v>
      </c>
    </row>
    <row r="19" spans="1:29" ht="15">
      <c r="A19" s="428"/>
      <c r="B19" s="1382"/>
      <c r="C19" s="2600"/>
      <c r="D19" s="450"/>
      <c r="E19" s="2600"/>
      <c r="F19" s="453"/>
      <c r="G19" s="2600"/>
      <c r="H19" s="448"/>
      <c r="I19" s="447"/>
      <c r="J19" s="448"/>
      <c r="K19" s="1381"/>
      <c r="L19" s="1138"/>
      <c r="M19" s="1129"/>
      <c r="N19" s="1129"/>
      <c r="O19" s="1137"/>
      <c r="P19" s="3230"/>
      <c r="Q19" s="1808"/>
      <c r="R19" s="773"/>
      <c r="S19" s="774"/>
      <c r="T19" s="773"/>
      <c r="U19" s="774"/>
      <c r="V19" s="773"/>
      <c r="W19" s="774"/>
      <c r="X19" s="1811"/>
      <c r="Y19" s="3230"/>
      <c r="Z19" s="1812"/>
      <c r="AA19" s="1809">
        <v>1</v>
      </c>
      <c r="AB19" s="1809">
        <v>1</v>
      </c>
      <c r="AC19" s="1809">
        <v>1</v>
      </c>
    </row>
    <row r="20" spans="1:29" ht="57">
      <c r="A20" s="428"/>
      <c r="B20" s="451" t="s">
        <v>2696</v>
      </c>
      <c r="C20" s="2599" t="str">
        <f>IF(B1="工业",估价对象房地状况!G7,估价对象房地状况!C9)</f>
        <v>周边有北京广播电视大学、康庄公园；综合评价环境状况较好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30"/>
      <c r="Q20" s="1808" t="str">
        <f>B20</f>
        <v>自然及人文环境</v>
      </c>
      <c r="R20" s="773" t="s">
        <v>17</v>
      </c>
      <c r="S20" s="774">
        <f>F20</f>
        <v>100</v>
      </c>
      <c r="T20" s="773" t="s">
        <v>17</v>
      </c>
      <c r="U20" s="774">
        <f>H20</f>
        <v>100</v>
      </c>
      <c r="V20" s="773" t="s">
        <v>17</v>
      </c>
      <c r="W20" s="774">
        <f>J20</f>
        <v>100</v>
      </c>
      <c r="X20" s="1811"/>
      <c r="Y20" s="323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30"/>
      <c r="Q21" s="1808"/>
      <c r="R21" s="773"/>
      <c r="S21" s="774"/>
      <c r="T21" s="773"/>
      <c r="U21" s="774"/>
      <c r="V21" s="773"/>
      <c r="W21" s="774"/>
      <c r="X21" s="1811"/>
      <c r="Y21" s="3230"/>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30"/>
      <c r="Q22" s="1808" t="str">
        <f>B22</f>
        <v>楼层</v>
      </c>
      <c r="R22" s="773" t="s">
        <v>17</v>
      </c>
      <c r="S22" s="774">
        <f>F22</f>
        <v>100</v>
      </c>
      <c r="T22" s="773" t="s">
        <v>17</v>
      </c>
      <c r="U22" s="774">
        <f>H22</f>
        <v>100</v>
      </c>
      <c r="V22" s="773" t="s">
        <v>17</v>
      </c>
      <c r="W22" s="774">
        <f>J22</f>
        <v>100</v>
      </c>
      <c r="X22" s="1811"/>
      <c r="Y22" s="3230"/>
      <c r="Z22" s="1812" t="str">
        <f>Q22</f>
        <v>楼层</v>
      </c>
      <c r="AA22" s="1809">
        <f t="shared" si="3"/>
        <v>1</v>
      </c>
      <c r="AB22" s="1809">
        <f t="shared" si="4"/>
        <v>1</v>
      </c>
      <c r="AC22" s="1809">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30"/>
      <c r="Q23" s="1808">
        <f>B23</f>
        <v>111</v>
      </c>
      <c r="R23" s="773" t="s">
        <v>17</v>
      </c>
      <c r="S23" s="774">
        <f>F23</f>
        <v>100</v>
      </c>
      <c r="T23" s="773" t="s">
        <v>17</v>
      </c>
      <c r="U23" s="774">
        <f>H23</f>
        <v>100</v>
      </c>
      <c r="V23" s="773" t="s">
        <v>17</v>
      </c>
      <c r="W23" s="774">
        <f>J23</f>
        <v>100</v>
      </c>
      <c r="X23" s="1811"/>
      <c r="Y23" s="3230"/>
      <c r="Z23" s="1812">
        <f>Q23</f>
        <v>111</v>
      </c>
      <c r="AA23" s="1809">
        <f t="shared" si="3"/>
        <v>1</v>
      </c>
      <c r="AB23" s="1809">
        <f t="shared" si="4"/>
        <v>1</v>
      </c>
      <c r="AC23" s="1809">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30"/>
      <c r="Q24" s="1808">
        <f t="shared" ref="Q24:Q34" si="8">B24</f>
        <v>111</v>
      </c>
      <c r="R24" s="773" t="s">
        <v>17</v>
      </c>
      <c r="S24" s="774">
        <f>F24</f>
        <v>100</v>
      </c>
      <c r="T24" s="773" t="s">
        <v>17</v>
      </c>
      <c r="U24" s="774">
        <f>H24</f>
        <v>100</v>
      </c>
      <c r="V24" s="773" t="s">
        <v>17</v>
      </c>
      <c r="W24" s="774">
        <f>J24</f>
        <v>100</v>
      </c>
      <c r="X24" s="1811"/>
      <c r="Y24" s="3230"/>
      <c r="Z24" s="1812">
        <f>Q24</f>
        <v>111</v>
      </c>
      <c r="AA24" s="1809">
        <f t="shared" si="3"/>
        <v>1</v>
      </c>
      <c r="AB24" s="1809">
        <f t="shared" si="4"/>
        <v>1</v>
      </c>
      <c r="AC24" s="1809">
        <f t="shared" si="5"/>
        <v>1</v>
      </c>
    </row>
    <row r="25" spans="1:29" s="117" customFormat="1" ht="15.75" thickBot="1">
      <c r="A25" s="431"/>
      <c r="B25" s="2592">
        <v>111</v>
      </c>
      <c r="C25" s="2688"/>
      <c r="D25" s="664">
        <v>100</v>
      </c>
      <c r="E25" s="2688"/>
      <c r="F25" s="665">
        <f>SUMIF(75:75,E25,76:76)-SUMIF(75:75,C25,76:76)+100</f>
        <v>100</v>
      </c>
      <c r="G25" s="2688"/>
      <c r="H25" s="664">
        <f>SUMIF(75:75,G25,76:76)-SUMIF(75:75,C25,76:76)+100</f>
        <v>100</v>
      </c>
      <c r="I25" s="2688"/>
      <c r="J25" s="664">
        <f>SUMIF(75:75,I25,76:76)-SUMIF(75:75,C25,76:76)+100</f>
        <v>100</v>
      </c>
      <c r="K25" s="613"/>
      <c r="L25" s="1130"/>
      <c r="M25" s="1131"/>
      <c r="N25" s="1131"/>
      <c r="O25" s="1132"/>
      <c r="P25" s="3230"/>
      <c r="Q25" s="1793">
        <f t="shared" si="8"/>
        <v>111</v>
      </c>
      <c r="R25" s="769" t="s">
        <v>17</v>
      </c>
      <c r="S25" s="770">
        <f>F25</f>
        <v>100</v>
      </c>
      <c r="T25" s="769" t="s">
        <v>17</v>
      </c>
      <c r="U25" s="770">
        <f>H25</f>
        <v>100</v>
      </c>
      <c r="V25" s="769" t="s">
        <v>17</v>
      </c>
      <c r="W25" s="770">
        <f>J25</f>
        <v>100</v>
      </c>
      <c r="X25" s="771"/>
      <c r="Y25" s="3230"/>
      <c r="Z25" s="55">
        <f>Q25</f>
        <v>111</v>
      </c>
      <c r="AA25" s="1809">
        <f>D25/F25</f>
        <v>1</v>
      </c>
      <c r="AB25" s="1809">
        <f>D25/H25</f>
        <v>1</v>
      </c>
      <c r="AC25" s="1809">
        <f>D25/J25</f>
        <v>1</v>
      </c>
    </row>
    <row r="26" spans="1:29" ht="15">
      <c r="A26" s="466" t="s">
        <v>2549</v>
      </c>
      <c r="B26" s="71" t="s">
        <v>2700</v>
      </c>
      <c r="C26" s="2669"/>
      <c r="D26" s="467">
        <v>100</v>
      </c>
      <c r="E26" s="2669"/>
      <c r="F26" s="666">
        <f>SUMIF(77:77,E26,78:78)-SUMIF(77:77,C26,78:78)+100</f>
        <v>100</v>
      </c>
      <c r="G26" s="2669"/>
      <c r="H26" s="467">
        <f>SUMIF(77:77,G26,78:78)-SUMIF(77:77,C26,78:78)+100</f>
        <v>100</v>
      </c>
      <c r="I26" s="2669"/>
      <c r="J26" s="467">
        <f>SUMIF(77:77,I26,78:78)-SUMIF(77:77,C26,78:78)+100</f>
        <v>100</v>
      </c>
      <c r="K26" s="612"/>
      <c r="L26" s="1138"/>
      <c r="M26" s="1129"/>
      <c r="N26" s="1129"/>
      <c r="O26" s="1137"/>
      <c r="P26" s="3231" t="s">
        <v>2551</v>
      </c>
      <c r="Q26" s="1808" t="str">
        <f t="shared" si="8"/>
        <v>公共部分装修</v>
      </c>
      <c r="R26" s="773" t="s">
        <v>17</v>
      </c>
      <c r="S26" s="774">
        <f t="shared" ref="S26:S34" si="9">F26</f>
        <v>100</v>
      </c>
      <c r="T26" s="773" t="s">
        <v>17</v>
      </c>
      <c r="U26" s="774">
        <f t="shared" ref="U26:U34" si="10">H26</f>
        <v>100</v>
      </c>
      <c r="V26" s="773" t="s">
        <v>17</v>
      </c>
      <c r="W26" s="774">
        <f t="shared" ref="W26:W34" si="11">J26</f>
        <v>100</v>
      </c>
      <c r="X26" s="1811"/>
      <c r="Y26" s="3232" t="s">
        <v>2551</v>
      </c>
      <c r="Z26" s="1812" t="str">
        <f t="shared" ref="Z26:Z34" si="12">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32"/>
      <c r="Q27" s="775" t="str">
        <f t="shared" si="8"/>
        <v>成新率</v>
      </c>
      <c r="R27" s="776" t="s">
        <v>17</v>
      </c>
      <c r="S27" s="777" t="e">
        <f t="shared" si="9"/>
        <v>#N/A</v>
      </c>
      <c r="T27" s="776" t="s">
        <v>17</v>
      </c>
      <c r="U27" s="777" t="e">
        <f t="shared" si="10"/>
        <v>#N/A</v>
      </c>
      <c r="V27" s="776" t="s">
        <v>17</v>
      </c>
      <c r="W27" s="777" t="e">
        <f t="shared" si="11"/>
        <v>#N/A</v>
      </c>
      <c r="X27" s="778"/>
      <c r="Y27" s="3232"/>
      <c r="Z27" s="779" t="str">
        <f t="shared" si="12"/>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32"/>
      <c r="Q28" s="1808" t="str">
        <f t="shared" si="8"/>
        <v>物业等级</v>
      </c>
      <c r="R28" s="773" t="s">
        <v>17</v>
      </c>
      <c r="S28" s="774">
        <f t="shared" si="9"/>
        <v>100</v>
      </c>
      <c r="T28" s="773" t="s">
        <v>17</v>
      </c>
      <c r="U28" s="774">
        <f t="shared" si="10"/>
        <v>100</v>
      </c>
      <c r="V28" s="773" t="s">
        <v>17</v>
      </c>
      <c r="W28" s="774">
        <f t="shared" si="11"/>
        <v>100</v>
      </c>
      <c r="X28" s="1811"/>
      <c r="Y28" s="3232"/>
      <c r="Z28" s="1812" t="str">
        <f t="shared" si="12"/>
        <v>物业等级</v>
      </c>
      <c r="AA28" s="1809">
        <f t="shared" si="3"/>
        <v>1</v>
      </c>
      <c r="AB28" s="1809">
        <f t="shared" si="4"/>
        <v>1</v>
      </c>
      <c r="AC28" s="1809">
        <f t="shared" si="5"/>
        <v>1</v>
      </c>
    </row>
    <row r="29" spans="1:29" ht="15">
      <c r="A29" s="472"/>
      <c r="B29" s="422" t="s">
        <v>2723</v>
      </c>
      <c r="C29" s="656"/>
      <c r="D29" s="435">
        <v>100</v>
      </c>
      <c r="E29" s="656"/>
      <c r="F29" s="461">
        <f>SUMIF(84:84,E29,85:85)-SUMIF(84:84,C29,85:85)+100</f>
        <v>100</v>
      </c>
      <c r="G29" s="656"/>
      <c r="H29" s="435">
        <f>SUMIF(84:84,G29,85:85)-SUMIF(84:84,C29,85:85)+100</f>
        <v>100</v>
      </c>
      <c r="I29" s="656"/>
      <c r="J29" s="435">
        <f>SUMIF(84:84,I29,85:85)-SUMIF(84:84,C29,85:85)+100</f>
        <v>100</v>
      </c>
      <c r="K29" s="612"/>
      <c r="L29" s="1138"/>
      <c r="M29" s="1129"/>
      <c r="N29" s="1129"/>
      <c r="O29" s="1137"/>
      <c r="P29" s="3232"/>
      <c r="Q29" s="1808" t="str">
        <f t="shared" si="8"/>
        <v>有无电梯</v>
      </c>
      <c r="R29" s="773" t="s">
        <v>17</v>
      </c>
      <c r="S29" s="774">
        <f t="shared" si="9"/>
        <v>100</v>
      </c>
      <c r="T29" s="773" t="s">
        <v>17</v>
      </c>
      <c r="U29" s="774">
        <f t="shared" si="10"/>
        <v>100</v>
      </c>
      <c r="V29" s="773" t="s">
        <v>17</v>
      </c>
      <c r="W29" s="774">
        <f t="shared" si="11"/>
        <v>100</v>
      </c>
      <c r="X29" s="1811"/>
      <c r="Y29" s="3232"/>
      <c r="Z29" s="1812" t="str">
        <f t="shared" si="12"/>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32"/>
      <c r="Q30" s="1808" t="str">
        <f t="shared" si="8"/>
        <v>建筑面积</v>
      </c>
      <c r="R30" s="773" t="s">
        <v>17</v>
      </c>
      <c r="S30" s="774" t="e">
        <f t="shared" si="9"/>
        <v>#N/A</v>
      </c>
      <c r="T30" s="773" t="s">
        <v>17</v>
      </c>
      <c r="U30" s="774" t="e">
        <f t="shared" si="10"/>
        <v>#N/A</v>
      </c>
      <c r="V30" s="773" t="s">
        <v>17</v>
      </c>
      <c r="W30" s="774" t="e">
        <f t="shared" si="11"/>
        <v>#N/A</v>
      </c>
      <c r="X30" s="1811"/>
      <c r="Y30" s="3232"/>
      <c r="Z30" s="1812" t="str">
        <f t="shared" si="12"/>
        <v>建筑面积</v>
      </c>
      <c r="AA30" s="1809" t="e">
        <f t="shared" si="3"/>
        <v>#N/A</v>
      </c>
      <c r="AB30" s="1809" t="e">
        <f t="shared" si="4"/>
        <v>#N/A</v>
      </c>
      <c r="AC30" s="1809" t="e">
        <f t="shared" si="5"/>
        <v>#N/A</v>
      </c>
    </row>
    <row r="31" spans="1:29" s="117" customFormat="1" ht="15">
      <c r="A31" s="473"/>
      <c r="B31" s="422" t="s">
        <v>2725</v>
      </c>
      <c r="C31" s="656"/>
      <c r="D31" s="136">
        <v>100</v>
      </c>
      <c r="E31" s="656"/>
      <c r="F31" s="461">
        <f>SUMIF(89:89,E31,90:90)-SUMIF(89:89,C31,90:90)+100</f>
        <v>100</v>
      </c>
      <c r="G31" s="656"/>
      <c r="H31" s="435">
        <f>SUMIF(89:89,G31,90:90)-SUMIF(89:89,C31,90:90)+100</f>
        <v>100</v>
      </c>
      <c r="I31" s="656"/>
      <c r="J31" s="435">
        <f>SUMIF(89:89,I31,90:90)-SUMIF(89:89,C31,90:90)+100</f>
        <v>100</v>
      </c>
      <c r="K31" s="612"/>
      <c r="L31" s="1130"/>
      <c r="M31" s="1131"/>
      <c r="N31" s="1131"/>
      <c r="O31" s="1132"/>
      <c r="P31" s="3232"/>
      <c r="Q31" s="1793" t="str">
        <f t="shared" si="8"/>
        <v>是否封闭</v>
      </c>
      <c r="R31" s="769" t="s">
        <v>17</v>
      </c>
      <c r="S31" s="770">
        <f t="shared" si="9"/>
        <v>100</v>
      </c>
      <c r="T31" s="769" t="s">
        <v>17</v>
      </c>
      <c r="U31" s="770">
        <f t="shared" si="10"/>
        <v>100</v>
      </c>
      <c r="V31" s="769" t="s">
        <v>17</v>
      </c>
      <c r="W31" s="770">
        <f t="shared" si="11"/>
        <v>100</v>
      </c>
      <c r="X31" s="771"/>
      <c r="Y31" s="3232"/>
      <c r="Z31" s="55" t="str">
        <f t="shared" si="12"/>
        <v>是否封闭</v>
      </c>
      <c r="AA31" s="772">
        <f t="shared" si="3"/>
        <v>1</v>
      </c>
      <c r="AB31" s="772">
        <f t="shared" si="4"/>
        <v>1</v>
      </c>
      <c r="AC31" s="772">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32" t="s">
        <v>2551</v>
      </c>
      <c r="Q32" s="1808">
        <f t="shared" si="8"/>
        <v>111</v>
      </c>
      <c r="R32" s="773" t="s">
        <v>17</v>
      </c>
      <c r="S32" s="774">
        <f t="shared" si="9"/>
        <v>100</v>
      </c>
      <c r="T32" s="773" t="s">
        <v>17</v>
      </c>
      <c r="U32" s="774">
        <f t="shared" si="10"/>
        <v>100</v>
      </c>
      <c r="V32" s="773" t="s">
        <v>17</v>
      </c>
      <c r="W32" s="774">
        <f t="shared" si="11"/>
        <v>100</v>
      </c>
      <c r="X32" s="1811"/>
      <c r="Y32" s="3232" t="s">
        <v>2551</v>
      </c>
      <c r="Z32" s="1812">
        <f t="shared" si="12"/>
        <v>111</v>
      </c>
      <c r="AA32" s="1809">
        <f t="shared" si="3"/>
        <v>1</v>
      </c>
      <c r="AB32" s="1809">
        <f t="shared" si="4"/>
        <v>1</v>
      </c>
      <c r="AC32" s="1809">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32"/>
      <c r="Q33" s="1808">
        <f t="shared" si="8"/>
        <v>111</v>
      </c>
      <c r="R33" s="773" t="s">
        <v>17</v>
      </c>
      <c r="S33" s="774">
        <f t="shared" si="9"/>
        <v>100</v>
      </c>
      <c r="T33" s="773" t="s">
        <v>17</v>
      </c>
      <c r="U33" s="774">
        <f t="shared" si="10"/>
        <v>100</v>
      </c>
      <c r="V33" s="773" t="s">
        <v>17</v>
      </c>
      <c r="W33" s="774">
        <f t="shared" si="11"/>
        <v>100</v>
      </c>
      <c r="X33" s="1811"/>
      <c r="Y33" s="3232"/>
      <c r="Z33" s="1812">
        <f t="shared" si="12"/>
        <v>111</v>
      </c>
      <c r="AA33" s="1809">
        <f t="shared" si="3"/>
        <v>1</v>
      </c>
      <c r="AB33" s="1809">
        <f t="shared" si="4"/>
        <v>1</v>
      </c>
      <c r="AC33" s="1809">
        <f t="shared" si="5"/>
        <v>1</v>
      </c>
    </row>
    <row r="34" spans="1:29" ht="15.75" thickBot="1">
      <c r="A34" s="478"/>
      <c r="B34" s="2594">
        <v>111</v>
      </c>
      <c r="C34" s="437"/>
      <c r="D34" s="438">
        <v>100</v>
      </c>
      <c r="E34" s="2687"/>
      <c r="F34" s="439">
        <f>SUMIF(95:95,E34,96:96)-SUMIF(95:95,C34,96:96)+100</f>
        <v>100</v>
      </c>
      <c r="G34" s="2687"/>
      <c r="H34" s="438">
        <f>SUMIF(95:95,G34,96:96)-SUMIF(95:95,C34,96:96)+100</f>
        <v>100</v>
      </c>
      <c r="I34" s="2687"/>
      <c r="J34" s="438">
        <f>SUMIF(95:95,I34,96:96)-SUMIF(95:95,C34,96:96)+100</f>
        <v>100</v>
      </c>
      <c r="K34" s="613"/>
      <c r="L34" s="1138"/>
      <c r="M34" s="1129"/>
      <c r="N34" s="1129"/>
      <c r="O34" s="1137"/>
      <c r="P34" s="3232"/>
      <c r="Q34" s="1808">
        <f t="shared" si="8"/>
        <v>111</v>
      </c>
      <c r="R34" s="773" t="s">
        <v>17</v>
      </c>
      <c r="S34" s="774">
        <f t="shared" si="9"/>
        <v>100</v>
      </c>
      <c r="T34" s="773" t="s">
        <v>17</v>
      </c>
      <c r="U34" s="774">
        <f t="shared" si="10"/>
        <v>100</v>
      </c>
      <c r="V34" s="773" t="s">
        <v>17</v>
      </c>
      <c r="W34" s="774">
        <f t="shared" si="11"/>
        <v>100</v>
      </c>
      <c r="X34" s="1811"/>
      <c r="Y34" s="3232"/>
      <c r="Z34" s="1812">
        <f t="shared" si="12"/>
        <v>111</v>
      </c>
      <c r="AA34" s="1809">
        <f t="shared" si="3"/>
        <v>1</v>
      </c>
      <c r="AB34" s="1809">
        <f t="shared" si="4"/>
        <v>1</v>
      </c>
      <c r="AC34" s="1809">
        <f t="shared" si="5"/>
        <v>1</v>
      </c>
    </row>
    <row r="35" spans="1:29" ht="15">
      <c r="A35" s="479" t="s">
        <v>2563</v>
      </c>
      <c r="B35" s="480"/>
      <c r="C35" s="1405" t="s">
        <v>1</v>
      </c>
      <c r="D35" s="1406"/>
      <c r="E35" s="1407"/>
      <c r="F35" s="1408"/>
      <c r="G35" s="1409"/>
      <c r="H35" s="1410"/>
      <c r="I35" s="1407"/>
      <c r="J35" s="1410"/>
      <c r="K35" s="782"/>
      <c r="L35" s="1141"/>
      <c r="M35" s="1142"/>
      <c r="N35" s="1129"/>
      <c r="O35" s="1142"/>
      <c r="P35" s="3214" t="str">
        <f>A35</f>
        <v>成交单价（元/平方米）</v>
      </c>
      <c r="Q35" s="3214"/>
      <c r="R35" s="3274">
        <f>E35</f>
        <v>0</v>
      </c>
      <c r="S35" s="3274"/>
      <c r="T35" s="3274">
        <f>G35</f>
        <v>0</v>
      </c>
      <c r="U35" s="3274"/>
      <c r="V35" s="3274">
        <f>I35</f>
        <v>0</v>
      </c>
      <c r="W35" s="3274"/>
      <c r="X35" s="758"/>
      <c r="Y35" s="780"/>
      <c r="Z35" s="758"/>
      <c r="AA35" s="758"/>
      <c r="AB35" s="758"/>
      <c r="AC35" s="758"/>
    </row>
    <row r="36" spans="1:29" ht="15.75" thickBot="1">
      <c r="A36" s="486" t="s">
        <v>2655</v>
      </c>
      <c r="B36" s="487"/>
      <c r="C36" s="1411" t="e">
        <f>R37</f>
        <v>#DIV/0!</v>
      </c>
      <c r="D36" s="1412"/>
      <c r="E36" s="1413" t="e">
        <f>R36</f>
        <v>#DIV/0!</v>
      </c>
      <c r="F36" s="1413"/>
      <c r="G36" s="1411" t="e">
        <f>T36</f>
        <v>#DIV/0!</v>
      </c>
      <c r="H36" s="1412"/>
      <c r="I36" s="1413" t="e">
        <f>V36</f>
        <v>#DIV/0!</v>
      </c>
      <c r="J36" s="1412"/>
      <c r="K36" s="783"/>
      <c r="L36" s="1141"/>
      <c r="M36" s="1142"/>
      <c r="N36" s="1129"/>
      <c r="O36" s="1142"/>
      <c r="P36" s="3214" t="str">
        <f>A36</f>
        <v>比较价值（元/平方米）</v>
      </c>
      <c r="Q36" s="3214"/>
      <c r="R36" s="3274" t="e">
        <f>IF(F1="售价",ROUND(PRODUCT(R35,AA7:AA34),0),ROUND(PRODUCT(R35,AA7:AA34),1))</f>
        <v>#DIV/0!</v>
      </c>
      <c r="S36" s="3274"/>
      <c r="T36" s="3274" t="e">
        <f>IF(F1="售价",ROUND(PRODUCT(T35,AB7:AB34),0),ROUND(PRODUCT(T35,AB7:AB34),1))</f>
        <v>#DIV/0!</v>
      </c>
      <c r="U36" s="3274"/>
      <c r="V36" s="3274" t="e">
        <f>IF(F1="售价",ROUND(PRODUCT(V35,AC7:AC34),0),ROUND(PRODUCT(V35,AC7:AC34),1))</f>
        <v>#DIV/0!</v>
      </c>
      <c r="W36" s="3274"/>
      <c r="X36" s="758"/>
      <c r="Y36" s="758"/>
      <c r="Z36" s="758"/>
      <c r="AA36" s="758"/>
      <c r="AB36" s="758"/>
      <c r="AC36" s="758"/>
    </row>
    <row r="37" spans="1:29" ht="15.75" thickBot="1">
      <c r="A37" s="492" t="s">
        <v>2656</v>
      </c>
      <c r="B37" s="493"/>
      <c r="C37" s="1415" t="e">
        <f>R37</f>
        <v>#DIV/0!</v>
      </c>
      <c r="D37" s="1415"/>
      <c r="E37" s="1415"/>
      <c r="F37" s="1415"/>
      <c r="G37" s="1415"/>
      <c r="H37" s="1415"/>
      <c r="I37" s="1415"/>
      <c r="J37" s="1415"/>
      <c r="K37" s="784"/>
      <c r="L37" s="1141"/>
      <c r="M37" s="1142"/>
      <c r="N37" s="1142"/>
      <c r="O37" s="1142"/>
      <c r="P37" s="3234" t="str">
        <f>A37</f>
        <v>估价对象XX用房的比较价值（楼面单价，元/平方米）</v>
      </c>
      <c r="Q37" s="3235"/>
      <c r="R37" s="3273" t="e">
        <f>IF(F1="售价",ROUND(AVERAGE(R36:V36),0),ROUND(AVERAGE(R36:V36),1))</f>
        <v>#DIV/0!</v>
      </c>
      <c r="S37" s="3273"/>
      <c r="T37" s="3273"/>
      <c r="U37" s="3273"/>
      <c r="V37" s="3273"/>
      <c r="W37" s="3273"/>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2" t="str">
        <f>YEAR(C7)&amp;"-"&amp;MONTH(C7)</f>
        <v>2018-3</v>
      </c>
      <c r="D46" s="1573">
        <f>EDATE(C46,-1)</f>
        <v>43132</v>
      </c>
      <c r="E46" s="1573">
        <f t="shared" ref="E46:O46" si="13">EDATE(D46,-1)</f>
        <v>43101</v>
      </c>
      <c r="F46" s="1573">
        <f t="shared" si="13"/>
        <v>43070</v>
      </c>
      <c r="G46" s="1573">
        <f t="shared" si="13"/>
        <v>43040</v>
      </c>
      <c r="H46" s="1573">
        <f t="shared" si="13"/>
        <v>43009</v>
      </c>
      <c r="I46" s="1573">
        <f t="shared" si="13"/>
        <v>42979</v>
      </c>
      <c r="J46" s="1573">
        <f t="shared" si="13"/>
        <v>42948</v>
      </c>
      <c r="K46" s="1573">
        <f t="shared" si="13"/>
        <v>42917</v>
      </c>
      <c r="L46" s="1573">
        <f t="shared" si="13"/>
        <v>42887</v>
      </c>
      <c r="M46" s="1573">
        <f t="shared" si="13"/>
        <v>42856</v>
      </c>
      <c r="N46" s="1573">
        <f t="shared" si="13"/>
        <v>42826</v>
      </c>
      <c r="O46" s="1573">
        <f t="shared" si="13"/>
        <v>42795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49"/>
      <c r="O49" s="1149"/>
      <c r="P49" s="526"/>
      <c r="Q49" s="504"/>
    </row>
    <row r="50" spans="1:17" s="117" customFormat="1" ht="15.75" thickBot="1">
      <c r="A50" s="521"/>
      <c r="B50" s="510"/>
      <c r="C50" s="638">
        <v>100</v>
      </c>
      <c r="D50" s="512"/>
      <c r="E50" s="512"/>
      <c r="F50" s="512"/>
      <c r="G50" s="512"/>
      <c r="H50" s="512"/>
      <c r="I50" s="512"/>
      <c r="J50" s="512"/>
      <c r="K50" s="512"/>
      <c r="L50" s="512"/>
      <c r="M50" s="514"/>
      <c r="N50" s="1149"/>
      <c r="O50" s="1149"/>
      <c r="P50" s="504"/>
      <c r="Q50" s="504"/>
    </row>
    <row r="51" spans="1:17">
      <c r="A51" s="527" t="s">
        <v>2574</v>
      </c>
      <c r="B51" s="528" t="s">
        <v>2540</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59">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2675</v>
      </c>
      <c r="C65" s="659" t="s">
        <v>2661</v>
      </c>
      <c r="D65" s="659" t="s">
        <v>2662</v>
      </c>
      <c r="E65" s="659" t="s">
        <v>2663</v>
      </c>
      <c r="F65" s="659" t="s">
        <v>2664</v>
      </c>
      <c r="G65" s="659" t="s">
        <v>2665</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1"/>
      <c r="O66" s="1151"/>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2715</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2549</v>
      </c>
      <c r="B77" s="528" t="s">
        <v>2602</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1"/>
      <c r="O78" s="1151"/>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59"/>
      <c r="J80" s="659"/>
      <c r="K80" s="667"/>
      <c r="L80" s="668"/>
      <c r="M80" s="669"/>
      <c r="N80" s="1149"/>
      <c r="O80" s="1149"/>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1"/>
      <c r="O81" s="1151"/>
      <c r="P81" s="558"/>
      <c r="Q81" s="559"/>
    </row>
    <row r="82" spans="1:17" ht="15" thickTop="1">
      <c r="A82" s="599"/>
      <c r="B82" s="546" t="s">
        <v>2719</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1"/>
      <c r="O83" s="1151"/>
      <c r="P83" s="45"/>
      <c r="Q83" s="504"/>
    </row>
    <row r="84" spans="1:17" ht="15" thickTop="1">
      <c r="A84" s="599"/>
      <c r="B84" s="538" t="s">
        <v>2727</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1"/>
      <c r="O85" s="1151"/>
      <c r="P85" s="45"/>
      <c r="Q85" s="504"/>
    </row>
    <row r="86" spans="1:17" ht="15" thickTop="1">
      <c r="A86" s="599"/>
      <c r="B86" s="546" t="s">
        <v>2728</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1"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2729</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5">
        <f>B34</f>
        <v>111</v>
      </c>
      <c r="C95" s="549"/>
      <c r="D95" s="549"/>
      <c r="E95" s="549"/>
      <c r="F95" s="549"/>
      <c r="G95" s="554"/>
      <c r="H95" s="555"/>
      <c r="I95" s="555"/>
      <c r="J95" s="555"/>
      <c r="K95" s="555"/>
      <c r="L95" s="556"/>
      <c r="M95" s="557"/>
      <c r="N95" s="1151"/>
      <c r="O95" s="1151"/>
      <c r="P95" s="636"/>
      <c r="Q95" s="637"/>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2732</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2631</v>
      </c>
      <c r="B4" s="402"/>
      <c r="C4" s="3215" t="s">
        <v>2632</v>
      </c>
      <c r="D4" s="3216"/>
      <c r="E4" s="3217" t="s">
        <v>2633</v>
      </c>
      <c r="F4" s="3218"/>
      <c r="G4" s="3215" t="s">
        <v>2634</v>
      </c>
      <c r="H4" s="3216"/>
      <c r="I4" s="3215" t="s">
        <v>2635</v>
      </c>
      <c r="J4" s="3216"/>
      <c r="K4" s="610" t="s">
        <v>2636</v>
      </c>
      <c r="L4" s="1128"/>
      <c r="M4" s="1129"/>
      <c r="N4" s="1129"/>
      <c r="O4" s="1129"/>
      <c r="P4" s="3219" t="s">
        <v>2637</v>
      </c>
      <c r="Q4" s="3220"/>
      <c r="R4" s="3201" t="s">
        <v>2633</v>
      </c>
      <c r="S4" s="3202"/>
      <c r="T4" s="3201" t="s">
        <v>2634</v>
      </c>
      <c r="U4" s="3202"/>
      <c r="V4" s="3227" t="s">
        <v>2635</v>
      </c>
      <c r="W4" s="3227"/>
      <c r="X4" s="1811"/>
      <c r="Y4" s="3201" t="s">
        <v>2637</v>
      </c>
      <c r="Z4" s="3202"/>
      <c r="AA4" s="3196" t="s">
        <v>2633</v>
      </c>
      <c r="AB4" s="3197" t="s">
        <v>2634</v>
      </c>
      <c r="AC4" s="3196" t="s">
        <v>2635</v>
      </c>
    </row>
    <row r="5" spans="1:29" ht="15">
      <c r="A5" s="404"/>
      <c r="B5" s="405"/>
      <c r="C5" s="3211" t="s">
        <v>2528</v>
      </c>
      <c r="D5" s="3208"/>
      <c r="E5" s="3205" t="s">
        <v>2529</v>
      </c>
      <c r="F5" s="3206"/>
      <c r="G5" s="3211" t="s">
        <v>2530</v>
      </c>
      <c r="H5" s="3208"/>
      <c r="I5" s="3211" t="s">
        <v>2531</v>
      </c>
      <c r="J5" s="3208"/>
      <c r="K5" s="610"/>
      <c r="L5" s="1128"/>
      <c r="M5" s="1129"/>
      <c r="N5" s="1129"/>
      <c r="O5" s="1129"/>
      <c r="P5" s="3221"/>
      <c r="Q5" s="3222"/>
      <c r="R5" s="3203"/>
      <c r="S5" s="3204"/>
      <c r="T5" s="3203"/>
      <c r="U5" s="3204"/>
      <c r="V5" s="3227"/>
      <c r="W5" s="3227"/>
      <c r="X5" s="1811"/>
      <c r="Y5" s="3203"/>
      <c r="Z5" s="3204"/>
      <c r="AA5" s="3197"/>
      <c r="AB5" s="3197"/>
      <c r="AC5" s="3197"/>
    </row>
    <row r="6" spans="1:29" ht="15.75" thickBot="1">
      <c r="A6" s="406"/>
      <c r="B6" s="407"/>
      <c r="C6" s="3296" t="s">
        <v>2783</v>
      </c>
      <c r="D6" s="3297"/>
      <c r="E6" s="3298" t="s">
        <v>2783</v>
      </c>
      <c r="F6" s="3299"/>
      <c r="G6" s="3296" t="s">
        <v>2783</v>
      </c>
      <c r="H6" s="3297"/>
      <c r="I6" s="3296" t="s">
        <v>2783</v>
      </c>
      <c r="J6" s="3297"/>
      <c r="K6" s="610" t="s">
        <v>2533</v>
      </c>
      <c r="L6" s="1128"/>
      <c r="M6" s="1129"/>
      <c r="N6" s="1129"/>
      <c r="O6" s="1129"/>
      <c r="P6" s="3223"/>
      <c r="Q6" s="3224"/>
      <c r="R6" s="3203"/>
      <c r="S6" s="3204"/>
      <c r="T6" s="3225"/>
      <c r="U6" s="3226"/>
      <c r="V6" s="3227"/>
      <c r="W6" s="3227"/>
      <c r="X6" s="1811"/>
      <c r="Y6" s="3225"/>
      <c r="Z6" s="3226"/>
      <c r="AA6" s="3198"/>
      <c r="AB6" s="3198"/>
      <c r="AC6" s="3198"/>
    </row>
    <row r="7" spans="1:29" s="117" customFormat="1" ht="15.75" thickBot="1">
      <c r="A7" s="408" t="s">
        <v>2534</v>
      </c>
      <c r="B7" s="409"/>
      <c r="C7" s="410">
        <f>'数据-取费表'!B2</f>
        <v>43165</v>
      </c>
      <c r="D7" s="411">
        <v>100</v>
      </c>
      <c r="E7" s="412"/>
      <c r="F7" s="413">
        <f>SUMIF(65:65,YEAR(E7)&amp;"-"&amp;INT((MONTH(E7)+2)/3),66:66)</f>
        <v>0</v>
      </c>
      <c r="G7" s="2686"/>
      <c r="H7" s="411">
        <f>SUMIF(65:65,YEAR(G7)&amp;"-"&amp;INT((MONTH(G7)+2)/3),66:66)</f>
        <v>0</v>
      </c>
      <c r="I7" s="2686"/>
      <c r="J7" s="411">
        <f>SUMIF(65:65,YEAR(I7)&amp;"-"&amp;INT((MONTH(I7)+2)/3),66:66)</f>
        <v>0</v>
      </c>
      <c r="K7" s="611"/>
      <c r="L7" s="1130"/>
      <c r="M7" s="1131"/>
      <c r="N7" s="1131"/>
      <c r="O7" s="1131"/>
      <c r="P7" s="3199" t="s">
        <v>2535</v>
      </c>
      <c r="Q7" s="3228"/>
      <c r="R7" s="769" t="s">
        <v>17</v>
      </c>
      <c r="S7" s="770">
        <f t="shared" ref="S7:S15" si="0">F7</f>
        <v>0</v>
      </c>
      <c r="T7" s="769" t="s">
        <v>17</v>
      </c>
      <c r="U7" s="770">
        <f t="shared" ref="U7:U15" si="1">H7</f>
        <v>0</v>
      </c>
      <c r="V7" s="769" t="s">
        <v>17</v>
      </c>
      <c r="W7" s="770">
        <f t="shared" ref="W7:W15" si="2">J7</f>
        <v>0</v>
      </c>
      <c r="X7" s="771"/>
      <c r="Y7" s="3199" t="s">
        <v>2535</v>
      </c>
      <c r="Z7" s="3200"/>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9" t="s">
        <v>2538</v>
      </c>
      <c r="Q8" s="3200"/>
      <c r="R8" s="769" t="s">
        <v>17</v>
      </c>
      <c r="S8" s="770">
        <f t="shared" si="0"/>
        <v>0</v>
      </c>
      <c r="T8" s="769" t="s">
        <v>17</v>
      </c>
      <c r="U8" s="770">
        <f t="shared" si="1"/>
        <v>0</v>
      </c>
      <c r="V8" s="769" t="s">
        <v>17</v>
      </c>
      <c r="W8" s="770">
        <f t="shared" si="2"/>
        <v>0</v>
      </c>
      <c r="X8" s="771"/>
      <c r="Y8" s="3199" t="s">
        <v>2538</v>
      </c>
      <c r="Z8" s="3200"/>
      <c r="AA8" s="772" t="e">
        <f t="shared" ref="AA8:AA40" si="3">D8/F8</f>
        <v>#DIV/0!</v>
      </c>
      <c r="AB8" s="772" t="e">
        <f t="shared" ref="AB8:AB40" si="4">D8/H8</f>
        <v>#DIV/0!</v>
      </c>
      <c r="AC8" s="772" t="e">
        <f t="shared" ref="AC8:AC40" si="5">D8/J8</f>
        <v>#DIV/0!</v>
      </c>
    </row>
    <row r="9" spans="1:29" s="117" customFormat="1">
      <c r="A9" s="415" t="s">
        <v>2539</v>
      </c>
      <c r="B9" s="71" t="s">
        <v>2540</v>
      </c>
      <c r="C9" s="2689"/>
      <c r="D9" s="135">
        <v>100</v>
      </c>
      <c r="E9" s="2689"/>
      <c r="F9" s="135">
        <f>SUMIF(70:70,E9,71:71)-SUMIF(70:70,C9,71:71)+100</f>
        <v>100</v>
      </c>
      <c r="G9" s="2689"/>
      <c r="H9" s="135">
        <f>SUMIF(70:70,G9,71:71)-SUMIF(70:70,C9,71:71)+100</f>
        <v>100</v>
      </c>
      <c r="I9" s="2689"/>
      <c r="J9" s="135">
        <f>SUMIF(70:70,I9,71:71)-SUMIF(70:70,C9,71:71)+100</f>
        <v>100</v>
      </c>
      <c r="K9" s="611"/>
      <c r="L9" s="1130"/>
      <c r="M9" s="1131"/>
      <c r="N9" s="1131"/>
      <c r="O9" s="1132"/>
      <c r="P9" s="3214" t="s">
        <v>2541</v>
      </c>
      <c r="Q9" s="1793" t="str">
        <f t="shared" ref="Q9:Q15" si="6">B9</f>
        <v>用途</v>
      </c>
      <c r="R9" s="769" t="s">
        <v>17</v>
      </c>
      <c r="S9" s="770">
        <f t="shared" si="0"/>
        <v>100</v>
      </c>
      <c r="T9" s="769" t="s">
        <v>17</v>
      </c>
      <c r="U9" s="770">
        <f t="shared" si="1"/>
        <v>100</v>
      </c>
      <c r="V9" s="769" t="s">
        <v>17</v>
      </c>
      <c r="W9" s="770">
        <f t="shared" si="2"/>
        <v>100</v>
      </c>
      <c r="X9" s="771"/>
      <c r="Y9" s="3076"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101</v>
      </c>
      <c r="G10" s="432"/>
      <c r="H10" s="136">
        <f>ROUND(100/'数据-取费表'!G16,0)</f>
        <v>101</v>
      </c>
      <c r="I10" s="432"/>
      <c r="J10" s="136">
        <f>ROUND(100/'数据-取费表'!G16,0)</f>
        <v>101</v>
      </c>
      <c r="K10" s="671"/>
      <c r="L10" s="1133"/>
      <c r="M10" s="1134"/>
      <c r="N10" s="1134"/>
      <c r="O10" s="1135"/>
      <c r="P10" s="3214"/>
      <c r="Q10" s="1793" t="str">
        <f t="shared" si="6"/>
        <v>土地使用年限（年）</v>
      </c>
      <c r="R10" s="769" t="s">
        <v>17</v>
      </c>
      <c r="S10" s="770">
        <f t="shared" si="0"/>
        <v>101</v>
      </c>
      <c r="T10" s="769" t="s">
        <v>17</v>
      </c>
      <c r="U10" s="770">
        <f t="shared" si="1"/>
        <v>101</v>
      </c>
      <c r="V10" s="769" t="s">
        <v>17</v>
      </c>
      <c r="W10" s="770">
        <f t="shared" si="2"/>
        <v>101</v>
      </c>
      <c r="X10" s="771"/>
      <c r="Y10" s="3076"/>
      <c r="Z10" s="55" t="str">
        <f t="shared" si="7"/>
        <v>土地使用年限（年）</v>
      </c>
      <c r="AA10" s="772">
        <f t="shared" si="3"/>
        <v>0.99009900990099009</v>
      </c>
      <c r="AB10" s="772">
        <f t="shared" si="4"/>
        <v>0.99009900990099009</v>
      </c>
      <c r="AC10" s="772">
        <f t="shared" si="5"/>
        <v>0.99009900990099009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6"/>
      <c r="M11" s="1129"/>
      <c r="N11" s="1129"/>
      <c r="O11" s="1137"/>
      <c r="P11" s="3214"/>
      <c r="Q11" s="1793" t="str">
        <f t="shared" si="6"/>
        <v>容积率</v>
      </c>
      <c r="R11" s="769" t="s">
        <v>17</v>
      </c>
      <c r="S11" s="770" t="e">
        <f t="shared" si="0"/>
        <v>#N/A</v>
      </c>
      <c r="T11" s="769" t="s">
        <v>17</v>
      </c>
      <c r="U11" s="770" t="e">
        <f t="shared" si="1"/>
        <v>#N/A</v>
      </c>
      <c r="V11" s="769" t="s">
        <v>17</v>
      </c>
      <c r="W11" s="770" t="e">
        <f t="shared" si="2"/>
        <v>#N/A</v>
      </c>
      <c r="X11" s="771"/>
      <c r="Y11" s="3076"/>
      <c r="Z11" s="55" t="str">
        <f t="shared" si="7"/>
        <v>容积率</v>
      </c>
      <c r="AA11" s="772" t="e">
        <f t="shared" si="3"/>
        <v>#N/A</v>
      </c>
      <c r="AB11" s="772" t="e">
        <f t="shared" si="4"/>
        <v>#N/A</v>
      </c>
      <c r="AC11" s="772" t="e">
        <f t="shared" si="5"/>
        <v>#N/A</v>
      </c>
    </row>
    <row r="12" spans="1:29" s="117" customFormat="1" ht="15">
      <c r="A12" s="431"/>
      <c r="B12" s="2592">
        <v>111</v>
      </c>
      <c r="C12" s="432"/>
      <c r="D12" s="433">
        <v>100</v>
      </c>
      <c r="E12" s="549"/>
      <c r="F12" s="136">
        <f>SUMIF(77:77,E12,78:78)-SUMIF(77:77,C12,78:78)+100</f>
        <v>100</v>
      </c>
      <c r="G12" s="673"/>
      <c r="H12" s="136">
        <f>SUMIF(77:77,G12,78:78)-SUMIF(77:77,C12,78:78)+100</f>
        <v>100</v>
      </c>
      <c r="I12" s="549"/>
      <c r="J12" s="136">
        <f>SUMIF(77:77,I12,78:78)-SUMIF(77:77,C12,78:78)+100</f>
        <v>100</v>
      </c>
      <c r="K12" s="671"/>
      <c r="L12" s="1130"/>
      <c r="M12" s="1131"/>
      <c r="N12" s="1131"/>
      <c r="O12" s="1132"/>
      <c r="P12" s="3214"/>
      <c r="Q12" s="1793">
        <f t="shared" si="6"/>
        <v>111</v>
      </c>
      <c r="R12" s="769" t="s">
        <v>17</v>
      </c>
      <c r="S12" s="770">
        <f t="shared" si="0"/>
        <v>100</v>
      </c>
      <c r="T12" s="769" t="s">
        <v>17</v>
      </c>
      <c r="U12" s="770">
        <f t="shared" si="1"/>
        <v>100</v>
      </c>
      <c r="V12" s="769" t="s">
        <v>17</v>
      </c>
      <c r="W12" s="770">
        <f t="shared" si="2"/>
        <v>100</v>
      </c>
      <c r="X12" s="771"/>
      <c r="Y12" s="3076"/>
      <c r="Z12" s="55">
        <f t="shared" si="7"/>
        <v>111</v>
      </c>
      <c r="AA12" s="772">
        <f>D12/F12</f>
        <v>1</v>
      </c>
      <c r="AB12" s="772">
        <f>D12/H12</f>
        <v>1</v>
      </c>
      <c r="AC12" s="772">
        <f>D12/J12</f>
        <v>1</v>
      </c>
    </row>
    <row r="13" spans="1:29" ht="15">
      <c r="A13" s="428"/>
      <c r="B13" s="2592">
        <v>111</v>
      </c>
      <c r="C13" s="434"/>
      <c r="D13" s="435">
        <v>100</v>
      </c>
      <c r="E13" s="549"/>
      <c r="F13" s="136">
        <f>SUMIF(79:79,E13,80:80)-SUMIF(79:79,C13,80:80)+100</f>
        <v>100</v>
      </c>
      <c r="G13" s="673"/>
      <c r="H13" s="435">
        <f>SUMIF(79:79,G13,80:80)-SUMIF(79:79,C13,80:80)+100</f>
        <v>100</v>
      </c>
      <c r="I13" s="549"/>
      <c r="J13" s="435">
        <f>SUMIF(79:79,I13,80:80)-SUMIF(79:79,C13,80:80)+100</f>
        <v>100</v>
      </c>
      <c r="K13" s="671"/>
      <c r="L13" s="1138"/>
      <c r="M13" s="1129"/>
      <c r="N13" s="1129"/>
      <c r="O13" s="1137"/>
      <c r="P13" s="3214"/>
      <c r="Q13" s="1793">
        <f t="shared" si="6"/>
        <v>111</v>
      </c>
      <c r="R13" s="769" t="s">
        <v>17</v>
      </c>
      <c r="S13" s="770">
        <f t="shared" si="0"/>
        <v>100</v>
      </c>
      <c r="T13" s="769" t="s">
        <v>17</v>
      </c>
      <c r="U13" s="770">
        <f t="shared" si="1"/>
        <v>100</v>
      </c>
      <c r="V13" s="769" t="s">
        <v>17</v>
      </c>
      <c r="W13" s="770">
        <f t="shared" si="2"/>
        <v>100</v>
      </c>
      <c r="X13" s="771"/>
      <c r="Y13" s="3076"/>
      <c r="Z13" s="55">
        <f t="shared" si="7"/>
        <v>111</v>
      </c>
      <c r="AA13" s="772">
        <f t="shared" si="3"/>
        <v>1</v>
      </c>
      <c r="AB13" s="772">
        <f t="shared" si="4"/>
        <v>1</v>
      </c>
      <c r="AC13" s="772">
        <f t="shared" si="5"/>
        <v>1</v>
      </c>
    </row>
    <row r="14" spans="1:29" ht="15.75" thickBot="1">
      <c r="A14" s="436"/>
      <c r="B14" s="2594">
        <v>111</v>
      </c>
      <c r="C14" s="437"/>
      <c r="D14" s="438">
        <v>100</v>
      </c>
      <c r="E14" s="549"/>
      <c r="F14" s="438">
        <f>SUMIF(81:81,E14,82:82)-SUMIF(81:81,C14,82:82)+100</f>
        <v>100</v>
      </c>
      <c r="G14" s="673"/>
      <c r="H14" s="438">
        <f>SUMIF(81:81,G14,82:82)-SUMIF(81:81,C14,82:82)+100</f>
        <v>100</v>
      </c>
      <c r="I14" s="549"/>
      <c r="J14" s="438">
        <f>SUMIF(81:81,I14,82:82)-SUMIF(81:81,C14,82:82)+100</f>
        <v>100</v>
      </c>
      <c r="K14" s="671"/>
      <c r="L14" s="1138"/>
      <c r="M14" s="1129"/>
      <c r="N14" s="1129"/>
      <c r="O14" s="1137"/>
      <c r="P14" s="3214"/>
      <c r="Q14" s="1793">
        <f t="shared" si="6"/>
        <v>111</v>
      </c>
      <c r="R14" s="769" t="s">
        <v>17</v>
      </c>
      <c r="S14" s="770">
        <f t="shared" si="0"/>
        <v>100</v>
      </c>
      <c r="T14" s="769" t="s">
        <v>17</v>
      </c>
      <c r="U14" s="770">
        <f t="shared" si="1"/>
        <v>100</v>
      </c>
      <c r="V14" s="769" t="s">
        <v>17</v>
      </c>
      <c r="W14" s="770">
        <f t="shared" si="2"/>
        <v>100</v>
      </c>
      <c r="X14" s="771"/>
      <c r="Y14" s="3076"/>
      <c r="Z14" s="55">
        <f t="shared" si="7"/>
        <v>111</v>
      </c>
      <c r="AA14" s="772">
        <f t="shared" si="3"/>
        <v>1</v>
      </c>
      <c r="AB14" s="772">
        <f t="shared" si="4"/>
        <v>1</v>
      </c>
      <c r="AC14" s="772">
        <f t="shared" si="5"/>
        <v>1</v>
      </c>
    </row>
    <row r="15" spans="1:29" ht="15">
      <c r="A15" s="440" t="s">
        <v>2545</v>
      </c>
      <c r="B15" s="628" t="s">
        <v>2784</v>
      </c>
      <c r="C15" s="2683">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8"/>
      <c r="M15" s="1129"/>
      <c r="N15" s="1129"/>
      <c r="O15" s="1137"/>
      <c r="P15" s="3229" t="s">
        <v>2546</v>
      </c>
      <c r="Q15" s="1808" t="str">
        <f t="shared" si="6"/>
        <v>产业集聚程度</v>
      </c>
      <c r="R15" s="773" t="s">
        <v>17</v>
      </c>
      <c r="S15" s="774">
        <f t="shared" si="0"/>
        <v>100</v>
      </c>
      <c r="T15" s="773" t="s">
        <v>17</v>
      </c>
      <c r="U15" s="774">
        <f t="shared" si="1"/>
        <v>100</v>
      </c>
      <c r="V15" s="773" t="s">
        <v>17</v>
      </c>
      <c r="W15" s="774">
        <f t="shared" si="2"/>
        <v>100</v>
      </c>
      <c r="X15" s="1811"/>
      <c r="Y15" s="3229" t="s">
        <v>2546</v>
      </c>
      <c r="Z15" s="1812" t="str">
        <f t="shared" si="7"/>
        <v>产业集聚程度</v>
      </c>
      <c r="AA15" s="1809">
        <f t="shared" si="3"/>
        <v>1</v>
      </c>
      <c r="AB15" s="1809">
        <f t="shared" si="4"/>
        <v>1</v>
      </c>
      <c r="AC15" s="1809">
        <f t="shared" si="5"/>
        <v>1</v>
      </c>
    </row>
    <row r="16" spans="1:29" ht="15">
      <c r="A16" s="428"/>
      <c r="B16" s="629"/>
      <c r="C16" s="447"/>
      <c r="D16" s="448"/>
      <c r="E16" s="2603"/>
      <c r="F16" s="448"/>
      <c r="G16" s="2603"/>
      <c r="H16" s="450"/>
      <c r="I16" s="2603"/>
      <c r="J16" s="448"/>
      <c r="K16" s="671"/>
      <c r="L16" s="1138"/>
      <c r="M16" s="1129"/>
      <c r="N16" s="1129"/>
      <c r="O16" s="1137"/>
      <c r="P16" s="3230"/>
      <c r="Q16" s="1808"/>
      <c r="R16" s="773"/>
      <c r="S16" s="774"/>
      <c r="T16" s="773"/>
      <c r="U16" s="774"/>
      <c r="V16" s="773"/>
      <c r="W16" s="774"/>
      <c r="X16" s="1811"/>
      <c r="Y16" s="3230"/>
      <c r="Z16" s="1812"/>
      <c r="AA16" s="1809">
        <v>1</v>
      </c>
      <c r="AB16" s="1809">
        <v>1</v>
      </c>
      <c r="AC16" s="1809">
        <v>1</v>
      </c>
    </row>
    <row r="17" spans="1:29" ht="15">
      <c r="A17" s="428"/>
      <c r="B17" s="630" t="s">
        <v>2695</v>
      </c>
      <c r="C17" s="2599">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8"/>
      <c r="M17" s="1129"/>
      <c r="N17" s="1129"/>
      <c r="O17" s="1137"/>
      <c r="P17" s="323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631"/>
      <c r="C18" s="447"/>
      <c r="D18" s="448"/>
      <c r="E18" s="2597"/>
      <c r="F18" s="448"/>
      <c r="G18" s="2597"/>
      <c r="H18" s="448"/>
      <c r="I18" s="2596"/>
      <c r="J18" s="448"/>
      <c r="K18" s="671"/>
      <c r="L18" s="1138"/>
      <c r="M18" s="1129"/>
      <c r="N18" s="1129"/>
      <c r="O18" s="1137"/>
      <c r="P18" s="3230"/>
      <c r="Q18" s="1808"/>
      <c r="R18" s="773"/>
      <c r="S18" s="774"/>
      <c r="T18" s="773"/>
      <c r="U18" s="774"/>
      <c r="V18" s="773"/>
      <c r="W18" s="774"/>
      <c r="X18" s="1811"/>
      <c r="Y18" s="3230"/>
      <c r="Z18" s="1812"/>
      <c r="AA18" s="1809">
        <v>1</v>
      </c>
      <c r="AB18" s="1809">
        <v>1</v>
      </c>
      <c r="AC18" s="1809">
        <v>1</v>
      </c>
    </row>
    <row r="19" spans="1:29" ht="15">
      <c r="A19" s="428"/>
      <c r="B19" s="630" t="s">
        <v>2734</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8"/>
      <c r="M19" s="1129"/>
      <c r="N19" s="1129"/>
      <c r="O19" s="1137"/>
      <c r="P19" s="3230"/>
      <c r="Q19" s="1808" t="str">
        <f t="shared" ref="Q19:Q33" si="8">B19</f>
        <v>区域土地利用方向</v>
      </c>
      <c r="R19" s="773" t="s">
        <v>17</v>
      </c>
      <c r="S19" s="774">
        <f>F19</f>
        <v>100</v>
      </c>
      <c r="T19" s="773" t="s">
        <v>17</v>
      </c>
      <c r="U19" s="774">
        <f>H19</f>
        <v>100</v>
      </c>
      <c r="V19" s="773" t="s">
        <v>17</v>
      </c>
      <c r="W19" s="774">
        <f>J19</f>
        <v>100</v>
      </c>
      <c r="X19" s="1811"/>
      <c r="Y19" s="3230"/>
      <c r="Z19" s="1812" t="str">
        <f>Q19</f>
        <v>区域土地利用方向</v>
      </c>
      <c r="AA19" s="1809">
        <f t="shared" si="3"/>
        <v>1</v>
      </c>
      <c r="AB19" s="1809">
        <f t="shared" si="4"/>
        <v>1</v>
      </c>
      <c r="AC19" s="1809">
        <f t="shared" si="5"/>
        <v>1</v>
      </c>
    </row>
    <row r="20" spans="1:29" ht="15">
      <c r="A20" s="404"/>
      <c r="B20" s="631"/>
      <c r="C20" s="447"/>
      <c r="D20" s="448"/>
      <c r="E20" s="2597"/>
      <c r="F20" s="448"/>
      <c r="G20" s="2597"/>
      <c r="H20" s="448"/>
      <c r="I20" s="2597"/>
      <c r="J20" s="448"/>
      <c r="K20" s="807"/>
      <c r="L20" s="1138"/>
      <c r="M20" s="1129"/>
      <c r="N20" s="1129"/>
      <c r="O20" s="1137"/>
      <c r="P20" s="3230"/>
      <c r="Q20" s="1808"/>
      <c r="R20" s="773"/>
      <c r="S20" s="774"/>
      <c r="T20" s="773"/>
      <c r="U20" s="774"/>
      <c r="V20" s="773"/>
      <c r="W20" s="774"/>
      <c r="X20" s="1811"/>
      <c r="Y20" s="3230"/>
      <c r="Z20" s="1812"/>
      <c r="AA20" s="1809"/>
      <c r="AB20" s="1809"/>
      <c r="AC20" s="1809"/>
    </row>
    <row r="21" spans="1:29" ht="15">
      <c r="A21" s="404"/>
      <c r="B21" s="630" t="s">
        <v>2785</v>
      </c>
      <c r="C21" s="2599">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8"/>
      <c r="M21" s="1129"/>
      <c r="N21" s="1129"/>
      <c r="O21" s="1137"/>
      <c r="P21" s="3230"/>
      <c r="Q21" s="1808" t="str">
        <f t="shared" si="8"/>
        <v>环境状况</v>
      </c>
      <c r="R21" s="773" t="s">
        <v>17</v>
      </c>
      <c r="S21" s="774">
        <f>F21</f>
        <v>100</v>
      </c>
      <c r="T21" s="773" t="s">
        <v>17</v>
      </c>
      <c r="U21" s="774">
        <f>H21</f>
        <v>100</v>
      </c>
      <c r="V21" s="773" t="s">
        <v>17</v>
      </c>
      <c r="W21" s="774">
        <f>J21</f>
        <v>100</v>
      </c>
      <c r="X21" s="1811"/>
      <c r="Y21" s="3230"/>
      <c r="Z21" s="1812" t="str">
        <f>Q21</f>
        <v>环境状况</v>
      </c>
      <c r="AA21" s="1809">
        <f t="shared" si="3"/>
        <v>1</v>
      </c>
      <c r="AB21" s="1809">
        <f t="shared" si="4"/>
        <v>1</v>
      </c>
      <c r="AC21" s="1809">
        <f t="shared" si="5"/>
        <v>1</v>
      </c>
    </row>
    <row r="22" spans="1:29" ht="15">
      <c r="A22" s="404"/>
      <c r="B22" s="631"/>
      <c r="C22" s="447"/>
      <c r="D22" s="448"/>
      <c r="E22" s="2603"/>
      <c r="F22" s="448"/>
      <c r="G22" s="2603"/>
      <c r="H22" s="448"/>
      <c r="I22" s="447"/>
      <c r="J22" s="448"/>
      <c r="K22" s="671"/>
      <c r="L22" s="1138"/>
      <c r="M22" s="1129"/>
      <c r="N22" s="1129"/>
      <c r="O22" s="1137"/>
      <c r="P22" s="3230"/>
      <c r="Q22" s="1808"/>
      <c r="R22" s="773"/>
      <c r="S22" s="774"/>
      <c r="T22" s="773"/>
      <c r="U22" s="774"/>
      <c r="V22" s="773"/>
      <c r="W22" s="774"/>
      <c r="X22" s="1811"/>
      <c r="Y22" s="3230"/>
      <c r="Z22" s="1812"/>
      <c r="AA22" s="1809">
        <v>1</v>
      </c>
      <c r="AB22" s="1809">
        <v>1</v>
      </c>
      <c r="AC22" s="1809">
        <v>1</v>
      </c>
    </row>
    <row r="23" spans="1:29" s="117" customFormat="1" ht="15">
      <c r="A23" s="648"/>
      <c r="B23" s="632" t="s">
        <v>2640</v>
      </c>
      <c r="C23" s="2599">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30"/>
      <c r="M23" s="1131"/>
      <c r="N23" s="1131"/>
      <c r="O23" s="1132"/>
      <c r="P23" s="3230"/>
      <c r="Q23" s="1793" t="str">
        <f t="shared" si="8"/>
        <v>公共配套设施</v>
      </c>
      <c r="R23" s="769" t="s">
        <v>17</v>
      </c>
      <c r="S23" s="770">
        <f>F23</f>
        <v>100</v>
      </c>
      <c r="T23" s="769" t="s">
        <v>17</v>
      </c>
      <c r="U23" s="770">
        <f>H23</f>
        <v>100</v>
      </c>
      <c r="V23" s="769" t="s">
        <v>17</v>
      </c>
      <c r="W23" s="770">
        <f>J23</f>
        <v>100</v>
      </c>
      <c r="X23" s="771"/>
      <c r="Y23" s="3230"/>
      <c r="Z23" s="55" t="str">
        <f>Q23</f>
        <v>公共配套设施</v>
      </c>
      <c r="AA23" s="1809">
        <f>D23/F23</f>
        <v>1</v>
      </c>
      <c r="AB23" s="1809">
        <f>D23/H23</f>
        <v>1</v>
      </c>
      <c r="AC23" s="1809">
        <f>D23/J23</f>
        <v>1</v>
      </c>
    </row>
    <row r="24" spans="1:29" s="117" customFormat="1" ht="15">
      <c r="A24" s="648"/>
      <c r="B24" s="631"/>
      <c r="C24" s="2690"/>
      <c r="D24" s="448"/>
      <c r="E24" s="2603"/>
      <c r="F24" s="448"/>
      <c r="G24" s="2603"/>
      <c r="H24" s="448"/>
      <c r="I24" s="447"/>
      <c r="J24" s="448"/>
      <c r="K24" s="671"/>
      <c r="L24" s="1130"/>
      <c r="M24" s="1131"/>
      <c r="N24" s="1131"/>
      <c r="O24" s="1132"/>
      <c r="P24" s="3230"/>
      <c r="Q24" s="1793"/>
      <c r="R24" s="769"/>
      <c r="S24" s="770"/>
      <c r="T24" s="769"/>
      <c r="U24" s="770"/>
      <c r="V24" s="769"/>
      <c r="W24" s="770"/>
      <c r="X24" s="771"/>
      <c r="Y24" s="3230"/>
      <c r="Z24" s="55"/>
      <c r="AA24" s="772">
        <v>1</v>
      </c>
      <c r="AB24" s="772">
        <v>1</v>
      </c>
      <c r="AC24" s="772">
        <v>1</v>
      </c>
    </row>
    <row r="25" spans="1:29" s="117" customFormat="1" ht="15">
      <c r="A25" s="648"/>
      <c r="B25" s="632" t="s">
        <v>2641</v>
      </c>
      <c r="C25" s="2599">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30"/>
      <c r="M25" s="1131"/>
      <c r="N25" s="1131"/>
      <c r="O25" s="1132"/>
      <c r="P25" s="3230"/>
      <c r="Q25" s="1793" t="str">
        <f>B25</f>
        <v>基础设施水平</v>
      </c>
      <c r="R25" s="769" t="s">
        <v>17</v>
      </c>
      <c r="S25" s="770">
        <f>F25</f>
        <v>100</v>
      </c>
      <c r="T25" s="769" t="s">
        <v>17</v>
      </c>
      <c r="U25" s="770">
        <f>H25</f>
        <v>100</v>
      </c>
      <c r="V25" s="769" t="s">
        <v>17</v>
      </c>
      <c r="W25" s="770">
        <f>J25</f>
        <v>100</v>
      </c>
      <c r="X25" s="771"/>
      <c r="Y25" s="3230"/>
      <c r="Z25" s="55" t="str">
        <f>Q25</f>
        <v>基础设施水平</v>
      </c>
      <c r="AA25" s="1809">
        <f>D25/F25</f>
        <v>1</v>
      </c>
      <c r="AB25" s="1809">
        <f>D25/H25</f>
        <v>1</v>
      </c>
      <c r="AC25" s="1809">
        <f>D25/J25</f>
        <v>1</v>
      </c>
    </row>
    <row r="26" spans="1:29" s="117" customFormat="1" ht="15">
      <c r="A26" s="648"/>
      <c r="B26" s="631"/>
      <c r="C26" s="2690"/>
      <c r="D26" s="448"/>
      <c r="E26" s="2691"/>
      <c r="F26" s="448"/>
      <c r="G26" s="2691"/>
      <c r="H26" s="448"/>
      <c r="I26" s="2691"/>
      <c r="J26" s="448"/>
      <c r="K26" s="671"/>
      <c r="L26" s="1130"/>
      <c r="M26" s="1131"/>
      <c r="N26" s="1131"/>
      <c r="O26" s="1132"/>
      <c r="P26" s="3230"/>
      <c r="Q26" s="1793"/>
      <c r="R26" s="769"/>
      <c r="S26" s="770"/>
      <c r="T26" s="769"/>
      <c r="U26" s="770"/>
      <c r="V26" s="769"/>
      <c r="W26" s="770"/>
      <c r="X26" s="771"/>
      <c r="Y26" s="3230"/>
      <c r="Z26" s="55"/>
      <c r="AA26" s="772">
        <v>1</v>
      </c>
      <c r="AB26" s="772">
        <v>1</v>
      </c>
      <c r="AC26" s="772">
        <v>1</v>
      </c>
    </row>
    <row r="27" spans="1:29" ht="15">
      <c r="A27" s="428"/>
      <c r="B27" s="631" t="s">
        <v>2642</v>
      </c>
      <c r="C27" s="616"/>
      <c r="D27" s="435">
        <v>100</v>
      </c>
      <c r="E27" s="633"/>
      <c r="F27" s="435">
        <f>SUMIF(95:95,E27,96:96)-SUMIF(95:95,C27,96:96)+100</f>
        <v>100</v>
      </c>
      <c r="G27" s="633"/>
      <c r="H27" s="435">
        <f>SUMIF(95:95,G27,96:96)-SUMIF(95:95,C27,96:96)+100</f>
        <v>100</v>
      </c>
      <c r="I27" s="633"/>
      <c r="J27" s="435">
        <f>SUMIF(95:95,I27,96:96)-SUMIF(95:95,C27,96:96)+100</f>
        <v>100</v>
      </c>
      <c r="K27" s="672"/>
      <c r="L27" s="1138"/>
      <c r="M27" s="1129"/>
      <c r="N27" s="1129"/>
      <c r="O27" s="1137"/>
      <c r="P27" s="3230"/>
      <c r="Q27" s="1808" t="str">
        <f t="shared" si="8"/>
        <v>临街状况</v>
      </c>
      <c r="R27" s="773" t="s">
        <v>17</v>
      </c>
      <c r="S27" s="774">
        <f t="shared" ref="S27:S40" si="9">F27</f>
        <v>100</v>
      </c>
      <c r="T27" s="773" t="s">
        <v>17</v>
      </c>
      <c r="U27" s="774">
        <f t="shared" ref="U27:U40" si="10">H27</f>
        <v>100</v>
      </c>
      <c r="V27" s="773" t="s">
        <v>17</v>
      </c>
      <c r="W27" s="774">
        <f t="shared" ref="W27:W40" si="11">J27</f>
        <v>100</v>
      </c>
      <c r="X27" s="1811"/>
      <c r="Y27" s="3230"/>
      <c r="Z27" s="1812" t="str">
        <f t="shared" ref="Z27:Z40" si="12">Q27</f>
        <v>临街状况</v>
      </c>
      <c r="AA27" s="1809">
        <f t="shared" si="3"/>
        <v>1</v>
      </c>
      <c r="AB27" s="1809">
        <f t="shared" si="4"/>
        <v>1</v>
      </c>
      <c r="AC27" s="1809">
        <f t="shared" si="5"/>
        <v>1</v>
      </c>
    </row>
    <row r="28" spans="1:29" ht="27">
      <c r="A28" s="428"/>
      <c r="B28" s="632" t="s">
        <v>2677</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8"/>
      <c r="M28" s="1129"/>
      <c r="N28" s="1129"/>
      <c r="O28" s="1137"/>
      <c r="P28" s="3230"/>
      <c r="Q28" s="1808" t="str">
        <f t="shared" si="8"/>
        <v>毗邻道路的类型与等级</v>
      </c>
      <c r="R28" s="773" t="s">
        <v>17</v>
      </c>
      <c r="S28" s="774">
        <f t="shared" si="9"/>
        <v>100</v>
      </c>
      <c r="T28" s="773" t="s">
        <v>17</v>
      </c>
      <c r="U28" s="774">
        <f t="shared" si="10"/>
        <v>100</v>
      </c>
      <c r="V28" s="773" t="s">
        <v>17</v>
      </c>
      <c r="W28" s="774">
        <f t="shared" si="11"/>
        <v>100</v>
      </c>
      <c r="X28" s="1811"/>
      <c r="Y28" s="3230"/>
      <c r="Z28" s="1812" t="str">
        <f t="shared" si="12"/>
        <v>毗邻道路的类型与等级</v>
      </c>
      <c r="AA28" s="1809">
        <f t="shared" si="3"/>
        <v>1</v>
      </c>
      <c r="AB28" s="1809">
        <f t="shared" si="4"/>
        <v>1</v>
      </c>
      <c r="AC28" s="1809">
        <f t="shared" si="5"/>
        <v>1</v>
      </c>
    </row>
    <row r="29" spans="1:29" ht="15">
      <c r="A29" s="428"/>
      <c r="B29" s="631"/>
      <c r="C29" s="447"/>
      <c r="D29" s="448"/>
      <c r="E29" s="2603"/>
      <c r="F29" s="448"/>
      <c r="G29" s="2603"/>
      <c r="H29" s="448"/>
      <c r="I29" s="2603"/>
      <c r="J29" s="448"/>
      <c r="K29" s="613"/>
      <c r="L29" s="1138"/>
      <c r="M29" s="1129"/>
      <c r="N29" s="1129"/>
      <c r="O29" s="1137"/>
      <c r="P29" s="3230"/>
      <c r="Q29" s="1808"/>
      <c r="R29" s="773"/>
      <c r="S29" s="774"/>
      <c r="T29" s="773"/>
      <c r="U29" s="774"/>
      <c r="V29" s="773"/>
      <c r="W29" s="774"/>
      <c r="X29" s="1811"/>
      <c r="Y29" s="3230"/>
      <c r="Z29" s="1812"/>
      <c r="AA29" s="1809">
        <v>1</v>
      </c>
      <c r="AB29" s="1809">
        <v>1</v>
      </c>
      <c r="AC29" s="1809">
        <v>1</v>
      </c>
    </row>
    <row r="30" spans="1:29" ht="15">
      <c r="A30" s="428"/>
      <c r="B30" s="653" t="s">
        <v>2736</v>
      </c>
      <c r="C30" s="1387">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8"/>
      <c r="M30" s="1129"/>
      <c r="N30" s="1129"/>
      <c r="O30" s="1137"/>
      <c r="P30" s="3230"/>
      <c r="Q30" s="1808" t="str">
        <f t="shared" si="8"/>
        <v>土地级别</v>
      </c>
      <c r="R30" s="773" t="s">
        <v>17</v>
      </c>
      <c r="S30" s="774">
        <f t="shared" si="9"/>
        <v>100</v>
      </c>
      <c r="T30" s="773" t="s">
        <v>17</v>
      </c>
      <c r="U30" s="774">
        <f t="shared" si="10"/>
        <v>100</v>
      </c>
      <c r="V30" s="773" t="s">
        <v>17</v>
      </c>
      <c r="W30" s="774">
        <f t="shared" si="11"/>
        <v>100</v>
      </c>
      <c r="X30" s="1811"/>
      <c r="Y30" s="3230"/>
      <c r="Z30" s="1812" t="str">
        <f t="shared" si="12"/>
        <v>土地级别</v>
      </c>
      <c r="AA30" s="1809">
        <f t="shared" si="3"/>
        <v>1</v>
      </c>
      <c r="AB30" s="1809">
        <f t="shared" si="4"/>
        <v>1</v>
      </c>
      <c r="AC30" s="1809">
        <f t="shared" si="5"/>
        <v>1</v>
      </c>
    </row>
    <row r="31" spans="1:29" ht="15">
      <c r="A31" s="404"/>
      <c r="B31" s="266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30"/>
      <c r="Q31" s="1808">
        <f t="shared" si="8"/>
        <v>111</v>
      </c>
      <c r="R31" s="773" t="s">
        <v>17</v>
      </c>
      <c r="S31" s="774">
        <f t="shared" si="9"/>
        <v>100</v>
      </c>
      <c r="T31" s="773" t="s">
        <v>17</v>
      </c>
      <c r="U31" s="774">
        <f t="shared" si="10"/>
        <v>100</v>
      </c>
      <c r="V31" s="773" t="s">
        <v>17</v>
      </c>
      <c r="W31" s="774">
        <f t="shared" si="11"/>
        <v>100</v>
      </c>
      <c r="X31" s="1811"/>
      <c r="Y31" s="3230"/>
      <c r="Z31" s="1812">
        <f t="shared" si="12"/>
        <v>111</v>
      </c>
      <c r="AA31" s="1809">
        <f t="shared" si="3"/>
        <v>1</v>
      </c>
      <c r="AB31" s="1809">
        <f t="shared" si="4"/>
        <v>1</v>
      </c>
      <c r="AC31" s="1809">
        <f t="shared" si="5"/>
        <v>1</v>
      </c>
    </row>
    <row r="32" spans="1:29" ht="15">
      <c r="A32" s="674"/>
      <c r="B32" s="270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8"/>
      <c r="M32" s="1129"/>
      <c r="N32" s="1129"/>
      <c r="O32" s="1137"/>
      <c r="P32" s="3231" t="s">
        <v>2551</v>
      </c>
      <c r="Q32" s="1808">
        <f t="shared" si="8"/>
        <v>111</v>
      </c>
      <c r="R32" s="773" t="s">
        <v>17</v>
      </c>
      <c r="S32" s="774">
        <f t="shared" si="9"/>
        <v>100</v>
      </c>
      <c r="T32" s="773" t="s">
        <v>17</v>
      </c>
      <c r="U32" s="774">
        <f t="shared" si="10"/>
        <v>100</v>
      </c>
      <c r="V32" s="773" t="s">
        <v>17</v>
      </c>
      <c r="W32" s="774">
        <f t="shared" si="11"/>
        <v>100</v>
      </c>
      <c r="X32" s="1811"/>
      <c r="Y32" s="3232" t="s">
        <v>2551</v>
      </c>
      <c r="Z32" s="1812">
        <f t="shared" si="12"/>
        <v>111</v>
      </c>
      <c r="AA32" s="1809">
        <f t="shared" si="3"/>
        <v>1</v>
      </c>
      <c r="AB32" s="1809">
        <f t="shared" si="4"/>
        <v>1</v>
      </c>
      <c r="AC32" s="1809">
        <f t="shared" si="5"/>
        <v>1</v>
      </c>
    </row>
    <row r="33" spans="1:29" s="471" customFormat="1" ht="15.75" thickBot="1">
      <c r="A33" s="675"/>
      <c r="B33" s="270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6"/>
      <c r="M33" s="1139"/>
      <c r="N33" s="1139"/>
      <c r="O33" s="1140"/>
      <c r="P33" s="3232"/>
      <c r="Q33" s="1808">
        <f t="shared" si="8"/>
        <v>111</v>
      </c>
      <c r="R33" s="776" t="s">
        <v>17</v>
      </c>
      <c r="S33" s="777">
        <f t="shared" si="9"/>
        <v>100</v>
      </c>
      <c r="T33" s="776" t="s">
        <v>17</v>
      </c>
      <c r="U33" s="777">
        <f t="shared" si="10"/>
        <v>100</v>
      </c>
      <c r="V33" s="776" t="s">
        <v>17</v>
      </c>
      <c r="W33" s="777">
        <f t="shared" si="11"/>
        <v>100</v>
      </c>
      <c r="X33" s="778"/>
      <c r="Y33" s="3232"/>
      <c r="Z33" s="779">
        <f t="shared" si="12"/>
        <v>111</v>
      </c>
      <c r="AA33" s="1809">
        <f t="shared" si="3"/>
        <v>1</v>
      </c>
      <c r="AB33" s="1809">
        <f t="shared" si="4"/>
        <v>1</v>
      </c>
      <c r="AC33" s="1809">
        <f t="shared" si="5"/>
        <v>1</v>
      </c>
    </row>
    <row r="34" spans="1:29" ht="15">
      <c r="A34" s="440" t="s">
        <v>2549</v>
      </c>
      <c r="B34" s="456" t="s">
        <v>2737</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8"/>
      <c r="M34" s="1129"/>
      <c r="N34" s="1129"/>
      <c r="O34" s="1137"/>
      <c r="P34" s="3232"/>
      <c r="Q34" s="1808" t="str">
        <f>B34</f>
        <v>宗地面积</v>
      </c>
      <c r="R34" s="773" t="s">
        <v>17</v>
      </c>
      <c r="S34" s="774" t="e">
        <f t="shared" si="9"/>
        <v>#N/A</v>
      </c>
      <c r="T34" s="773" t="s">
        <v>17</v>
      </c>
      <c r="U34" s="774" t="e">
        <f t="shared" si="10"/>
        <v>#N/A</v>
      </c>
      <c r="V34" s="773" t="s">
        <v>17</v>
      </c>
      <c r="W34" s="774" t="e">
        <f t="shared" si="11"/>
        <v>#N/A</v>
      </c>
      <c r="X34" s="1811"/>
      <c r="Y34" s="3232"/>
      <c r="Z34" s="1812" t="str">
        <f t="shared" si="12"/>
        <v>宗地面积</v>
      </c>
      <c r="AA34" s="1809" t="e">
        <f t="shared" si="3"/>
        <v>#N/A</v>
      </c>
      <c r="AB34" s="1809" t="e">
        <f t="shared" si="4"/>
        <v>#N/A</v>
      </c>
      <c r="AC34" s="1809" t="e">
        <f t="shared" si="5"/>
        <v>#N/A</v>
      </c>
    </row>
    <row r="35" spans="1:29" ht="15">
      <c r="A35" s="472"/>
      <c r="B35" s="422" t="s">
        <v>2738</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8"/>
      <c r="M35" s="1129"/>
      <c r="N35" s="1129"/>
      <c r="O35" s="1137"/>
      <c r="P35" s="3232"/>
      <c r="Q35" s="1808" t="str">
        <f t="shared" ref="Q35:Q40" si="13">B35</f>
        <v>宗地形状</v>
      </c>
      <c r="R35" s="773" t="s">
        <v>17</v>
      </c>
      <c r="S35" s="774">
        <f t="shared" si="9"/>
        <v>100</v>
      </c>
      <c r="T35" s="773" t="s">
        <v>17</v>
      </c>
      <c r="U35" s="774">
        <f t="shared" si="10"/>
        <v>100</v>
      </c>
      <c r="V35" s="773" t="s">
        <v>17</v>
      </c>
      <c r="W35" s="774">
        <f t="shared" si="11"/>
        <v>100</v>
      </c>
      <c r="X35" s="1811"/>
      <c r="Y35" s="3232"/>
      <c r="Z35" s="1812" t="str">
        <f t="shared" si="12"/>
        <v>宗地形状</v>
      </c>
      <c r="AA35" s="1809">
        <f t="shared" si="3"/>
        <v>1</v>
      </c>
      <c r="AB35" s="1809">
        <f t="shared" si="4"/>
        <v>1</v>
      </c>
      <c r="AC35" s="1809">
        <f t="shared" si="5"/>
        <v>1</v>
      </c>
    </row>
    <row r="36" spans="1:29" s="117" customFormat="1" ht="15">
      <c r="A36" s="473"/>
      <c r="B36" s="422" t="s">
        <v>2740</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0"/>
      <c r="M36" s="1131"/>
      <c r="N36" s="1131"/>
      <c r="O36" s="1132"/>
      <c r="P36" s="3232"/>
      <c r="Q36" s="1808" t="str">
        <f t="shared" si="13"/>
        <v>宗地开发程度</v>
      </c>
      <c r="R36" s="769" t="s">
        <v>17</v>
      </c>
      <c r="S36" s="770">
        <f t="shared" si="9"/>
        <v>100</v>
      </c>
      <c r="T36" s="769" t="s">
        <v>17</v>
      </c>
      <c r="U36" s="770">
        <f t="shared" si="10"/>
        <v>100</v>
      </c>
      <c r="V36" s="769" t="s">
        <v>17</v>
      </c>
      <c r="W36" s="770">
        <f t="shared" si="11"/>
        <v>100</v>
      </c>
      <c r="X36" s="771"/>
      <c r="Y36" s="3232"/>
      <c r="Z36" s="55" t="str">
        <f t="shared" si="12"/>
        <v>宗地开发程度</v>
      </c>
      <c r="AA36" s="772">
        <f t="shared" si="3"/>
        <v>1</v>
      </c>
      <c r="AB36" s="772">
        <f t="shared" si="4"/>
        <v>1</v>
      </c>
      <c r="AC36" s="772">
        <f t="shared" si="5"/>
        <v>1</v>
      </c>
    </row>
    <row r="37" spans="1:29" ht="15">
      <c r="A37" s="472"/>
      <c r="B37" s="422" t="s">
        <v>2741</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8"/>
      <c r="M37" s="1129"/>
      <c r="N37" s="1129"/>
      <c r="O37" s="1137"/>
      <c r="P37" s="3232" t="s">
        <v>2551</v>
      </c>
      <c r="Q37" s="1808" t="str">
        <f t="shared" si="13"/>
        <v>工程地质条件</v>
      </c>
      <c r="R37" s="773" t="s">
        <v>17</v>
      </c>
      <c r="S37" s="774">
        <f t="shared" si="9"/>
        <v>100</v>
      </c>
      <c r="T37" s="773" t="s">
        <v>17</v>
      </c>
      <c r="U37" s="774">
        <f t="shared" si="10"/>
        <v>100</v>
      </c>
      <c r="V37" s="773" t="s">
        <v>17</v>
      </c>
      <c r="W37" s="774">
        <f t="shared" si="11"/>
        <v>100</v>
      </c>
      <c r="X37" s="1811"/>
      <c r="Y37" s="3232" t="s">
        <v>2551</v>
      </c>
      <c r="Z37" s="1812" t="str">
        <f t="shared" si="12"/>
        <v>工程地质条件</v>
      </c>
      <c r="AA37" s="1809">
        <f t="shared" si="3"/>
        <v>1</v>
      </c>
      <c r="AB37" s="1809">
        <f t="shared" si="4"/>
        <v>1</v>
      </c>
      <c r="AC37" s="1809">
        <f t="shared" si="5"/>
        <v>1</v>
      </c>
    </row>
    <row r="38" spans="1:29" ht="15">
      <c r="A38" s="472"/>
      <c r="B38" s="1385">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8"/>
      <c r="M38" s="1129"/>
      <c r="N38" s="1129"/>
      <c r="O38" s="1137"/>
      <c r="P38" s="3232"/>
      <c r="Q38" s="1808">
        <f t="shared" si="13"/>
        <v>111</v>
      </c>
      <c r="R38" s="773" t="s">
        <v>17</v>
      </c>
      <c r="S38" s="774">
        <f t="shared" si="9"/>
        <v>100</v>
      </c>
      <c r="T38" s="773" t="s">
        <v>17</v>
      </c>
      <c r="U38" s="774">
        <f t="shared" si="10"/>
        <v>100</v>
      </c>
      <c r="V38" s="773" t="s">
        <v>17</v>
      </c>
      <c r="W38" s="774">
        <f t="shared" si="11"/>
        <v>100</v>
      </c>
      <c r="X38" s="1811"/>
      <c r="Y38" s="3232"/>
      <c r="Z38" s="1812">
        <f t="shared" si="12"/>
        <v>111</v>
      </c>
      <c r="AA38" s="1809">
        <f t="shared" si="3"/>
        <v>1</v>
      </c>
      <c r="AB38" s="1809">
        <f t="shared" si="4"/>
        <v>1</v>
      </c>
      <c r="AC38" s="1809">
        <f t="shared" si="5"/>
        <v>1</v>
      </c>
    </row>
    <row r="39" spans="1:29" ht="15">
      <c r="A39" s="472"/>
      <c r="B39" s="1385">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8"/>
      <c r="M39" s="1129"/>
      <c r="N39" s="1129"/>
      <c r="O39" s="1137"/>
      <c r="P39" s="3232"/>
      <c r="Q39" s="1808">
        <f t="shared" si="13"/>
        <v>111</v>
      </c>
      <c r="R39" s="773" t="s">
        <v>17</v>
      </c>
      <c r="S39" s="774">
        <f t="shared" si="9"/>
        <v>100</v>
      </c>
      <c r="T39" s="773" t="s">
        <v>17</v>
      </c>
      <c r="U39" s="774">
        <f t="shared" si="10"/>
        <v>100</v>
      </c>
      <c r="V39" s="773" t="s">
        <v>17</v>
      </c>
      <c r="W39" s="774">
        <f t="shared" si="11"/>
        <v>100</v>
      </c>
      <c r="X39" s="1811"/>
      <c r="Y39" s="3232"/>
      <c r="Z39" s="1812">
        <f t="shared" si="12"/>
        <v>111</v>
      </c>
      <c r="AA39" s="1809">
        <f t="shared" si="3"/>
        <v>1</v>
      </c>
      <c r="AB39" s="1809">
        <f t="shared" si="4"/>
        <v>1</v>
      </c>
      <c r="AC39" s="1809">
        <f t="shared" si="5"/>
        <v>1</v>
      </c>
    </row>
    <row r="40" spans="1:29" s="471" customFormat="1" ht="15.75" thickBot="1">
      <c r="A40" s="468"/>
      <c r="B40" s="1385">
        <v>111</v>
      </c>
      <c r="C40" s="2693"/>
      <c r="D40" s="137">
        <v>100</v>
      </c>
      <c r="E40" s="673"/>
      <c r="F40" s="438">
        <f>SUMIF(120:120,E40,121:121)-SUMIF(120:120,C40,121:121)+100</f>
        <v>100</v>
      </c>
      <c r="G40" s="673"/>
      <c r="H40" s="438">
        <f>SUMIF(120:120,G40,121:121)-SUMIF(120:120,C40,121:121)+100</f>
        <v>100</v>
      </c>
      <c r="I40" s="549"/>
      <c r="J40" s="438">
        <f>SUMIF(120:120,I40,121:121)-SUMIF(120:120,C40,121:121)+100</f>
        <v>100</v>
      </c>
      <c r="K40" s="680"/>
      <c r="L40" s="1136"/>
      <c r="M40" s="1139"/>
      <c r="N40" s="1139"/>
      <c r="O40" s="1140"/>
      <c r="P40" s="3232"/>
      <c r="Q40" s="1808">
        <f t="shared" si="13"/>
        <v>111</v>
      </c>
      <c r="R40" s="776" t="s">
        <v>17</v>
      </c>
      <c r="S40" s="777">
        <f t="shared" si="9"/>
        <v>100</v>
      </c>
      <c r="T40" s="776" t="s">
        <v>17</v>
      </c>
      <c r="U40" s="777">
        <f t="shared" si="10"/>
        <v>100</v>
      </c>
      <c r="V40" s="776" t="s">
        <v>17</v>
      </c>
      <c r="W40" s="777">
        <f t="shared" si="11"/>
        <v>100</v>
      </c>
      <c r="X40" s="778"/>
      <c r="Y40" s="3232"/>
      <c r="Z40" s="779">
        <f t="shared" si="12"/>
        <v>111</v>
      </c>
      <c r="AA40" s="1809">
        <f t="shared" si="3"/>
        <v>1</v>
      </c>
      <c r="AB40" s="1809">
        <f t="shared" si="4"/>
        <v>1</v>
      </c>
      <c r="AC40" s="1809">
        <f t="shared" si="5"/>
        <v>1</v>
      </c>
    </row>
    <row r="41" spans="1:29" ht="15">
      <c r="A41" s="479" t="s">
        <v>2706</v>
      </c>
      <c r="B41" s="2694" t="s">
        <v>2786</v>
      </c>
      <c r="C41" s="681" t="s">
        <v>1</v>
      </c>
      <c r="D41" s="481"/>
      <c r="E41" s="482"/>
      <c r="F41" s="483"/>
      <c r="G41" s="484"/>
      <c r="H41" s="485"/>
      <c r="I41" s="482"/>
      <c r="J41" s="485"/>
      <c r="K41" s="782"/>
      <c r="L41" s="1141"/>
      <c r="M41" s="1129"/>
      <c r="N41" s="1129"/>
      <c r="O41" s="1142"/>
      <c r="P41" s="3214" t="str">
        <f>A41</f>
        <v>成交单价</v>
      </c>
      <c r="Q41" s="3214"/>
      <c r="R41" s="3227">
        <f>E41</f>
        <v>0</v>
      </c>
      <c r="S41" s="3227"/>
      <c r="T41" s="3227">
        <f>G41</f>
        <v>0</v>
      </c>
      <c r="U41" s="3227"/>
      <c r="V41" s="3227">
        <f>I41</f>
        <v>0</v>
      </c>
      <c r="W41" s="3227"/>
      <c r="X41" s="758"/>
      <c r="Y41" s="780"/>
      <c r="Z41" s="758"/>
      <c r="AA41" s="758"/>
      <c r="AB41" s="758"/>
      <c r="AC41" s="758"/>
    </row>
    <row r="42" spans="1:29" ht="15.75" thickBot="1">
      <c r="A42" s="486" t="s">
        <v>2655</v>
      </c>
      <c r="B42" s="682"/>
      <c r="C42" s="490" t="e">
        <f>R43</f>
        <v>#DIV/0!</v>
      </c>
      <c r="D42" s="489"/>
      <c r="E42" s="490" t="e">
        <f>R42</f>
        <v>#DIV/0!</v>
      </c>
      <c r="F42" s="491"/>
      <c r="G42" s="488" t="e">
        <f>T42</f>
        <v>#DIV/0!</v>
      </c>
      <c r="H42" s="489"/>
      <c r="I42" s="490" t="e">
        <f>V42</f>
        <v>#DIV/0!</v>
      </c>
      <c r="J42" s="489"/>
      <c r="K42" s="783"/>
      <c r="L42" s="1141"/>
      <c r="M42" s="1129"/>
      <c r="N42" s="1129"/>
      <c r="O42" s="1142"/>
      <c r="P42" s="3214" t="str">
        <f>A42</f>
        <v>比较价值（元/平方米）</v>
      </c>
      <c r="Q42" s="3214"/>
      <c r="R42" s="3233" t="e">
        <f>ROUND(PRODUCT(R41,AA7:AA40),0)</f>
        <v>#DIV/0!</v>
      </c>
      <c r="S42" s="3233"/>
      <c r="T42" s="3233" t="e">
        <f>ROUND(PRODUCT(T41,AB7:AB40),0)</f>
        <v>#DIV/0!</v>
      </c>
      <c r="U42" s="3233"/>
      <c r="V42" s="3233" t="e">
        <f>ROUND(PRODUCT(V41,AC7:AC40),0)</f>
        <v>#DIV/0!</v>
      </c>
      <c r="W42" s="3233"/>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1"/>
      <c r="M43" s="1129"/>
      <c r="N43" s="1129"/>
      <c r="O43" s="1142"/>
      <c r="P43" s="3234" t="str">
        <f>A43</f>
        <v>估价对象XX用房的比较价值（楼面单价，元/平方米）</v>
      </c>
      <c r="Q43" s="3235"/>
      <c r="R43" s="3236" t="e">
        <f>ROUND(AVERAGE(R42:V42),0)</f>
        <v>#DIV/0!</v>
      </c>
      <c r="S43" s="3236"/>
      <c r="T43" s="3236"/>
      <c r="U43" s="3236"/>
      <c r="V43" s="3236"/>
      <c r="W43" s="3236"/>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1"/>
      <c r="D49" s="759"/>
      <c r="E49" s="759"/>
      <c r="F49" s="759"/>
      <c r="G49" s="759"/>
      <c r="H49" s="759"/>
      <c r="I49" s="759"/>
      <c r="J49" s="759"/>
      <c r="K49" s="1146"/>
      <c r="L49" s="1147"/>
      <c r="M49" s="1143"/>
      <c r="N49" s="1143"/>
      <c r="O49" s="1143"/>
    </row>
    <row r="50" spans="1:17" ht="27">
      <c r="A50" s="683" t="s">
        <v>2744</v>
      </c>
      <c r="B50" s="684" t="s">
        <v>2745</v>
      </c>
      <c r="C50" s="2695" t="s">
        <v>2746</v>
      </c>
      <c r="D50" s="2696" t="s">
        <v>2747</v>
      </c>
      <c r="E50" s="685" t="s">
        <v>2748</v>
      </c>
      <c r="F50" s="686" t="s">
        <v>2749</v>
      </c>
      <c r="G50" s="3215" t="s">
        <v>2750</v>
      </c>
      <c r="H50" s="3237"/>
      <c r="I50" s="1812" t="s">
        <v>2787</v>
      </c>
      <c r="J50" s="1812">
        <f>项目基本情况!F35</f>
        <v>0</v>
      </c>
      <c r="K50" s="2698" t="s">
        <v>2752</v>
      </c>
      <c r="L50" s="1104"/>
      <c r="M50" s="1142"/>
      <c r="N50" s="1142"/>
      <c r="O50" s="1142"/>
    </row>
    <row r="51" spans="1:17" s="691" customFormat="1">
      <c r="A51" s="687" t="s">
        <v>2753</v>
      </c>
      <c r="B51" s="688" t="e">
        <f>C43</f>
        <v>#DIV/0!</v>
      </c>
      <c r="C51" s="689">
        <v>1</v>
      </c>
      <c r="D51" s="1161">
        <v>1</v>
      </c>
      <c r="E51" s="689">
        <f>'数据-汇总表'!E8+'数据-汇总表'!E9</f>
        <v>31749.659999999996</v>
      </c>
      <c r="F51" s="690" t="e">
        <f t="shared" ref="F51:F60" si="14">ROUND(B51*E51/10000,0)</f>
        <v>#DIV/0!</v>
      </c>
      <c r="G51" s="3238"/>
      <c r="H51" s="3214"/>
      <c r="I51" s="940">
        <v>1</v>
      </c>
      <c r="J51" s="940">
        <v>1</v>
      </c>
      <c r="K51" s="1143"/>
      <c r="L51" s="939"/>
      <c r="M51" s="939"/>
      <c r="N51" s="939"/>
      <c r="O51" s="939"/>
    </row>
    <row r="52" spans="1:17" s="691" customFormat="1">
      <c r="A52" s="692" t="s">
        <v>2754</v>
      </c>
      <c r="B52" s="262" t="e">
        <f>ROUND($C$43*C52*D52,0)</f>
        <v>#DIV/0!</v>
      </c>
      <c r="C52" s="200">
        <f t="shared" ref="C52:C60" si="15">IF($C$50="北京市系数",I52,J52)</f>
        <v>0.6</v>
      </c>
      <c r="D52" s="1162">
        <v>0.25</v>
      </c>
      <c r="E52" s="693"/>
      <c r="F52" s="690" t="e">
        <f t="shared" si="14"/>
        <v>#DIV/0!</v>
      </c>
      <c r="G52" s="3239" t="s">
        <v>2755</v>
      </c>
      <c r="H52" s="1102" t="str">
        <f>项目基本情况!B37</f>
        <v>八级</v>
      </c>
      <c r="I52" s="940">
        <f>SUMIF(修正!A45:A56,H52,修正!B45:B56)</f>
        <v>0.6</v>
      </c>
      <c r="J52" s="941"/>
      <c r="K52" s="1142"/>
      <c r="L52" s="939"/>
      <c r="M52" s="939"/>
      <c r="N52" s="939"/>
      <c r="O52" s="939"/>
    </row>
    <row r="53" spans="1:17" s="691" customFormat="1">
      <c r="A53" s="692" t="s">
        <v>2756</v>
      </c>
      <c r="B53" s="262" t="e">
        <f t="shared" ref="B53:B60" si="16">ROUND($C$43*C53*D53,0)</f>
        <v>#DIV/0!</v>
      </c>
      <c r="C53" s="200">
        <f t="shared" si="15"/>
        <v>0.3</v>
      </c>
      <c r="D53" s="1162">
        <v>0.25</v>
      </c>
      <c r="E53" s="693"/>
      <c r="F53" s="690" t="e">
        <f t="shared" si="14"/>
        <v>#DIV/0!</v>
      </c>
      <c r="G53" s="3239"/>
      <c r="H53" s="1102" t="str">
        <f>项目基本情况!B37</f>
        <v>八级</v>
      </c>
      <c r="I53" s="940">
        <f>SUMIF(修正!A45:A56,H53,修正!C45:C56)</f>
        <v>0.3</v>
      </c>
      <c r="J53" s="941"/>
      <c r="K53" s="1143"/>
      <c r="L53" s="939"/>
      <c r="M53" s="939"/>
      <c r="N53" s="939"/>
      <c r="O53" s="939"/>
    </row>
    <row r="54" spans="1:17" s="691" customFormat="1">
      <c r="A54" s="692" t="s">
        <v>2757</v>
      </c>
      <c r="B54" s="262" t="e">
        <f t="shared" si="16"/>
        <v>#DIV/0!</v>
      </c>
      <c r="C54" s="200">
        <f t="shared" si="15"/>
        <v>0.2</v>
      </c>
      <c r="D54" s="1162">
        <v>0.25</v>
      </c>
      <c r="E54" s="693"/>
      <c r="F54" s="690" t="e">
        <f t="shared" si="14"/>
        <v>#DIV/0!</v>
      </c>
      <c r="G54" s="3239"/>
      <c r="H54" s="1102" t="str">
        <f>项目基本情况!B37</f>
        <v>八级</v>
      </c>
      <c r="I54" s="940">
        <f>SUMIF(修正!A45:A56,H54,修正!D45:D56)</f>
        <v>0.2</v>
      </c>
      <c r="J54" s="941"/>
      <c r="K54" s="1142"/>
      <c r="L54" s="939"/>
      <c r="M54" s="939"/>
      <c r="N54" s="939"/>
      <c r="O54" s="939"/>
    </row>
    <row r="55" spans="1:17" s="691" customFormat="1">
      <c r="A55" s="692" t="s">
        <v>2758</v>
      </c>
      <c r="B55" s="262" t="e">
        <f t="shared" si="16"/>
        <v>#DIV/0!</v>
      </c>
      <c r="C55" s="200">
        <f t="shared" si="15"/>
        <v>0.2</v>
      </c>
      <c r="D55" s="1162">
        <v>0.25</v>
      </c>
      <c r="E55" s="693"/>
      <c r="F55" s="690" t="e">
        <f t="shared" si="14"/>
        <v>#DIV/0!</v>
      </c>
      <c r="G55" s="3239"/>
      <c r="H55" s="1102" t="str">
        <f>项目基本情况!B37</f>
        <v>八级</v>
      </c>
      <c r="I55" s="940">
        <f>SUMIF(修正!A45:A56,H55,修正!E45:E56)</f>
        <v>0.2</v>
      </c>
      <c r="J55" s="941"/>
      <c r="K55" s="1143"/>
      <c r="L55" s="939"/>
      <c r="M55" s="939"/>
      <c r="N55" s="939"/>
      <c r="O55" s="939"/>
    </row>
    <row r="56" spans="1:17" s="691" customFormat="1">
      <c r="A56" s="692" t="s">
        <v>2759</v>
      </c>
      <c r="B56" s="262" t="e">
        <f t="shared" si="16"/>
        <v>#DIV/0!</v>
      </c>
      <c r="C56" s="200">
        <f t="shared" si="15"/>
        <v>0.2</v>
      </c>
      <c r="D56" s="1162">
        <v>0.25</v>
      </c>
      <c r="E56" s="261">
        <f>'数据-汇总表'!E11</f>
        <v>0</v>
      </c>
      <c r="F56" s="690" t="e">
        <f t="shared" si="14"/>
        <v>#DIV/0!</v>
      </c>
      <c r="G56" s="2699" t="s">
        <v>2760</v>
      </c>
      <c r="H56" s="1102" t="str">
        <f>项目基本情况!C37</f>
        <v>八级</v>
      </c>
      <c r="I56" s="940">
        <f>SUMIF(修正!A45:A56,H56,修正!F45:F56)</f>
        <v>0.2</v>
      </c>
      <c r="J56" s="941"/>
      <c r="K56" s="1142"/>
      <c r="L56" s="939"/>
      <c r="M56" s="939"/>
      <c r="N56" s="939"/>
      <c r="O56" s="939"/>
    </row>
    <row r="57" spans="1:17" s="691" customFormat="1">
      <c r="A57" s="692" t="s">
        <v>2761</v>
      </c>
      <c r="B57" s="262" t="e">
        <f t="shared" si="16"/>
        <v>#DIV/0!</v>
      </c>
      <c r="C57" s="200">
        <f t="shared" si="15"/>
        <v>0.2</v>
      </c>
      <c r="D57" s="1162">
        <v>0.25</v>
      </c>
      <c r="E57" s="261">
        <f>'数据-汇总表'!E12</f>
        <v>0</v>
      </c>
      <c r="F57" s="690" t="e">
        <f t="shared" si="14"/>
        <v>#DIV/0!</v>
      </c>
      <c r="G57" s="1107" t="s">
        <v>2762</v>
      </c>
      <c r="H57" s="1102" t="str">
        <f>IF(G57="商业",项目基本情况!B37,IF(G57="办公",项目基本情况!C37,IF(G57="住宅",项目基本情况!D37,项目基本情况!E37)))</f>
        <v>八级</v>
      </c>
      <c r="I57" s="940">
        <f>SUMIF(修正!A45:A56,H57,修正!G45:G56)</f>
        <v>0.2</v>
      </c>
      <c r="J57" s="941"/>
      <c r="K57" s="1143"/>
      <c r="L57" s="939"/>
      <c r="M57" s="939"/>
      <c r="N57" s="939"/>
      <c r="O57" s="939"/>
    </row>
    <row r="58" spans="1:17" s="691" customFormat="1">
      <c r="A58" s="692" t="s">
        <v>2763</v>
      </c>
      <c r="B58" s="262" t="e">
        <f t="shared" si="16"/>
        <v>#DIV/0!</v>
      </c>
      <c r="C58" s="200">
        <f t="shared" si="15"/>
        <v>0.15</v>
      </c>
      <c r="D58" s="1162">
        <v>0.25</v>
      </c>
      <c r="E58" s="261">
        <f>'数据-汇总表'!E13</f>
        <v>0</v>
      </c>
      <c r="F58" s="690" t="e">
        <f t="shared" si="14"/>
        <v>#DIV/0!</v>
      </c>
      <c r="G58" s="1107" t="s">
        <v>2764</v>
      </c>
      <c r="H58" s="1102" t="str">
        <f>IF(G58="商业",项目基本情况!B37,IF(G58="办公",项目基本情况!C37,IF(G58="住宅",项目基本情况!D37,项目基本情况!E37)))</f>
        <v>八级</v>
      </c>
      <c r="I58" s="940">
        <f>SUMIF(修正!A45:A56,H58,修正!H45:H56)</f>
        <v>0.15</v>
      </c>
      <c r="J58" s="941"/>
      <c r="K58" s="1142"/>
      <c r="L58" s="939"/>
      <c r="M58" s="939"/>
      <c r="N58" s="939"/>
      <c r="O58" s="939"/>
    </row>
    <row r="59" spans="1:17" s="691" customFormat="1">
      <c r="A59" s="692" t="s">
        <v>2765</v>
      </c>
      <c r="B59" s="262" t="e">
        <f t="shared" si="16"/>
        <v>#DIV/0!</v>
      </c>
      <c r="C59" s="200">
        <f t="shared" si="15"/>
        <v>0.15</v>
      </c>
      <c r="D59" s="1162">
        <v>0.25</v>
      </c>
      <c r="E59" s="261">
        <f>'数据-汇总表'!E14</f>
        <v>0</v>
      </c>
      <c r="F59" s="690" t="e">
        <f t="shared" si="14"/>
        <v>#DIV/0!</v>
      </c>
      <c r="G59" s="2699" t="s">
        <v>2755</v>
      </c>
      <c r="H59" s="1102" t="str">
        <f>项目基本情况!B37</f>
        <v>八级</v>
      </c>
      <c r="I59" s="940">
        <f>SUMIF(修正!A45:A56,H59,修正!H45:H56)</f>
        <v>0.15</v>
      </c>
      <c r="J59" s="941"/>
      <c r="K59" s="1143"/>
      <c r="L59" s="939"/>
      <c r="M59" s="939"/>
      <c r="N59" s="939"/>
      <c r="O59" s="939"/>
    </row>
    <row r="60" spans="1:17" s="691" customFormat="1" ht="15" thickBot="1">
      <c r="A60" s="692" t="s">
        <v>2766</v>
      </c>
      <c r="B60" s="262" t="e">
        <f t="shared" si="16"/>
        <v>#DIV/0!</v>
      </c>
      <c r="C60" s="200">
        <f t="shared" si="15"/>
        <v>0.15</v>
      </c>
      <c r="D60" s="1162">
        <v>0.25</v>
      </c>
      <c r="E60" s="261">
        <f>'数据-汇总表'!E15</f>
        <v>0</v>
      </c>
      <c r="F60" s="690" t="e">
        <f t="shared" si="14"/>
        <v>#DIV/0!</v>
      </c>
      <c r="G60" s="2700" t="s">
        <v>2760</v>
      </c>
      <c r="H60" s="1112" t="str">
        <f>项目基本情况!C37</f>
        <v>八级</v>
      </c>
      <c r="I60" s="940">
        <f>SUMIF(修正!A45:A56,H60,修正!H45:H56)</f>
        <v>0.15</v>
      </c>
      <c r="J60" s="941"/>
      <c r="K60" s="1142"/>
      <c r="L60" s="939"/>
      <c r="M60" s="939"/>
      <c r="N60" s="939"/>
      <c r="O60" s="939"/>
    </row>
    <row r="61" spans="1:17" s="691" customFormat="1" ht="15" thickBot="1">
      <c r="A61" s="694" t="s">
        <v>2767</v>
      </c>
      <c r="B61" s="695" t="s">
        <v>28</v>
      </c>
      <c r="C61" s="695" t="s">
        <v>29</v>
      </c>
      <c r="D61" s="695" t="s">
        <v>1029</v>
      </c>
      <c r="E61" s="695">
        <f>IF(B41="楼面地价",SUM(E51:E60),'数据-汇总表'!D3)</f>
        <v>7892.1</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2018-3-1</v>
      </c>
      <c r="D63" s="760">
        <f>EDATE(C63,-3)</f>
        <v>43070</v>
      </c>
      <c r="E63" s="760">
        <f>EDATE(D63,-3)</f>
        <v>42979</v>
      </c>
      <c r="F63" s="760">
        <f t="shared" ref="F63:O63" si="17">EDATE(E63,-3)</f>
        <v>42887</v>
      </c>
      <c r="G63" s="760">
        <f t="shared" si="17"/>
        <v>42795</v>
      </c>
      <c r="H63" s="760">
        <f t="shared" si="17"/>
        <v>42705</v>
      </c>
      <c r="I63" s="760">
        <f t="shared" si="17"/>
        <v>42614</v>
      </c>
      <c r="J63" s="760">
        <f t="shared" si="17"/>
        <v>42522</v>
      </c>
      <c r="K63" s="760">
        <f t="shared" si="17"/>
        <v>42430</v>
      </c>
      <c r="L63" s="760">
        <f t="shared" si="17"/>
        <v>42339</v>
      </c>
      <c r="M63" s="760">
        <f t="shared" si="17"/>
        <v>42248</v>
      </c>
      <c r="N63" s="760">
        <f t="shared" si="17"/>
        <v>42156</v>
      </c>
      <c r="O63" s="760">
        <f t="shared" si="17"/>
        <v>42064</v>
      </c>
    </row>
    <row r="64" spans="1:17" ht="21.75" thickBot="1">
      <c r="A64" s="762" t="s">
        <v>2660</v>
      </c>
      <c r="B64" s="758"/>
      <c r="C64" s="763"/>
      <c r="D64" s="763"/>
      <c r="E64" s="763"/>
      <c r="F64" s="764"/>
      <c r="G64" s="764"/>
      <c r="H64" s="763"/>
      <c r="I64" s="763"/>
      <c r="J64" s="763"/>
      <c r="K64" s="765"/>
      <c r="L64" s="766"/>
      <c r="M64" s="763"/>
      <c r="N64" s="763"/>
      <c r="O64" s="1157"/>
      <c r="P64" s="503"/>
      <c r="Q64" s="504"/>
    </row>
    <row r="65" spans="1:17" s="508" customFormat="1" ht="15">
      <c r="A65" s="2701" t="s">
        <v>2768</v>
      </c>
      <c r="B65" s="1357"/>
      <c r="C65" s="1570" t="str">
        <f>YEAR(C63)&amp;"-"&amp;ROUNDUP(MONTH(C63)/3,0)</f>
        <v>2018-1</v>
      </c>
      <c r="D65" s="1570" t="str">
        <f t="shared" ref="D65:O65" si="18">YEAR(D63)&amp;"-"&amp;ROUNDUP(MONTH(D63)/3,0)</f>
        <v>2017-4</v>
      </c>
      <c r="E65" s="1570" t="str">
        <f t="shared" si="18"/>
        <v>2017-3</v>
      </c>
      <c r="F65" s="1570" t="str">
        <f t="shared" si="18"/>
        <v>2017-2</v>
      </c>
      <c r="G65" s="1570" t="str">
        <f t="shared" si="18"/>
        <v>2017-1</v>
      </c>
      <c r="H65" s="1570" t="str">
        <f t="shared" si="18"/>
        <v>2016-4</v>
      </c>
      <c r="I65" s="1570" t="str">
        <f t="shared" si="18"/>
        <v>2016-3</v>
      </c>
      <c r="J65" s="1570" t="str">
        <f t="shared" si="18"/>
        <v>2016-2</v>
      </c>
      <c r="K65" s="1570" t="str">
        <f t="shared" si="18"/>
        <v>2016-1</v>
      </c>
      <c r="L65" s="1570" t="str">
        <f t="shared" si="18"/>
        <v>2015-4</v>
      </c>
      <c r="M65" s="1570" t="str">
        <f t="shared" si="18"/>
        <v>2015-3</v>
      </c>
      <c r="N65" s="1570" t="str">
        <f t="shared" si="18"/>
        <v>2015-2</v>
      </c>
      <c r="O65" s="1570" t="str">
        <f t="shared" si="18"/>
        <v>2015-1</v>
      </c>
      <c r="P65" s="507"/>
    </row>
    <row r="66" spans="1:17" s="117" customFormat="1" ht="30.75" customHeight="1">
      <c r="A66" s="2706" t="s">
        <v>2788</v>
      </c>
      <c r="B66" s="332" t="str">
        <f>"北京市平均增长率"&amp;TEXT(基准地价修正!P24,"0.00%")</f>
        <v>北京市平均增长率1.31%</v>
      </c>
      <c r="C66" s="603">
        <v>100</v>
      </c>
      <c r="D66" s="595"/>
      <c r="E66" s="595"/>
      <c r="F66" s="595"/>
      <c r="G66" s="595"/>
      <c r="H66" s="595"/>
      <c r="I66" s="595"/>
      <c r="J66" s="595"/>
      <c r="K66" s="595"/>
      <c r="L66" s="595"/>
      <c r="M66" s="1565"/>
      <c r="N66" s="1565"/>
      <c r="O66" s="1567"/>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49"/>
      <c r="O68" s="1149"/>
      <c r="P68" s="526"/>
      <c r="Q68" s="504"/>
    </row>
    <row r="69" spans="1:17" s="117" customFormat="1" ht="15.75" thickBot="1">
      <c r="A69" s="521"/>
      <c r="B69" s="510"/>
      <c r="C69" s="638">
        <v>100</v>
      </c>
      <c r="D69" s="512"/>
      <c r="E69" s="512"/>
      <c r="F69" s="512"/>
      <c r="G69" s="512"/>
      <c r="H69" s="512"/>
      <c r="I69" s="512"/>
      <c r="J69" s="512"/>
      <c r="K69" s="512"/>
      <c r="L69" s="512"/>
      <c r="M69" s="514"/>
      <c r="N69" s="1149"/>
      <c r="O69" s="1149"/>
      <c r="P69" s="504"/>
      <c r="Q69" s="504"/>
    </row>
    <row r="70" spans="1:17">
      <c r="A70" s="527" t="s">
        <v>2574</v>
      </c>
      <c r="B70" s="528" t="s">
        <v>2540</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2543</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2544</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7"/>
      <c r="M87" s="621"/>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1"/>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2789</v>
      </c>
      <c r="C93" s="659" t="s">
        <v>2661</v>
      </c>
      <c r="D93" s="659" t="s">
        <v>2662</v>
      </c>
      <c r="E93" s="659" t="s">
        <v>2663</v>
      </c>
      <c r="F93" s="659" t="s">
        <v>2664</v>
      </c>
      <c r="G93" s="659" t="s">
        <v>2665</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0"/>
      <c r="O95" s="1150"/>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1"/>
      <c r="O96" s="1151"/>
      <c r="P96" s="45"/>
      <c r="Q96" s="504"/>
    </row>
    <row r="97" spans="1:17" ht="27.75" thickTop="1">
      <c r="A97" s="534"/>
      <c r="B97" s="538" t="s">
        <v>2677</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1"/>
      <c r="O98" s="1151"/>
      <c r="P98" s="45"/>
      <c r="Q98" s="504"/>
    </row>
    <row r="99" spans="1:17" ht="15.75" thickTop="1">
      <c r="A99" s="534"/>
      <c r="B99" s="538" t="s">
        <v>2736</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4"/>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6"/>
      <c r="H106" s="676"/>
      <c r="I106" s="676"/>
      <c r="J106" s="676"/>
      <c r="K106" s="676"/>
      <c r="L106" s="676"/>
      <c r="M106" s="698"/>
      <c r="N106" s="1151"/>
      <c r="O106" s="1151"/>
      <c r="P106" s="558"/>
      <c r="Q106" s="559"/>
    </row>
    <row r="107" spans="1:17">
      <c r="A107" s="527" t="s">
        <v>2549</v>
      </c>
      <c r="B107" s="528" t="s">
        <v>2777</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2778</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1"/>
      <c r="O111" s="1151"/>
      <c r="P111" s="45"/>
      <c r="Q111" s="504"/>
    </row>
    <row r="112" spans="1:17" s="471" customFormat="1" ht="15" thickTop="1">
      <c r="A112" s="593"/>
      <c r="B112" s="538" t="s">
        <v>2780</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2"/>
      <c r="O113" s="1152"/>
      <c r="P113" s="558"/>
      <c r="Q113" s="559"/>
    </row>
    <row r="114" spans="1:17" ht="15" thickTop="1">
      <c r="A114" s="599"/>
      <c r="B114" s="538" t="s">
        <v>2781</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699"/>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70" customWidth="1"/>
    <col min="33" max="36" width="9.375" style="2786" customWidth="1"/>
    <col min="37" max="38" width="9.375" style="2710" customWidth="1"/>
    <col min="39" max="16384" width="12" style="2710"/>
  </cols>
  <sheetData>
    <row r="1" spans="1:36" ht="28.5">
      <c r="A1" s="240" t="s">
        <v>2790</v>
      </c>
      <c r="B1" s="241"/>
      <c r="C1" s="245" t="s">
        <v>2791</v>
      </c>
      <c r="D1" s="388">
        <f>SUM(D29:D30,D33:D39)</f>
        <v>0</v>
      </c>
      <c r="E1" s="2707"/>
      <c r="F1" s="2707"/>
      <c r="G1" s="2707"/>
      <c r="H1" s="2707"/>
      <c r="I1" s="2707"/>
      <c r="J1" s="2707"/>
      <c r="K1" s="1368"/>
      <c r="L1" s="2708" t="s">
        <v>2792</v>
      </c>
      <c r="M1" s="1078">
        <f>SUMPRODUCT((区片价!B5:B9=I2)*(区片价!C3:F3=E2)*(区片价!C5:F9))</f>
        <v>0</v>
      </c>
      <c r="N1" s="1081">
        <f>SUMPRODUCT((因素修正幅度!B5:B9=I2)*(因素修正幅度!C3:F3=E2)*(因素修正幅度!C5:F9))</f>
        <v>0</v>
      </c>
      <c r="O1" s="2709"/>
      <c r="P1" s="2709"/>
      <c r="Q1" s="1368"/>
      <c r="R1" s="1600" t="s">
        <v>2793</v>
      </c>
      <c r="S1" s="1600" t="s">
        <v>2794</v>
      </c>
      <c r="T1" s="1600" t="s">
        <v>2795</v>
      </c>
      <c r="U1" s="1600" t="s">
        <v>2796</v>
      </c>
      <c r="V1" s="1600" t="s">
        <v>2797</v>
      </c>
      <c r="W1" s="1604"/>
      <c r="X1" s="1604"/>
      <c r="Y1" s="1604"/>
      <c r="Z1" s="1604"/>
      <c r="AA1" s="1604"/>
      <c r="AB1" s="1604"/>
      <c r="AC1" s="1605"/>
      <c r="AD1" s="1606"/>
      <c r="AE1" s="1606"/>
      <c r="AF1" s="1606"/>
      <c r="AG1" s="1606"/>
      <c r="AH1" s="1606"/>
      <c r="AI1" s="1606"/>
      <c r="AJ1" s="1607"/>
    </row>
    <row r="2" spans="1:36" ht="15.75">
      <c r="A2" s="245" t="s">
        <v>2798</v>
      </c>
      <c r="B2" s="248" t="e">
        <f>C26</f>
        <v>#DIV/0!</v>
      </c>
      <c r="C2" s="2711" t="s">
        <v>2799</v>
      </c>
      <c r="D2" s="2712" t="s">
        <v>2800</v>
      </c>
      <c r="E2" s="2713"/>
      <c r="F2" s="2712" t="s">
        <v>2801</v>
      </c>
      <c r="G2" s="2714" t="str">
        <f>IF(E2="商业",项目基本情况!B37,IF(E2="办公",项目基本情况!C37,IF(E2="住宅",项目基本情况!D37,项目基本情况!E37)))</f>
        <v>八级</v>
      </c>
      <c r="H2" s="2712" t="s">
        <v>2802</v>
      </c>
      <c r="I2" s="2714" t="str">
        <f>IF(E2="商业",项目基本情况!B38,IF(E2="办公",项目基本情况!C38,IF(E2="住宅",项目基本情况!D38,项目基本情况!E38)))</f>
        <v>Ⅷ-兴1</v>
      </c>
      <c r="J2" s="2715"/>
      <c r="K2" s="1368"/>
      <c r="L2" s="2716" t="s">
        <v>2803</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2.0021</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2804</v>
      </c>
      <c r="B3" s="248" t="e">
        <f>ROUND(B2*10000/D1,0)</f>
        <v>#DIV/0!</v>
      </c>
      <c r="C3" s="2711" t="s">
        <v>2805</v>
      </c>
      <c r="D3" s="2712" t="s">
        <v>2806</v>
      </c>
      <c r="E3" s="2717"/>
      <c r="F3" s="2718" t="s">
        <v>2807</v>
      </c>
      <c r="G3" s="911">
        <f>IF(F3="宗地容积率",'数据-汇总表'!I4,IF(F3="估价对象容积率",'数据-汇总表'!I6,'数据-汇总表'!I7))</f>
        <v>0.97</v>
      </c>
      <c r="H3" s="198" t="s">
        <v>2808</v>
      </c>
      <c r="I3" s="942"/>
      <c r="J3" s="2715" t="s">
        <v>2809</v>
      </c>
      <c r="K3" s="1368"/>
      <c r="L3" s="2716" t="s">
        <v>2810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1.3194999999999999</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4"/>
      <c r="B4" s="3315"/>
      <c r="C4" s="3315"/>
      <c r="D4" s="3316"/>
      <c r="E4" s="3316"/>
      <c r="F4" s="3316"/>
      <c r="G4" s="3316"/>
      <c r="H4" s="3316"/>
      <c r="I4" s="3316"/>
      <c r="J4" s="3317"/>
      <c r="K4" s="1368"/>
      <c r="L4" s="2716" t="s">
        <v>2811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1.0384</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8" customFormat="1" ht="15.75" thickBot="1">
      <c r="A5" s="2719" t="s">
        <v>807</v>
      </c>
      <c r="B5" s="2720" t="s">
        <v>2812</v>
      </c>
      <c r="C5" s="912" t="e">
        <f>ROUND(IF(E2="商业",IF(F16="增加",C6*C7+C16,C6*C7-C16),IF(E2="住宅",IF(F16="增加",C6*C12+C16,C6*C12-C16),IF(F16="增加",C6+C16,C6-C16))),0)</f>
        <v>#DIV/0!</v>
      </c>
      <c r="D5" s="1785">
        <f>ROUND(IF(E2="商业",IF(F16="增加",C6+C16,C6-C16)),0)</f>
        <v>0</v>
      </c>
      <c r="E5" s="2721"/>
      <c r="F5" s="2721"/>
      <c r="G5" s="2722"/>
      <c r="H5" s="2722"/>
      <c r="I5" s="2722"/>
      <c r="J5" s="2723"/>
      <c r="K5" s="2724"/>
      <c r="L5" s="2716" t="s">
        <v>2813</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0.77580000000000005</v>
      </c>
      <c r="T5" s="1600" t="e">
        <f t="shared" si="0"/>
        <v>#DIV/0!</v>
      </c>
      <c r="U5" s="1601"/>
      <c r="V5" s="1600" t="e">
        <f t="shared" si="1"/>
        <v>#DIV/0!</v>
      </c>
      <c r="W5" s="1604"/>
      <c r="X5" s="1604"/>
      <c r="Y5" s="1604"/>
      <c r="Z5" s="1604"/>
      <c r="AA5" s="1604"/>
      <c r="AB5" s="1604"/>
      <c r="AC5" s="2725"/>
      <c r="AD5" s="2726"/>
      <c r="AE5" s="2726"/>
      <c r="AF5" s="2726"/>
      <c r="AG5" s="2726"/>
      <c r="AH5" s="2726"/>
      <c r="AI5" s="2726"/>
      <c r="AJ5" s="2727"/>
    </row>
    <row r="6" spans="1:36" ht="15.75" thickBot="1">
      <c r="A6" s="2729" t="s">
        <v>2814</v>
      </c>
      <c r="B6" s="2730" t="s">
        <v>2815</v>
      </c>
      <c r="C6" s="913">
        <f>SUMIF(L1:L12,G2,M1:M12)</f>
        <v>0</v>
      </c>
      <c r="D6" s="2731" t="s">
        <v>2816</v>
      </c>
      <c r="E6" s="2732"/>
      <c r="F6" s="2732"/>
      <c r="G6" s="2733"/>
      <c r="H6" s="2733"/>
      <c r="I6" s="2733"/>
      <c r="J6" s="2734"/>
      <c r="K6" s="1840"/>
      <c r="L6" s="2716" t="s">
        <v>2817</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0.58340000000000003</v>
      </c>
      <c r="T6" s="1600" t="e">
        <f t="shared" si="0"/>
        <v>#DIV/0!</v>
      </c>
      <c r="U6" s="1601"/>
      <c r="V6" s="1600" t="e">
        <f t="shared" si="1"/>
        <v>#DIV/0!</v>
      </c>
      <c r="W6" s="1604"/>
      <c r="X6" s="1604"/>
      <c r="Y6" s="1604"/>
      <c r="Z6" s="1604"/>
      <c r="AA6" s="1604"/>
      <c r="AB6" s="1604"/>
      <c r="AC6" s="2725"/>
      <c r="AD6" s="2726"/>
      <c r="AE6" s="2726"/>
      <c r="AF6" s="2726"/>
      <c r="AG6" s="2726"/>
      <c r="AH6" s="2726"/>
      <c r="AI6" s="2726"/>
      <c r="AJ6" s="2727"/>
    </row>
    <row r="7" spans="1:36" ht="24">
      <c r="A7" s="3300" t="str">
        <f>IF(E2="商业",IF(C8="不临58条商业街","",2),"")</f>
        <v/>
      </c>
      <c r="B7" s="2735" t="s">
        <v>2818</v>
      </c>
      <c r="C7" s="914" t="e">
        <f>IF(C8="不临58条商业街",1,ROUND(1+(1.6*E8+1.2*E9+0.8*E10+0.4*E11)*C9,4))</f>
        <v>#DIV/0!</v>
      </c>
      <c r="D7" s="2736" t="s">
        <v>2819</v>
      </c>
      <c r="E7" s="943"/>
      <c r="F7" s="2737"/>
      <c r="G7" s="2738"/>
      <c r="H7" s="2738"/>
      <c r="I7" s="2738"/>
      <c r="J7" s="2739"/>
      <c r="K7" s="1840"/>
      <c r="L7" s="2716" t="s">
        <v>2820</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0.46650000000000003</v>
      </c>
      <c r="T7" s="1600" t="e">
        <f t="shared" si="0"/>
        <v>#DIV/0!</v>
      </c>
      <c r="U7" s="1601"/>
      <c r="V7" s="1600" t="e">
        <f t="shared" si="1"/>
        <v>#DIV/0!</v>
      </c>
      <c r="W7" s="1814" t="s">
        <v>2821</v>
      </c>
      <c r="X7" s="1602" t="str">
        <f>G2</f>
        <v>八级</v>
      </c>
      <c r="Y7" s="1602" t="s">
        <v>2822</v>
      </c>
      <c r="Z7" s="1603">
        <f>G3</f>
        <v>0.97</v>
      </c>
      <c r="AA7" s="1604"/>
      <c r="AB7" s="1604"/>
      <c r="AC7" s="1605"/>
      <c r="AD7" s="1606"/>
      <c r="AE7" s="1606"/>
      <c r="AF7" s="1606"/>
      <c r="AG7" s="1606"/>
      <c r="AH7" s="1606"/>
      <c r="AI7" s="1606"/>
      <c r="AJ7" s="1607"/>
    </row>
    <row r="8" spans="1:36" ht="15">
      <c r="A8" s="3301"/>
      <c r="B8" s="198" t="s">
        <v>2823</v>
      </c>
      <c r="C8" s="2740"/>
      <c r="D8" s="915" t="s">
        <v>139</v>
      </c>
      <c r="E8" s="916" t="e">
        <f>ROUND(C11/E7,4)</f>
        <v>#DIV/0!</v>
      </c>
      <c r="F8" s="2741" t="s">
        <v>2824</v>
      </c>
      <c r="G8" s="2742"/>
      <c r="H8" s="2742"/>
      <c r="I8" s="2742"/>
      <c r="J8" s="2743"/>
      <c r="K8" s="1368"/>
      <c r="L8" s="2716" t="s">
        <v>2825</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11" t="s">
        <v>2826</v>
      </c>
      <c r="X8" s="3312"/>
      <c r="Y8" s="1608" t="s">
        <v>2827</v>
      </c>
      <c r="Z8" s="1608" t="s">
        <v>2828</v>
      </c>
      <c r="AA8" s="1608" t="s">
        <v>2829</v>
      </c>
      <c r="AB8" s="1608" t="s">
        <v>2830</v>
      </c>
      <c r="AC8" s="1608" t="s">
        <v>2831</v>
      </c>
      <c r="AD8" s="1608" t="s">
        <v>2832</v>
      </c>
      <c r="AE8" s="1608" t="s">
        <v>2833</v>
      </c>
      <c r="AF8" s="1608" t="s">
        <v>2834</v>
      </c>
      <c r="AG8" s="1608" t="s">
        <v>2835</v>
      </c>
      <c r="AH8" s="1608" t="s">
        <v>2836</v>
      </c>
      <c r="AI8" s="1608" t="s">
        <v>2837</v>
      </c>
      <c r="AJ8" s="1608" t="s">
        <v>2838</v>
      </c>
    </row>
    <row r="9" spans="1:36" ht="15">
      <c r="A9" s="3301"/>
      <c r="B9" s="198" t="s">
        <v>2839</v>
      </c>
      <c r="C9" s="917">
        <f>SUMIF(修正!C59:C119,C8,修正!E59:E119)</f>
        <v>0</v>
      </c>
      <c r="D9" s="200" t="s">
        <v>140</v>
      </c>
      <c r="E9" s="200" t="e">
        <f>ROUND(C11/E7,4)</f>
        <v>#DIV/0!</v>
      </c>
      <c r="F9" s="2741" t="s">
        <v>2840</v>
      </c>
      <c r="G9" s="2742"/>
      <c r="H9" s="2742"/>
      <c r="I9" s="2742"/>
      <c r="J9" s="2743"/>
      <c r="K9" s="1368"/>
      <c r="L9" s="2716" t="s">
        <v>2841</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13" t="s">
        <v>2842</v>
      </c>
      <c r="X9" s="1609" t="s">
        <v>2843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1"/>
      <c r="B10" s="198" t="s">
        <v>2844</v>
      </c>
      <c r="C10" s="200">
        <f>SUMIF(修正!C59:C119,C8,修正!F59:F119)</f>
        <v>0</v>
      </c>
      <c r="D10" s="200" t="s">
        <v>141</v>
      </c>
      <c r="E10" s="200" t="e">
        <f>ROUND(C11/E7,4)</f>
        <v>#DIV/0!</v>
      </c>
      <c r="F10" s="2741" t="s">
        <v>2845</v>
      </c>
      <c r="G10" s="2742"/>
      <c r="H10" s="2742"/>
      <c r="I10" s="2742"/>
      <c r="J10" s="2743"/>
      <c r="K10" s="1368"/>
      <c r="L10" s="2716" t="s">
        <v>2846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1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1"/>
      <c r="B11" s="2744" t="s">
        <v>2847</v>
      </c>
      <c r="C11" s="918">
        <f>C10/4</f>
        <v>0</v>
      </c>
      <c r="D11" s="918" t="s">
        <v>142</v>
      </c>
      <c r="E11" s="918" t="e">
        <f>ROUND(C11/E7,4)</f>
        <v>#DIV/0!</v>
      </c>
      <c r="F11" s="2745" t="s">
        <v>2848</v>
      </c>
      <c r="G11" s="2746"/>
      <c r="H11" s="2746"/>
      <c r="I11" s="2746"/>
      <c r="J11" s="2747"/>
      <c r="K11" s="1368"/>
      <c r="L11" s="2716" t="s">
        <v>2849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13" t="s">
        <v>2850</v>
      </c>
      <c r="X11" s="1612" t="s">
        <v>2851</v>
      </c>
      <c r="Y11" s="1613">
        <f>$G$3</f>
        <v>0.97</v>
      </c>
      <c r="Z11" s="1613">
        <f t="shared" ref="Z11:AJ11" si="3">$G$3</f>
        <v>0.97</v>
      </c>
      <c r="AA11" s="1613">
        <f t="shared" si="3"/>
        <v>0.97</v>
      </c>
      <c r="AB11" s="1613">
        <f t="shared" si="3"/>
        <v>0.97</v>
      </c>
      <c r="AC11" s="1613">
        <f t="shared" si="3"/>
        <v>0.97</v>
      </c>
      <c r="AD11" s="1613">
        <f t="shared" si="3"/>
        <v>0.97</v>
      </c>
      <c r="AE11" s="1613">
        <f t="shared" si="3"/>
        <v>0.97</v>
      </c>
      <c r="AF11" s="1613">
        <f t="shared" si="3"/>
        <v>0.97</v>
      </c>
      <c r="AG11" s="1613">
        <f t="shared" si="3"/>
        <v>0.97</v>
      </c>
      <c r="AH11" s="1613">
        <f t="shared" si="3"/>
        <v>0.97</v>
      </c>
      <c r="AI11" s="1613">
        <f t="shared" si="3"/>
        <v>0.97</v>
      </c>
      <c r="AJ11" s="1613">
        <f t="shared" si="3"/>
        <v>0.97</v>
      </c>
    </row>
    <row r="12" spans="1:36" ht="25.5" thickBot="1">
      <c r="A12" s="3300" t="s">
        <v>2852</v>
      </c>
      <c r="B12" s="2748" t="s">
        <v>2853</v>
      </c>
      <c r="C12" s="914">
        <f>ROUND(C15*D15*E15*F15*G15*H15*I15*J15,4)</f>
        <v>1</v>
      </c>
      <c r="D12" s="2749" t="s">
        <v>2854</v>
      </c>
      <c r="E12" s="2750"/>
      <c r="F12" s="2750"/>
      <c r="G12" s="2751"/>
      <c r="H12" s="2751"/>
      <c r="I12" s="2751"/>
      <c r="J12" s="2752"/>
      <c r="K12" s="1368"/>
      <c r="L12" s="2753" t="s">
        <v>2855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13"/>
      <c r="X12" s="1614" t="s">
        <v>2856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8"/>
      <c r="B13" s="2754" t="s">
        <v>2857</v>
      </c>
      <c r="C13" s="2755" t="s">
        <v>2858</v>
      </c>
      <c r="D13" s="1806" t="s">
        <v>2859</v>
      </c>
      <c r="E13" s="1806" t="s">
        <v>2860</v>
      </c>
      <c r="F13" s="30" t="s">
        <v>2861</v>
      </c>
      <c r="G13" s="2756" t="s">
        <v>2862</v>
      </c>
      <c r="H13" s="2756" t="s">
        <v>2862</v>
      </c>
      <c r="I13" s="2756" t="s">
        <v>2862</v>
      </c>
      <c r="J13" s="2757" t="s">
        <v>2862</v>
      </c>
      <c r="K13" s="1368"/>
      <c r="L13" s="1368"/>
      <c r="M13" s="1368"/>
      <c r="N13" s="1368"/>
      <c r="O13" s="1368"/>
      <c r="P13" s="1368"/>
      <c r="Q13" s="1368"/>
      <c r="R13" s="1600">
        <v>12</v>
      </c>
      <c r="S13" s="1601"/>
      <c r="T13" s="1600" t="e">
        <f t="shared" si="0"/>
        <v>#DIV/0!</v>
      </c>
      <c r="U13" s="1601"/>
      <c r="V13" s="1600" t="e">
        <f t="shared" si="1"/>
        <v>#DIV/0!</v>
      </c>
      <c r="W13" s="3313"/>
      <c r="X13" s="1614"/>
      <c r="Y13" s="1611">
        <f>(-0.163*(Y12^2)-0.59*Y12+7617)*(10^(-4))/Y11</f>
        <v>0.78525773195876292</v>
      </c>
      <c r="Z13" s="1611">
        <f t="shared" ref="Z13:AJ13" si="5">(-0.163*(Z12^2)-0.59*Z12+7617)*(10^(-4))/Z11</f>
        <v>0.78525773195876292</v>
      </c>
      <c r="AA13" s="1611">
        <f t="shared" si="5"/>
        <v>0.78525773195876292</v>
      </c>
      <c r="AB13" s="1611">
        <f t="shared" si="5"/>
        <v>0.78525773195876292</v>
      </c>
      <c r="AC13" s="1611">
        <f t="shared" si="5"/>
        <v>0.78525773195876292</v>
      </c>
      <c r="AD13" s="1611">
        <f t="shared" si="5"/>
        <v>0.78525773195876292</v>
      </c>
      <c r="AE13" s="1611">
        <f t="shared" si="5"/>
        <v>0.78525773195876292</v>
      </c>
      <c r="AF13" s="1611">
        <f t="shared" si="5"/>
        <v>0.78525773195876292</v>
      </c>
      <c r="AG13" s="1611">
        <f t="shared" si="5"/>
        <v>0.78525773195876292</v>
      </c>
      <c r="AH13" s="1611">
        <f t="shared" si="5"/>
        <v>0.78525773195876292</v>
      </c>
      <c r="AI13" s="1611">
        <f t="shared" si="5"/>
        <v>0.78525773195876292</v>
      </c>
      <c r="AJ13" s="1611">
        <f t="shared" si="5"/>
        <v>0.78525773195876292</v>
      </c>
    </row>
    <row r="14" spans="1:36" ht="15">
      <c r="A14" s="3318"/>
      <c r="B14" s="2758"/>
      <c r="C14" s="2759"/>
      <c r="D14" s="2760"/>
      <c r="E14" s="2760"/>
      <c r="F14" s="2761"/>
      <c r="G14" s="2762" t="s">
        <v>2863</v>
      </c>
      <c r="H14" s="2763"/>
      <c r="I14" s="2764"/>
      <c r="J14" s="2765"/>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19"/>
      <c r="B15" s="2766" t="s">
        <v>2864</v>
      </c>
      <c r="C15" s="229">
        <f>IF(C14="有",1.1,1)</f>
        <v>1</v>
      </c>
      <c r="D15" s="229">
        <f>IF(D14="有",1.1,1)</f>
        <v>1</v>
      </c>
      <c r="E15" s="229">
        <f>IF(E14="有",1.1,1)</f>
        <v>1</v>
      </c>
      <c r="F15" s="229">
        <f>IF(F14="500米范围内",1.2,IF(F14="500-1000米",1.1,1))</f>
        <v>1</v>
      </c>
      <c r="G15" s="944">
        <v>1</v>
      </c>
      <c r="H15" s="944">
        <v>1</v>
      </c>
      <c r="I15" s="944">
        <v>1</v>
      </c>
      <c r="J15" s="945">
        <v>1</v>
      </c>
      <c r="K15" s="1368"/>
      <c r="L15" s="2767" t="s">
        <v>2800</v>
      </c>
      <c r="M15" s="915" t="s">
        <v>2865</v>
      </c>
      <c r="N15" s="915" t="s">
        <v>2866</v>
      </c>
      <c r="O15" s="915" t="s">
        <v>2867</v>
      </c>
      <c r="P15" s="2768" t="s">
        <v>2868</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00" t="s">
        <v>2869</v>
      </c>
      <c r="B16" s="2735" t="s">
        <v>2870</v>
      </c>
      <c r="C16" s="1799" t="e">
        <f>ROUND(SUM(G17:J17)/C17,0)</f>
        <v>#DIV/0!</v>
      </c>
      <c r="D16" s="2769" t="s">
        <v>2871</v>
      </c>
      <c r="E16" s="2770"/>
      <c r="F16" s="2771"/>
      <c r="G16" s="2772"/>
      <c r="H16" s="2772"/>
      <c r="I16" s="2772"/>
      <c r="J16" s="2773"/>
      <c r="K16" s="1368"/>
      <c r="L16" s="2774" t="s">
        <v>2872</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01"/>
      <c r="B17" s="2775" t="s">
        <v>2873</v>
      </c>
      <c r="C17" s="919">
        <f>SUMPRODUCT((修正!A2:A5=E2)*(修正!B1:M1=G2)*(修正!B2:M5))</f>
        <v>0</v>
      </c>
      <c r="D17" s="2776" t="s">
        <v>2874</v>
      </c>
      <c r="E17" s="918" t="str">
        <f>IF(OR(G2="八级",G2="九级",G2="十级",G2="十一级",G2="十二级"),"五通一平","七通一平")</f>
        <v>五通一平</v>
      </c>
      <c r="F17" s="919" t="s">
        <v>2875</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7" t="s">
        <v>2876</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78"/>
      <c r="AF17" s="2778"/>
      <c r="AG17" s="2710"/>
      <c r="AH17" s="2710"/>
      <c r="AI17" s="2710"/>
      <c r="AJ17" s="2710"/>
    </row>
    <row r="18" spans="1:37" s="2728" customFormat="1" ht="15.75" thickBot="1">
      <c r="A18" s="2779" t="s">
        <v>808</v>
      </c>
      <c r="B18" s="2780" t="s">
        <v>2877</v>
      </c>
      <c r="C18" s="921">
        <f>SUMIF(修正!C18:C39,E3,修正!E18:E39)</f>
        <v>0</v>
      </c>
      <c r="D18" s="2781"/>
      <c r="E18" s="2782"/>
      <c r="F18" s="2783"/>
      <c r="G18" s="2784"/>
      <c r="H18" s="2784"/>
      <c r="I18" s="2784"/>
      <c r="J18" s="2785"/>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28" customFormat="1" ht="27.75" thickBot="1">
      <c r="A19" s="2779" t="s">
        <v>809</v>
      </c>
      <c r="B19" s="2780" t="s">
        <v>2878</v>
      </c>
      <c r="C19" s="922" t="e">
        <f>ROUND(IF(H19="按公示增长率计算",SUMPRODUCT((地价!A3:A21=YEAR(G19)&amp;"-"&amp;ROUNDUP(MONTH(G19)/3,0))*(地价!X2:AB2=E2)*(地价!X3:AB21)),IF(H19="地价指数",M20/M19,(1+I19)^O19)),4)</f>
        <v>#DIV/0!</v>
      </c>
      <c r="D19" s="2787" t="s">
        <v>2879</v>
      </c>
      <c r="E19" s="923">
        <v>41640</v>
      </c>
      <c r="F19" s="2787" t="s">
        <v>2880</v>
      </c>
      <c r="G19" s="924">
        <f>'数据-取费表'!B2</f>
        <v>43165</v>
      </c>
      <c r="H19" s="2788" t="s">
        <v>2881</v>
      </c>
      <c r="I19" s="925" t="str">
        <f>IF(H19="季度增幅（自定义）",SUMIF(N21:N24,E2,O21:O24),"")</f>
        <v/>
      </c>
      <c r="J19" s="2785"/>
      <c r="K19" s="1375"/>
      <c r="L19" s="2789" t="s">
        <v>2882</v>
      </c>
      <c r="M19" s="1732">
        <f>ROUND(SUMIF(地价!B2:F2,E2,地价!B21:F21),0)</f>
        <v>0</v>
      </c>
      <c r="N19" s="2790" t="s">
        <v>2883</v>
      </c>
      <c r="O19" s="926">
        <f>ROUNDDOWN(DATEDIF(E19,G19,"M")/3,0)</f>
        <v>16</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28" customFormat="1" ht="27.75" thickBot="1">
      <c r="A20" s="2794" t="s">
        <v>810</v>
      </c>
      <c r="B20" s="2795" t="s">
        <v>2884</v>
      </c>
      <c r="C20" s="927" t="e">
        <f>ROUND(POWER(1+G20,J20-I20)*(POWER(1+G20,I20)-1)/(POWER(1+G20,J20)-1),4)</f>
        <v>#DIV/0!</v>
      </c>
      <c r="D20" s="2796" t="s">
        <v>2885</v>
      </c>
      <c r="E20" s="1766">
        <f ca="1">存贷款利率!D4/100</f>
        <v>4.3499999999999997E-2</v>
      </c>
      <c r="F20" s="2796" t="s">
        <v>2876</v>
      </c>
      <c r="G20" s="932">
        <f>SUMIF(M15:P15,E2,M17:P17)</f>
        <v>0</v>
      </c>
      <c r="H20" s="2796" t="s">
        <v>2886</v>
      </c>
      <c r="I20" s="933" t="e">
        <f>SUMIF('数据-取费表'!C6:C15,E2,'数据-取费表'!F6:F15)/COUNTIF('数据-取费表'!C6:C15,E2)</f>
        <v>#DIV/0!</v>
      </c>
      <c r="J20" s="934">
        <f>IF(E2="住宅",70,IF(E2="商业",40,50))</f>
        <v>50</v>
      </c>
      <c r="K20" s="1375"/>
      <c r="L20" s="2797" t="s">
        <v>2887</v>
      </c>
      <c r="M20" s="1733">
        <f>ROUND(SUMPRODUCT((地价!A4:A21=YEAR(G19)&amp;"-"&amp;ROUNDUP(MONTH(G19)/3,0))*(地价!B2:F2=E2)*(地价!B4:F21)),0)</f>
        <v>0</v>
      </c>
      <c r="N20" s="2798" t="s">
        <v>2888</v>
      </c>
      <c r="O20" s="2799" t="s">
        <v>2889</v>
      </c>
      <c r="P20" s="2800" t="s">
        <v>2890</v>
      </c>
      <c r="R20" s="1374"/>
      <c r="S20" s="1374"/>
      <c r="T20" s="1369"/>
      <c r="U20" s="1369"/>
      <c r="V20" s="1369"/>
      <c r="W20" s="1368"/>
      <c r="X20" s="1368"/>
      <c r="Y20" s="1368"/>
      <c r="Z20" s="1375"/>
      <c r="AA20" s="1376"/>
      <c r="AB20" s="1376"/>
      <c r="AC20" s="1376"/>
      <c r="AD20" s="1376"/>
      <c r="AE20" s="1376"/>
      <c r="AF20" s="1376"/>
    </row>
    <row r="21" spans="1:37" s="2728" customFormat="1" ht="15">
      <c r="A21" s="2801" t="s">
        <v>811</v>
      </c>
      <c r="B21" s="2802" t="s">
        <v>2891</v>
      </c>
      <c r="C21" s="935">
        <f>IF(B21="容积率修正",IF(G3&lt;=10,D22,J22),C23)</f>
        <v>0</v>
      </c>
      <c r="D21" s="2803"/>
      <c r="E21" s="2803"/>
      <c r="F21" s="2803"/>
      <c r="G21" s="2803"/>
      <c r="H21" s="2803"/>
      <c r="I21" s="2803"/>
      <c r="J21" s="2804"/>
      <c r="K21" s="1375"/>
      <c r="N21" s="2805" t="s">
        <v>2892</v>
      </c>
      <c r="O21" s="1559"/>
      <c r="P21" s="1560">
        <f>SUMPRODUCT((地价!A3:A21=YEAR(G19)&amp;"-"&amp;ROUNDUP(MONTH(G19)/3,0))*(地价!AD2:AH2=N21)*(地价!AD3:AH21))</f>
        <v>1.55E-2</v>
      </c>
      <c r="R21" s="1374"/>
      <c r="S21" s="1374"/>
      <c r="T21" s="1369"/>
      <c r="U21" s="1369"/>
      <c r="V21" s="1369"/>
      <c r="W21" s="1368"/>
      <c r="X21" s="1368"/>
      <c r="Y21" s="1368"/>
      <c r="Z21" s="1375"/>
      <c r="AA21" s="1376"/>
      <c r="AB21" s="1376"/>
      <c r="AC21" s="1376"/>
      <c r="AD21" s="1376"/>
      <c r="AE21" s="1376"/>
      <c r="AF21" s="1376"/>
    </row>
    <row r="22" spans="1:37" s="2728" customFormat="1" ht="14.25">
      <c r="A22" s="2654" t="s">
        <v>2893</v>
      </c>
      <c r="B22" s="2806" t="s">
        <v>2894</v>
      </c>
      <c r="C22" s="1808" t="s">
        <v>2895</v>
      </c>
      <c r="D22" s="1808">
        <f>IF(E22=G22,F22,IF(G3&lt;=10,ROUND(F22+(H22-F22)*(G3-E22)/(G22-E22),4),"——"))</f>
        <v>0.7</v>
      </c>
      <c r="E22" s="911">
        <f>ROUNDDOWN(G3,1)</f>
        <v>0.9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6" t="str">
        <f>IF(G3&gt;10,D113,"——")</f>
        <v>——</v>
      </c>
      <c r="K22" s="1375"/>
      <c r="N22" s="2805" t="s">
        <v>2896</v>
      </c>
      <c r="O22" s="1559"/>
      <c r="P22" s="1560">
        <f>SUMPRODUCT((地价!A3:A21=YEAR(G19)&amp;"-"&amp;ROUNDUP(MONTH(G19)/3,0))*(地价!AD2:AH2=N22)*(地价!AD3:AH21))</f>
        <v>1.55E-2</v>
      </c>
      <c r="R22" s="1374"/>
      <c r="S22" s="1374"/>
      <c r="T22" s="1369"/>
      <c r="U22" s="1369"/>
      <c r="V22" s="1369"/>
      <c r="W22" s="1368"/>
      <c r="X22" s="1368"/>
      <c r="Y22" s="1368"/>
      <c r="Z22" s="1375"/>
      <c r="AA22" s="1376"/>
      <c r="AB22" s="1376"/>
      <c r="AC22" s="1376"/>
      <c r="AD22" s="1376"/>
      <c r="AE22" s="1376"/>
      <c r="AF22" s="1376"/>
    </row>
    <row r="23" spans="1:37" ht="27.75" thickBot="1">
      <c r="A23" s="2654" t="s">
        <v>2897</v>
      </c>
      <c r="B23" s="2807" t="s">
        <v>2898</v>
      </c>
      <c r="C23" s="1011">
        <f>ROUND(IF(G3&gt;1,IF(I3&lt;7,SUMPRODUCT((B93:B98=I3)*(C92:N92=G2)*(C93:N98)),SUMIF(C92:N92,G2,C100:N100)),IF(I3&lt;7,SUMPRODUCT((B102:B107=I3)*(C92:N92=G2)*(C102:N107)),SUMIF(C92:N92,G2,C109:N109))),4)</f>
        <v>0</v>
      </c>
      <c r="D23" s="2763"/>
      <c r="E23" s="2763"/>
      <c r="F23" s="2808"/>
      <c r="G23" s="2809"/>
      <c r="H23" s="2810"/>
      <c r="I23" s="2811"/>
      <c r="J23" s="2812"/>
      <c r="K23" s="1368"/>
      <c r="N23" s="2805" t="s">
        <v>2899</v>
      </c>
      <c r="O23" s="1559"/>
      <c r="P23" s="1560">
        <f>SUMPRODUCT((地价!A3:A21=YEAR(G19)&amp;"-"&amp;ROUNDUP(MONTH(G19)/3,0))*(地价!AD2:AH2=N23)*(地价!AD3:AH21))</f>
        <v>2.5499999999999998E-2</v>
      </c>
      <c r="R23" s="1374"/>
      <c r="S23" s="1374"/>
      <c r="T23" s="1369"/>
      <c r="U23" s="1369"/>
      <c r="V23" s="1369"/>
      <c r="W23" s="1368"/>
      <c r="X23" s="1368"/>
      <c r="Y23" s="1368"/>
      <c r="Z23" s="1375"/>
      <c r="AA23" s="1376"/>
      <c r="AB23" s="1376"/>
      <c r="AC23" s="1376"/>
      <c r="AD23" s="1376"/>
      <c r="AK23" s="2786"/>
    </row>
    <row r="24" spans="1:37" s="2728" customFormat="1" ht="15.75" thickBot="1">
      <c r="A24" s="2794" t="s">
        <v>812</v>
      </c>
      <c r="B24" s="2780" t="s">
        <v>2900</v>
      </c>
      <c r="C24" s="922">
        <f>SUMIF(A45:A88,E2,B45:B88)</f>
        <v>0</v>
      </c>
      <c r="D24" s="2783"/>
      <c r="E24" s="2813"/>
      <c r="F24" s="2813"/>
      <c r="G24" s="2813"/>
      <c r="H24" s="2813"/>
      <c r="I24" s="2813"/>
      <c r="J24" s="2814"/>
      <c r="K24" s="1375"/>
      <c r="N24" s="2815" t="s">
        <v>2901</v>
      </c>
      <c r="O24" s="1561"/>
      <c r="P24" s="1562">
        <f>SUMPRODUCT((地价!A3:A21=YEAR(G19)&amp;"-"&amp;ROUNDUP(MONTH(G19)/3,0))*(地价!AD2:AH2=N24)*(地价!AD3:AH21))</f>
        <v>1.3100000000000001E-2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2902</v>
      </c>
      <c r="C25" s="928"/>
      <c r="D25" s="2738"/>
      <c r="E25" s="2738"/>
      <c r="F25" s="2817"/>
      <c r="G25" s="2738"/>
      <c r="H25" s="2738"/>
      <c r="I25" s="2738"/>
      <c r="J25" s="2739"/>
      <c r="K25" s="1368"/>
      <c r="N25" s="2818" t="s">
        <v>2903</v>
      </c>
      <c r="O25" s="1563"/>
      <c r="P25" s="1562">
        <f>SUMPRODUCT((地价!A3:A21=YEAR(G19)&amp;"-"&amp;ROUNDUP(MONTH(G19)/3,0))*(地价!AD2:AH2=N25)*(地价!AD3:AH21))</f>
        <v>2.3E-2</v>
      </c>
      <c r="R25" s="1374"/>
      <c r="S25" s="1374"/>
      <c r="T25" s="1369"/>
      <c r="U25" s="1369"/>
      <c r="V25" s="1369"/>
      <c r="W25" s="1368"/>
      <c r="X25" s="1368"/>
      <c r="Y25" s="1368"/>
      <c r="Z25" s="1375"/>
      <c r="AA25" s="1376"/>
      <c r="AB25" s="1376"/>
      <c r="AC25" s="1376"/>
      <c r="AD25" s="1376"/>
    </row>
    <row r="26" spans="1:37" ht="15">
      <c r="A26" s="2819"/>
      <c r="B26" s="2806" t="s">
        <v>2904</v>
      </c>
      <c r="C26" s="206" t="e">
        <f>E29+SUM(E33:E39)</f>
        <v>#DIV/0!</v>
      </c>
      <c r="D26" s="2820"/>
      <c r="E26" s="2763"/>
      <c r="F26" s="2821"/>
      <c r="G26" s="2763"/>
      <c r="H26" s="2763"/>
      <c r="I26" s="2763"/>
      <c r="J26" s="2822"/>
      <c r="K26" s="1368"/>
      <c r="R26" s="1374"/>
      <c r="S26" s="1374"/>
      <c r="T26" s="1369"/>
      <c r="U26" s="1369"/>
      <c r="V26" s="1369"/>
      <c r="W26" s="1368"/>
      <c r="X26" s="1368"/>
      <c r="Y26" s="1368"/>
      <c r="Z26" s="1375"/>
      <c r="AA26" s="1376"/>
      <c r="AB26" s="1376"/>
      <c r="AC26" s="1376"/>
      <c r="AD26" s="1376"/>
    </row>
    <row r="27" spans="1:37" ht="15.75" thickBot="1">
      <c r="A27" s="2819"/>
      <c r="B27" s="2823" t="s">
        <v>2905</v>
      </c>
      <c r="C27" s="929" t="e">
        <f>E30+SUM(I33:I39)</f>
        <v>#DIV/0!</v>
      </c>
      <c r="D27" s="2824"/>
      <c r="E27" s="2825"/>
      <c r="F27" s="2826"/>
      <c r="G27" s="2825"/>
      <c r="H27" s="2825"/>
      <c r="I27" s="2825"/>
      <c r="J27" s="282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28"/>
      <c r="B28" s="2829" t="s">
        <v>2906</v>
      </c>
      <c r="C28" s="2830" t="s">
        <v>2907</v>
      </c>
      <c r="D28" s="2830" t="s">
        <v>2908</v>
      </c>
      <c r="E28" s="2831" t="s">
        <v>2909</v>
      </c>
      <c r="F28" s="2832"/>
      <c r="G28" s="2751"/>
      <c r="H28" s="2751"/>
      <c r="I28" s="2751"/>
      <c r="J28" s="275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3"/>
      <c r="B29" s="2834" t="s">
        <v>2910</v>
      </c>
      <c r="C29" s="206" t="e">
        <f>ROUND(C5*C18*C19*C20*C21*C24,0)</f>
        <v>#DIV/0!</v>
      </c>
      <c r="D29" s="2835"/>
      <c r="E29" s="940" t="e">
        <f>ROUND(C29*D29/10000,0)</f>
        <v>#DIV/0!</v>
      </c>
      <c r="F29" s="2836" t="s">
        <v>2911</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0"/>
      <c r="AH29" s="2710"/>
      <c r="AI29" s="2710"/>
      <c r="AJ29" s="2710"/>
    </row>
    <row r="30" spans="1:37" ht="25.5" thickBot="1">
      <c r="A30" s="2839"/>
      <c r="B30" s="2840" t="s">
        <v>2912</v>
      </c>
      <c r="C30" s="229" t="e">
        <f>ROUND(IF(E2="工业",C29*M39,C29*M38),0)</f>
        <v>#DIV/0!</v>
      </c>
      <c r="D30" s="2841"/>
      <c r="E30" s="940" t="e">
        <f>ROUND(C30*D30/10000,0)</f>
        <v>#DIV/0!</v>
      </c>
      <c r="F30" s="2842" t="s">
        <v>2913</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0"/>
      <c r="AH30" s="2710"/>
      <c r="AI30" s="2710"/>
      <c r="AJ30" s="2710"/>
    </row>
    <row r="31" spans="1:37" ht="14.25">
      <c r="A31" s="2845"/>
      <c r="B31" s="2846" t="s">
        <v>2914</v>
      </c>
      <c r="C31" s="2847" t="s">
        <v>2915</v>
      </c>
      <c r="D31" s="2751"/>
      <c r="E31" s="2847"/>
      <c r="F31" s="2847"/>
      <c r="G31" s="2749" t="s">
        <v>2916</v>
      </c>
      <c r="H31" s="2751"/>
      <c r="I31" s="2848"/>
      <c r="J31" s="2752"/>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0"/>
      <c r="AH31" s="2710"/>
      <c r="AI31" s="2710"/>
      <c r="AJ31" s="2710"/>
    </row>
    <row r="32" spans="1:37" ht="24">
      <c r="A32" s="2833"/>
      <c r="B32" s="2849"/>
      <c r="C32" s="501" t="s">
        <v>2907</v>
      </c>
      <c r="D32" s="498" t="s">
        <v>2908</v>
      </c>
      <c r="E32" s="498" t="s">
        <v>2909</v>
      </c>
      <c r="F32" s="388" t="s">
        <v>2917</v>
      </c>
      <c r="G32" s="2850" t="s">
        <v>2907</v>
      </c>
      <c r="H32" s="2850" t="s">
        <v>2908</v>
      </c>
      <c r="I32" s="2850" t="s">
        <v>2909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0"/>
      <c r="AH32" s="2710"/>
      <c r="AI32" s="2710"/>
      <c r="AJ32" s="2710"/>
    </row>
    <row r="33" spans="1:37" ht="36" customHeight="1">
      <c r="A33" s="3308" t="s">
        <v>2918</v>
      </c>
      <c r="B33" s="2851" t="s">
        <v>2919</v>
      </c>
      <c r="C33" s="206" t="e">
        <f>ROUND(D5*C19*C20*C24*F33,0)</f>
        <v>#DIV/0!</v>
      </c>
      <c r="D33" s="2835"/>
      <c r="E33" s="200" t="e">
        <f>ROUND(C33*D33/10000,0)</f>
        <v>#DIV/0!</v>
      </c>
      <c r="F33" s="200">
        <f>SUMIF(修正!A45:A56,G2,修正!B45:B56)</f>
        <v>0.6</v>
      </c>
      <c r="G33" s="200" t="e">
        <f t="shared" ref="G33:G39" si="6">ROUND(IF(E2="工业",C33*$M$39,C33*$M$38),0)</f>
        <v>#DIV/0!</v>
      </c>
      <c r="H33" s="200">
        <f>D33</f>
        <v>0</v>
      </c>
      <c r="I33" s="200"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9"/>
      <c r="B34" s="2755" t="s">
        <v>2920</v>
      </c>
      <c r="C34" s="206" t="e">
        <f>ROUND(D5*C19*C20*C24*F34,0)</f>
        <v>#DIV/0!</v>
      </c>
      <c r="D34" s="2835"/>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9"/>
      <c r="B35" s="2755" t="s">
        <v>2921</v>
      </c>
      <c r="C35" s="206" t="e">
        <f>ROUND(D5*C19*C20*C24*F35,0)</f>
        <v>#DIV/0!</v>
      </c>
      <c r="D35" s="2835"/>
      <c r="E35" s="200" t="e">
        <f t="shared" si="7"/>
        <v>#DIV/0!</v>
      </c>
      <c r="F35" s="200">
        <f>SUMIF(修正!A45:A56,G2,修正!D45:D56)</f>
        <v>0.2</v>
      </c>
      <c r="G35" s="200" t="e">
        <f t="shared" si="6"/>
        <v>#DIV/0!</v>
      </c>
      <c r="H35" s="200">
        <f t="shared" si="8"/>
        <v>0</v>
      </c>
      <c r="I35" s="200"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310"/>
      <c r="B36" s="2755" t="s">
        <v>2922</v>
      </c>
      <c r="C36" s="206" t="e">
        <f>ROUND(D5*C19*C20*C24*F36,0)</f>
        <v>#DIV/0!</v>
      </c>
      <c r="D36" s="2835"/>
      <c r="E36" s="200" t="e">
        <f t="shared" si="7"/>
        <v>#DIV/0!</v>
      </c>
      <c r="F36" s="200">
        <f>SUMIF(修正!A45:A56,G2,修正!E45:E56)</f>
        <v>0.2</v>
      </c>
      <c r="G36" s="200" t="e">
        <f t="shared" si="6"/>
        <v>#DIV/0!</v>
      </c>
      <c r="H36" s="200">
        <f t="shared" si="8"/>
        <v>0</v>
      </c>
      <c r="I36" s="200" t="e">
        <f t="shared" si="9"/>
        <v>#DIV/0!</v>
      </c>
      <c r="J36" s="2852"/>
      <c r="K36" s="1368"/>
      <c r="L36" s="2709"/>
      <c r="M36" s="2709"/>
      <c r="N36" s="1368"/>
      <c r="O36" s="1368"/>
      <c r="P36" s="1368"/>
      <c r="Q36" s="1368"/>
      <c r="R36" s="1368"/>
      <c r="S36" s="1368"/>
      <c r="T36" s="1368"/>
      <c r="U36" s="1368"/>
      <c r="V36" s="1368"/>
      <c r="W36" s="1368"/>
      <c r="X36" s="1368"/>
      <c r="Y36" s="1368"/>
      <c r="Z36" s="1369"/>
    </row>
    <row r="37" spans="1:37">
      <c r="A37" s="2853"/>
      <c r="B37" s="2755" t="s">
        <v>2923</v>
      </c>
      <c r="C37" s="200" t="e">
        <f>ROUND(C5*C19*C20*C24*F37,0)</f>
        <v>#DIV/0!</v>
      </c>
      <c r="D37" s="2835"/>
      <c r="E37" s="200" t="e">
        <f t="shared" si="7"/>
        <v>#DIV/0!</v>
      </c>
      <c r="F37" s="206">
        <f>SUMIF(修正!A45:A56,G2,修正!F45:F56)</f>
        <v>0.2</v>
      </c>
      <c r="G37" s="200" t="e">
        <f t="shared" si="6"/>
        <v>#DIV/0!</v>
      </c>
      <c r="H37" s="200">
        <f t="shared" si="8"/>
        <v>0</v>
      </c>
      <c r="I37" s="200" t="e">
        <f t="shared" si="9"/>
        <v>#DIV/0!</v>
      </c>
      <c r="J37" s="2852"/>
      <c r="K37" s="1368"/>
      <c r="L37" s="2854" t="s">
        <v>2924</v>
      </c>
      <c r="M37" s="2855"/>
      <c r="N37" s="1368"/>
      <c r="O37" s="1368"/>
      <c r="P37" s="1368"/>
      <c r="Q37" s="1368"/>
      <c r="R37" s="1368"/>
      <c r="S37" s="1368"/>
      <c r="T37" s="1368"/>
      <c r="U37" s="1368"/>
      <c r="V37" s="1368"/>
      <c r="W37" s="1368"/>
      <c r="X37" s="1368"/>
      <c r="Y37" s="1368"/>
      <c r="Z37" s="1369"/>
    </row>
    <row r="38" spans="1:37">
      <c r="A38" s="2853"/>
      <c r="B38" s="2755" t="s">
        <v>2925</v>
      </c>
      <c r="C38" s="200" t="e">
        <f>ROUND(C5*C19*C20*C24*F38,0)</f>
        <v>#DIV/0!</v>
      </c>
      <c r="D38" s="2835"/>
      <c r="E38" s="200" t="e">
        <f t="shared" si="7"/>
        <v>#DIV/0!</v>
      </c>
      <c r="F38" s="206">
        <f>SUMIF(修正!A45:A56,G2,修正!G45:G56)</f>
        <v>0.2</v>
      </c>
      <c r="G38" s="200" t="e">
        <f t="shared" si="6"/>
        <v>#DIV/0!</v>
      </c>
      <c r="H38" s="200">
        <f t="shared" si="8"/>
        <v>0</v>
      </c>
      <c r="I38" s="200" t="e">
        <f t="shared" si="9"/>
        <v>#DIV/0!</v>
      </c>
      <c r="J38" s="2852"/>
      <c r="K38" s="1368"/>
      <c r="L38" s="1885" t="s">
        <v>2926</v>
      </c>
      <c r="M38" s="2856">
        <v>0.25</v>
      </c>
      <c r="N38" s="1368"/>
      <c r="O38" s="1368"/>
      <c r="P38" s="1368"/>
      <c r="Q38" s="1368"/>
      <c r="R38" s="1368"/>
      <c r="S38" s="1368"/>
      <c r="T38" s="1368"/>
      <c r="U38" s="1368"/>
      <c r="V38" s="1368"/>
      <c r="W38" s="1368"/>
      <c r="X38" s="1368"/>
      <c r="Y38" s="1368"/>
      <c r="Z38" s="1369"/>
    </row>
    <row r="39" spans="1:37" ht="13.5" thickBot="1">
      <c r="A39" s="2839"/>
      <c r="B39" s="2857" t="s">
        <v>2927</v>
      </c>
      <c r="C39" s="229" t="e">
        <f>ROUND(C5*C19*C20*C24*F39,0)</f>
        <v>#DIV/0!</v>
      </c>
      <c r="D39" s="2841"/>
      <c r="E39" s="229" t="e">
        <f t="shared" si="7"/>
        <v>#DIV/0!</v>
      </c>
      <c r="F39" s="930">
        <f>SUMIF(修正!A45:A56,G2,修正!H45:H56)</f>
        <v>0.15</v>
      </c>
      <c r="G39" s="229" t="e">
        <f t="shared" si="6"/>
        <v>#DIV/0!</v>
      </c>
      <c r="H39" s="229">
        <f t="shared" si="8"/>
        <v>0</v>
      </c>
      <c r="I39" s="229" t="e">
        <f t="shared" si="9"/>
        <v>#DIV/0!</v>
      </c>
      <c r="J39" s="2858"/>
      <c r="K39" s="1368"/>
      <c r="L39" s="2859" t="s">
        <v>2868</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1"/>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2928</v>
      </c>
      <c r="B45" s="2863"/>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4" t="s">
        <v>2929</v>
      </c>
      <c r="B46" s="2865">
        <f>1+E48</f>
        <v>1</v>
      </c>
      <c r="C46" s="2866"/>
      <c r="D46" s="809"/>
      <c r="E46" s="810"/>
      <c r="F46" s="2867"/>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8" t="s">
        <v>2930</v>
      </c>
      <c r="B47" s="1807" t="s">
        <v>2931</v>
      </c>
      <c r="C47" s="1807" t="s">
        <v>2932</v>
      </c>
      <c r="D47" s="1807" t="s">
        <v>2933</v>
      </c>
      <c r="E47" s="814" t="s">
        <v>2934</v>
      </c>
      <c r="F47" s="2869" t="s">
        <v>2935</v>
      </c>
      <c r="G47" s="1807" t="s">
        <v>754</v>
      </c>
      <c r="H47" s="2870" t="s">
        <v>2936</v>
      </c>
      <c r="I47" s="1807" t="s">
        <v>2937</v>
      </c>
      <c r="J47" s="603" t="s">
        <v>2583</v>
      </c>
      <c r="K47" s="603" t="s">
        <v>2584</v>
      </c>
      <c r="L47" s="603" t="s">
        <v>2585</v>
      </c>
      <c r="M47" s="603" t="s">
        <v>2586</v>
      </c>
      <c r="N47" s="603" t="s">
        <v>2587</v>
      </c>
      <c r="AA47" s="1369"/>
      <c r="AB47" s="1369"/>
      <c r="AC47" s="1369"/>
      <c r="AD47" s="1369"/>
      <c r="AE47" s="1369"/>
      <c r="AF47" s="1369"/>
      <c r="AG47" s="1369"/>
      <c r="AH47" s="1369"/>
      <c r="AI47" s="1369"/>
      <c r="AJ47" s="1369"/>
      <c r="AK47" s="1369"/>
    </row>
    <row r="48" spans="1:37" s="1368" customFormat="1" ht="63.75">
      <c r="A48" s="2868" t="s">
        <v>2938</v>
      </c>
      <c r="B48" s="2871" t="str">
        <f>估价对象房地状况!C4</f>
        <v>估价对象周边2公里有帝园商城、星城商厦等商业项目，估价对象周边多为住宅配套商业，人流量一般，商业繁华度一般</v>
      </c>
      <c r="C48" s="2760"/>
      <c r="D48" s="1284">
        <f t="shared" ref="D48:D56" si="10">SUMIF($J$47:$N$47,C48,J48:N48)</f>
        <v>0</v>
      </c>
      <c r="E48" s="816">
        <f>ROUND(SUM(D48:D56),4)</f>
        <v>0</v>
      </c>
      <c r="F48" s="2494"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38.25">
      <c r="A49" s="2868" t="s">
        <v>2939</v>
      </c>
      <c r="B49" s="2872" t="str">
        <f>估价对象房地状况!C18</f>
        <v>估价对象周边有849、兴23路等公交线路，综合评价交通便捷度一般</v>
      </c>
      <c r="C49" s="2760"/>
      <c r="D49" s="1284">
        <f t="shared" si="10"/>
        <v>0</v>
      </c>
      <c r="E49" s="817"/>
      <c r="F49" s="2494"/>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2940</v>
      </c>
      <c r="B50" s="2872" t="str">
        <f>估价对象房地状况!C19</f>
        <v>较好</v>
      </c>
      <c r="C50" s="2760"/>
      <c r="D50" s="1284">
        <f t="shared" si="10"/>
        <v>0</v>
      </c>
      <c r="E50" s="817"/>
      <c r="F50" s="2494"/>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2941</v>
      </c>
      <c r="B51" s="2873" t="s">
        <v>2942</v>
      </c>
      <c r="C51" s="2760"/>
      <c r="D51" s="1284">
        <f t="shared" si="10"/>
        <v>0</v>
      </c>
      <c r="E51" s="817"/>
      <c r="F51" s="2494"/>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2943</v>
      </c>
      <c r="B52" s="2872" t="str">
        <f>估价对象房地状况!C24</f>
        <v>城市次干道——清源东路</v>
      </c>
      <c r="C52" s="2760"/>
      <c r="D52" s="1284">
        <f t="shared" si="10"/>
        <v>0</v>
      </c>
      <c r="E52" s="817"/>
      <c r="F52" s="2494"/>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2944</v>
      </c>
      <c r="B53" s="2874" t="s">
        <v>2945</v>
      </c>
      <c r="C53" s="2760"/>
      <c r="D53" s="1284">
        <f t="shared" si="10"/>
        <v>0</v>
      </c>
      <c r="E53" s="817"/>
      <c r="F53" s="2494"/>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5" t="s">
        <v>2946</v>
      </c>
      <c r="B54" s="1723" t="str">
        <f>估价对象房地状况!C21</f>
        <v>估价对象所在区域公共配套设施齐备较齐备</v>
      </c>
      <c r="C54" s="2760"/>
      <c r="D54" s="1284">
        <f t="shared" si="10"/>
        <v>0</v>
      </c>
      <c r="E54" s="817"/>
      <c r="F54" s="2494"/>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5" t="s">
        <v>2947</v>
      </c>
      <c r="B55" s="2872" t="str">
        <f>估价对象房地状况!C22</f>
        <v>区域基础设施水平达七通</v>
      </c>
      <c r="C55" s="2760"/>
      <c r="D55" s="1284">
        <f t="shared" si="10"/>
        <v>0</v>
      </c>
      <c r="E55" s="817"/>
      <c r="F55" s="2494"/>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6" t="s">
        <v>2948</v>
      </c>
      <c r="B56" s="2877" t="str">
        <f>估价对象房地状况!C20</f>
        <v>周边有北京广播电视大学、康庄公园；综合评价环境状况较好</v>
      </c>
      <c r="C56" s="2760"/>
      <c r="D56" s="1284">
        <f t="shared" si="10"/>
        <v>0</v>
      </c>
      <c r="E56" s="820"/>
      <c r="F56" s="2494"/>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2949</v>
      </c>
      <c r="B57" s="2865">
        <f>1+E59</f>
        <v>1</v>
      </c>
      <c r="C57" s="809"/>
      <c r="D57" s="809"/>
      <c r="E57" s="810"/>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2930</v>
      </c>
      <c r="B58" s="1807"/>
      <c r="C58" s="1807" t="s">
        <v>2932</v>
      </c>
      <c r="D58" s="1807" t="s">
        <v>2933</v>
      </c>
      <c r="E58" s="814" t="s">
        <v>2934</v>
      </c>
      <c r="F58" s="2869" t="s">
        <v>2950</v>
      </c>
      <c r="G58" s="1807" t="s">
        <v>754</v>
      </c>
      <c r="H58" s="2870" t="s">
        <v>2936</v>
      </c>
      <c r="I58" s="1807" t="s">
        <v>2937</v>
      </c>
      <c r="J58" s="603" t="s">
        <v>2583</v>
      </c>
      <c r="K58" s="603" t="s">
        <v>2584</v>
      </c>
      <c r="L58" s="603" t="s">
        <v>2585</v>
      </c>
      <c r="M58" s="603" t="s">
        <v>2586</v>
      </c>
      <c r="N58" s="603" t="s">
        <v>2587</v>
      </c>
      <c r="AA58" s="1369"/>
      <c r="AB58" s="1369"/>
      <c r="AC58" s="1369"/>
      <c r="AD58" s="1369"/>
      <c r="AE58" s="1369"/>
      <c r="AF58" s="1369"/>
      <c r="AG58" s="1369"/>
      <c r="AH58" s="1369"/>
      <c r="AI58" s="1369"/>
      <c r="AJ58" s="1369"/>
      <c r="AK58" s="1369"/>
    </row>
    <row r="59" spans="1:37" s="1368" customFormat="1" ht="25.5">
      <c r="A59" s="2868" t="s">
        <v>2951</v>
      </c>
      <c r="B59" s="2871" t="str">
        <f>估价对象房地状况!C17</f>
        <v>估价对象周边办公楼项目较少，办公集聚程度较差</v>
      </c>
      <c r="C59" s="2760"/>
      <c r="D59" s="1284">
        <f t="shared" ref="D59:D67" si="15">SUMIF($J$58:$N$58,C59,J59:N59)</f>
        <v>0</v>
      </c>
      <c r="E59" s="816">
        <f>ROUND(SUM(D59:D67),4)</f>
        <v>0</v>
      </c>
      <c r="F59" s="2494"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38.25">
      <c r="A60" s="2868" t="s">
        <v>2939</v>
      </c>
      <c r="B60" s="2872" t="str">
        <f>估价对象房地状况!C18</f>
        <v>估价对象周边有849、兴23路等公交线路，综合评价交通便捷度一般</v>
      </c>
      <c r="C60" s="2760"/>
      <c r="D60" s="1284">
        <f t="shared" si="15"/>
        <v>0</v>
      </c>
      <c r="E60" s="817"/>
      <c r="F60" s="2494"/>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2940</v>
      </c>
      <c r="B61" s="2872" t="str">
        <f>估价对象房地状况!C19</f>
        <v>较好</v>
      </c>
      <c r="C61" s="2760"/>
      <c r="D61" s="1284">
        <f t="shared" si="15"/>
        <v>0</v>
      </c>
      <c r="E61" s="817"/>
      <c r="F61" s="2494"/>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2941</v>
      </c>
      <c r="B62" s="2873" t="s">
        <v>2942</v>
      </c>
      <c r="C62" s="2760"/>
      <c r="D62" s="1284">
        <f t="shared" si="15"/>
        <v>0</v>
      </c>
      <c r="E62" s="817"/>
      <c r="F62" s="2494"/>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2943</v>
      </c>
      <c r="B63" s="2872" t="str">
        <f>估价对象房地状况!C24</f>
        <v>城市次干道——清源东路</v>
      </c>
      <c r="C63" s="2760"/>
      <c r="D63" s="1284">
        <f t="shared" si="15"/>
        <v>0</v>
      </c>
      <c r="E63" s="817"/>
      <c r="F63" s="2494"/>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2944</v>
      </c>
      <c r="B64" s="2874" t="s">
        <v>2945</v>
      </c>
      <c r="C64" s="2760"/>
      <c r="D64" s="1284">
        <f t="shared" si="15"/>
        <v>0</v>
      </c>
      <c r="E64" s="817"/>
      <c r="F64" s="2494"/>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8" t="s">
        <v>2946</v>
      </c>
      <c r="B65" s="1723" t="str">
        <f>估价对象房地状况!C21</f>
        <v>估价对象所在区域公共配套设施齐备较齐备</v>
      </c>
      <c r="C65" s="2760"/>
      <c r="D65" s="1284">
        <f t="shared" si="15"/>
        <v>0</v>
      </c>
      <c r="E65" s="817"/>
      <c r="F65" s="2494"/>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68" t="s">
        <v>2947</v>
      </c>
      <c r="B66" s="1723" t="str">
        <f>估价对象房地状况!C22</f>
        <v>区域基础设施水平达七通</v>
      </c>
      <c r="C66" s="2760"/>
      <c r="D66" s="1284">
        <f t="shared" si="15"/>
        <v>0</v>
      </c>
      <c r="E66" s="817"/>
      <c r="F66" s="2494"/>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6" t="s">
        <v>2948</v>
      </c>
      <c r="B67" s="2878" t="str">
        <f>估价对象房地状况!C20</f>
        <v>周边有北京广播电视大学、康庄公园；综合评价环境状况较好</v>
      </c>
      <c r="C67" s="2760"/>
      <c r="D67" s="1284">
        <f t="shared" si="15"/>
        <v>0</v>
      </c>
      <c r="E67" s="820"/>
      <c r="F67" s="2494"/>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2952</v>
      </c>
      <c r="B68" s="2865">
        <f>1+E70</f>
        <v>1</v>
      </c>
      <c r="C68" s="809"/>
      <c r="D68" s="809"/>
      <c r="E68" s="810"/>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2930</v>
      </c>
      <c r="B69" s="1807"/>
      <c r="C69" s="1807" t="s">
        <v>2932</v>
      </c>
      <c r="D69" s="1807" t="s">
        <v>2933</v>
      </c>
      <c r="E69" s="814" t="s">
        <v>2934</v>
      </c>
      <c r="F69" s="2869" t="s">
        <v>2950</v>
      </c>
      <c r="G69" s="1807" t="s">
        <v>754</v>
      </c>
      <c r="H69" s="2870" t="s">
        <v>2936</v>
      </c>
      <c r="I69" s="1807" t="s">
        <v>2937</v>
      </c>
      <c r="J69" s="603" t="s">
        <v>2583</v>
      </c>
      <c r="K69" s="603" t="s">
        <v>2584</v>
      </c>
      <c r="L69" s="603" t="s">
        <v>2585</v>
      </c>
      <c r="M69" s="603" t="s">
        <v>2586</v>
      </c>
      <c r="N69" s="603" t="s">
        <v>2587</v>
      </c>
      <c r="AA69" s="1369"/>
      <c r="AB69" s="1369"/>
      <c r="AC69" s="1369"/>
      <c r="AD69" s="1369"/>
      <c r="AE69" s="1369"/>
      <c r="AF69" s="1369"/>
      <c r="AG69" s="1369"/>
      <c r="AH69" s="1369"/>
      <c r="AI69" s="1369"/>
      <c r="AJ69" s="1369"/>
      <c r="AK69" s="1369"/>
    </row>
    <row r="70" spans="1:37" s="1368" customFormat="1" ht="51">
      <c r="A70" s="2868" t="s">
        <v>2953</v>
      </c>
      <c r="B70" s="2871" t="str">
        <f>估价对象房地状况!C15</f>
        <v>估价对象周边有新安里、双河北里等住宅小区，综合评价居住社区成熟度较好</v>
      </c>
      <c r="C70" s="2760"/>
      <c r="D70" s="1284">
        <f t="shared" ref="D70:D78" si="20">SUMIF($J$69:$N$69,C70,J70:N70)</f>
        <v>0</v>
      </c>
      <c r="E70" s="816">
        <f>ROUND(SUM(D70:D78),4)</f>
        <v>0</v>
      </c>
      <c r="F70" s="2494"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38.25">
      <c r="A71" s="2868" t="s">
        <v>2939</v>
      </c>
      <c r="B71" s="2872" t="str">
        <f>估价对象房地状况!C18</f>
        <v>估价对象周边有849、兴23路等公交线路，综合评价交通便捷度一般</v>
      </c>
      <c r="C71" s="2760"/>
      <c r="D71" s="1284">
        <f t="shared" si="20"/>
        <v>0</v>
      </c>
      <c r="E71" s="821"/>
      <c r="F71" s="2494"/>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2940</v>
      </c>
      <c r="B72" s="2872" t="str">
        <f>估价对象房地状况!C19</f>
        <v>较好</v>
      </c>
      <c r="C72" s="2760"/>
      <c r="D72" s="1284">
        <f t="shared" si="20"/>
        <v>0</v>
      </c>
      <c r="E72" s="821"/>
      <c r="F72" s="2494"/>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2954</v>
      </c>
      <c r="B73" s="2872" t="str">
        <f>估价对象房地状况!C24</f>
        <v>城市次干道——清源东路</v>
      </c>
      <c r="C73" s="2760"/>
      <c r="D73" s="1284">
        <f t="shared" si="20"/>
        <v>0</v>
      </c>
      <c r="E73" s="821"/>
      <c r="F73" s="2494"/>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8" t="s">
        <v>2946</v>
      </c>
      <c r="B74" s="1723" t="str">
        <f>估价对象房地状况!C21</f>
        <v>估价对象所在区域公共配套设施齐备较齐备</v>
      </c>
      <c r="C74" s="2760"/>
      <c r="D74" s="1284">
        <f t="shared" si="20"/>
        <v>0</v>
      </c>
      <c r="E74" s="821"/>
      <c r="F74" s="2494"/>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68" t="s">
        <v>2947</v>
      </c>
      <c r="B75" s="1723" t="str">
        <f>估价对象房地状况!C22</f>
        <v>区域基础设施水平达七通</v>
      </c>
      <c r="C75" s="2760"/>
      <c r="D75" s="1284">
        <f t="shared" si="20"/>
        <v>0</v>
      </c>
      <c r="E75" s="821"/>
      <c r="F75" s="2494"/>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09" customFormat="1" ht="24">
      <c r="A76" s="2868" t="s">
        <v>2944</v>
      </c>
      <c r="B76" s="2874" t="s">
        <v>2945</v>
      </c>
      <c r="C76" s="2760"/>
      <c r="D76" s="1284">
        <f t="shared" si="20"/>
        <v>0</v>
      </c>
      <c r="E76" s="821"/>
      <c r="F76" s="2494"/>
      <c r="G76" s="1282"/>
      <c r="H76" s="1286" t="str">
        <f t="shared" si="21"/>
        <v>——</v>
      </c>
      <c r="I76" s="815">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38.25">
      <c r="A77" s="2868" t="s">
        <v>2948</v>
      </c>
      <c r="B77" s="2871" t="str">
        <f>估价对象房地状况!C20</f>
        <v>周边有北京广播电视大学、康庄公园；综合评价环境状况较好</v>
      </c>
      <c r="C77" s="2760"/>
      <c r="D77" s="1284">
        <f t="shared" si="20"/>
        <v>0</v>
      </c>
      <c r="E77" s="821"/>
      <c r="F77" s="2494"/>
      <c r="G77" s="1282"/>
      <c r="H77" s="1286" t="str">
        <f t="shared" si="21"/>
        <v>——</v>
      </c>
      <c r="I77" s="815">
        <v>0.15</v>
      </c>
      <c r="J77" s="1283">
        <f t="shared" si="22"/>
        <v>0</v>
      </c>
      <c r="K77" s="1283">
        <f t="shared" si="23"/>
        <v>0</v>
      </c>
      <c r="L77" s="1283">
        <v>0</v>
      </c>
      <c r="M77" s="1283">
        <f t="shared" si="24"/>
        <v>0</v>
      </c>
      <c r="N77" s="1283">
        <f t="shared" si="24"/>
        <v>0</v>
      </c>
      <c r="Z77" s="2710"/>
      <c r="AA77" s="2786"/>
      <c r="AG77" s="1370"/>
      <c r="AK77" s="2786"/>
    </row>
    <row r="78" spans="1:37" ht="24.75" thickBot="1">
      <c r="A78" s="2876" t="s">
        <v>2955</v>
      </c>
      <c r="B78" s="2880"/>
      <c r="C78" s="2760"/>
      <c r="D78" s="1284">
        <f t="shared" si="20"/>
        <v>0</v>
      </c>
      <c r="E78" s="822"/>
      <c r="F78" s="2494"/>
      <c r="G78" s="1282"/>
      <c r="H78" s="1286" t="str">
        <f t="shared" si="21"/>
        <v>——</v>
      </c>
      <c r="I78" s="819">
        <v>0.04</v>
      </c>
      <c r="J78" s="1283">
        <f t="shared" si="22"/>
        <v>0</v>
      </c>
      <c r="K78" s="1283">
        <f t="shared" si="23"/>
        <v>0</v>
      </c>
      <c r="L78" s="1283">
        <v>0</v>
      </c>
      <c r="M78" s="1283">
        <f t="shared" si="24"/>
        <v>0</v>
      </c>
      <c r="N78" s="1283">
        <f t="shared" si="24"/>
        <v>0</v>
      </c>
      <c r="Z78" s="2710"/>
      <c r="AA78" s="2786"/>
      <c r="AG78" s="1370"/>
      <c r="AK78" s="2786"/>
    </row>
    <row r="79" spans="1:37" ht="15">
      <c r="A79" s="2864" t="s">
        <v>2956</v>
      </c>
      <c r="B79" s="2865">
        <f>1+E81</f>
        <v>1</v>
      </c>
      <c r="C79" s="809"/>
      <c r="D79" s="809"/>
      <c r="E79" s="810"/>
      <c r="F79" s="2867"/>
      <c r="G79" s="6"/>
      <c r="H79" s="6"/>
      <c r="I79" s="6"/>
      <c r="J79" s="7"/>
      <c r="K79" s="7"/>
      <c r="L79" s="7"/>
      <c r="M79" s="7"/>
      <c r="N79" s="7"/>
      <c r="Z79" s="2710"/>
      <c r="AA79" s="2786"/>
      <c r="AG79" s="1370"/>
      <c r="AK79" s="2786"/>
    </row>
    <row r="80" spans="1:37" ht="24.75">
      <c r="A80" s="2868" t="s">
        <v>2930</v>
      </c>
      <c r="B80" s="1807"/>
      <c r="C80" s="1807" t="s">
        <v>2932</v>
      </c>
      <c r="D80" s="1807" t="s">
        <v>2933</v>
      </c>
      <c r="E80" s="814" t="s">
        <v>2934</v>
      </c>
      <c r="F80" s="2869" t="s">
        <v>2950</v>
      </c>
      <c r="G80" s="1807" t="s">
        <v>754</v>
      </c>
      <c r="H80" s="2870" t="s">
        <v>2936</v>
      </c>
      <c r="I80" s="1807" t="s">
        <v>2937</v>
      </c>
      <c r="J80" s="603" t="s">
        <v>2583</v>
      </c>
      <c r="K80" s="603" t="s">
        <v>2584</v>
      </c>
      <c r="L80" s="603" t="s">
        <v>2585</v>
      </c>
      <c r="M80" s="603" t="s">
        <v>2586</v>
      </c>
      <c r="N80" s="603" t="s">
        <v>2587</v>
      </c>
      <c r="Z80" s="2710"/>
      <c r="AA80" s="2786"/>
      <c r="AG80" s="1370"/>
      <c r="AK80" s="2786"/>
    </row>
    <row r="81" spans="1:37" ht="24">
      <c r="A81" s="2868" t="s">
        <v>2957</v>
      </c>
      <c r="B81" s="2872">
        <f>估价对象房地状况!G15</f>
        <v>0</v>
      </c>
      <c r="C81" s="2760"/>
      <c r="D81" s="1284">
        <f t="shared" ref="D81:D88" si="25">SUMIF($J$80:$N$80,C81,J81:N81)</f>
        <v>0</v>
      </c>
      <c r="E81" s="816">
        <f>ROUND(SUM(D81:D88),4)</f>
        <v>0</v>
      </c>
      <c r="F81" s="2494"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0"/>
      <c r="AA81" s="2786"/>
      <c r="AG81" s="1370"/>
      <c r="AK81" s="2786"/>
    </row>
    <row r="82" spans="1:37" ht="14.25">
      <c r="A82" s="2868" t="s">
        <v>2939</v>
      </c>
      <c r="B82" s="2872">
        <f>估价对象房地状况!G16</f>
        <v>0</v>
      </c>
      <c r="C82" s="2760"/>
      <c r="D82" s="1284">
        <f t="shared" si="25"/>
        <v>0</v>
      </c>
      <c r="E82" s="821"/>
      <c r="F82" s="2494"/>
      <c r="G82" s="1282"/>
      <c r="H82" s="1286" t="str">
        <f t="shared" si="26"/>
        <v>——</v>
      </c>
      <c r="I82" s="815">
        <v>0.33</v>
      </c>
      <c r="J82" s="1283">
        <f t="shared" si="27"/>
        <v>0</v>
      </c>
      <c r="K82" s="1283">
        <f t="shared" si="28"/>
        <v>0</v>
      </c>
      <c r="L82" s="1283">
        <v>0</v>
      </c>
      <c r="M82" s="1283">
        <f t="shared" si="29"/>
        <v>0</v>
      </c>
      <c r="N82" s="1283">
        <f t="shared" si="29"/>
        <v>0</v>
      </c>
      <c r="Z82" s="2710"/>
      <c r="AA82" s="2786"/>
      <c r="AG82" s="1370"/>
      <c r="AK82" s="2786"/>
    </row>
    <row r="83" spans="1:37" ht="24">
      <c r="A83" s="2868" t="s">
        <v>2940</v>
      </c>
      <c r="B83" s="2872">
        <f>估价对象房地状况!G17</f>
        <v>0</v>
      </c>
      <c r="C83" s="2760"/>
      <c r="D83" s="1284">
        <f t="shared" si="25"/>
        <v>0</v>
      </c>
      <c r="E83" s="821"/>
      <c r="F83" s="2494"/>
      <c r="G83" s="1282"/>
      <c r="H83" s="1286" t="str">
        <f t="shared" si="26"/>
        <v>——</v>
      </c>
      <c r="I83" s="815">
        <v>0.05</v>
      </c>
      <c r="J83" s="1283">
        <f t="shared" si="27"/>
        <v>0</v>
      </c>
      <c r="K83" s="1283">
        <f t="shared" si="28"/>
        <v>0</v>
      </c>
      <c r="L83" s="1283">
        <v>0</v>
      </c>
      <c r="M83" s="1283">
        <f t="shared" si="29"/>
        <v>0</v>
      </c>
      <c r="N83" s="1283">
        <f t="shared" si="29"/>
        <v>0</v>
      </c>
      <c r="Z83" s="2710"/>
      <c r="AA83" s="2786"/>
      <c r="AG83" s="1370"/>
      <c r="AK83" s="2786"/>
    </row>
    <row r="84" spans="1:37" ht="14.25">
      <c r="A84" s="2868" t="s">
        <v>2954</v>
      </c>
      <c r="B84" s="2872">
        <f>估价对象房地状况!G22</f>
        <v>0</v>
      </c>
      <c r="C84" s="2760"/>
      <c r="D84" s="1284">
        <f t="shared" si="25"/>
        <v>0</v>
      </c>
      <c r="E84" s="821"/>
      <c r="F84" s="2494"/>
      <c r="G84" s="1282"/>
      <c r="H84" s="1286" t="str">
        <f t="shared" si="26"/>
        <v>——</v>
      </c>
      <c r="I84" s="815">
        <v>0.04</v>
      </c>
      <c r="J84" s="1283">
        <f t="shared" si="27"/>
        <v>0</v>
      </c>
      <c r="K84" s="1283">
        <f t="shared" si="28"/>
        <v>0</v>
      </c>
      <c r="L84" s="1283">
        <v>0</v>
      </c>
      <c r="M84" s="1283">
        <f t="shared" si="29"/>
        <v>0</v>
      </c>
      <c r="N84" s="1283">
        <f t="shared" si="29"/>
        <v>0</v>
      </c>
      <c r="Z84" s="2710"/>
      <c r="AA84" s="2786"/>
      <c r="AG84" s="1370"/>
      <c r="AK84" s="2786"/>
    </row>
    <row r="85" spans="1:37" ht="24">
      <c r="A85" s="2868" t="s">
        <v>2946</v>
      </c>
      <c r="B85" s="1723">
        <f>估价对象房地状况!G19</f>
        <v>0</v>
      </c>
      <c r="C85" s="2760"/>
      <c r="D85" s="1284">
        <f t="shared" si="25"/>
        <v>0</v>
      </c>
      <c r="E85" s="821"/>
      <c r="F85" s="2494"/>
      <c r="G85" s="1282"/>
      <c r="H85" s="1286" t="str">
        <f t="shared" si="26"/>
        <v>——</v>
      </c>
      <c r="I85" s="815">
        <v>0.06</v>
      </c>
      <c r="J85" s="1283">
        <f t="shared" si="27"/>
        <v>0</v>
      </c>
      <c r="K85" s="1283">
        <f t="shared" si="28"/>
        <v>0</v>
      </c>
      <c r="L85" s="1283">
        <v>0</v>
      </c>
      <c r="M85" s="1283">
        <f t="shared" si="29"/>
        <v>0</v>
      </c>
      <c r="N85" s="1283">
        <f t="shared" si="29"/>
        <v>0</v>
      </c>
      <c r="Z85" s="2710"/>
      <c r="AA85" s="2786"/>
      <c r="AG85" s="1370"/>
      <c r="AK85" s="2786"/>
    </row>
    <row r="86" spans="1:37" ht="24">
      <c r="A86" s="2868" t="s">
        <v>2947</v>
      </c>
      <c r="B86" s="1723">
        <f>估价对象房地状况!G20</f>
        <v>0</v>
      </c>
      <c r="C86" s="2760"/>
      <c r="D86" s="1284">
        <f t="shared" si="25"/>
        <v>0</v>
      </c>
      <c r="E86" s="821"/>
      <c r="F86" s="2494"/>
      <c r="G86" s="1282"/>
      <c r="H86" s="1286" t="str">
        <f t="shared" si="26"/>
        <v>——</v>
      </c>
      <c r="I86" s="815">
        <v>0.15</v>
      </c>
      <c r="J86" s="1283">
        <f t="shared" si="27"/>
        <v>0</v>
      </c>
      <c r="K86" s="1283">
        <f t="shared" si="28"/>
        <v>0</v>
      </c>
      <c r="L86" s="1283">
        <v>0</v>
      </c>
      <c r="M86" s="1283">
        <f t="shared" si="29"/>
        <v>0</v>
      </c>
      <c r="N86" s="1283">
        <f t="shared" si="29"/>
        <v>0</v>
      </c>
      <c r="Z86" s="2710"/>
      <c r="AA86" s="2786"/>
      <c r="AG86" s="1370"/>
      <c r="AK86" s="2786"/>
    </row>
    <row r="87" spans="1:37" ht="24">
      <c r="A87" s="2868" t="s">
        <v>2944</v>
      </c>
      <c r="B87" s="2874" t="s">
        <v>2958</v>
      </c>
      <c r="C87" s="2760"/>
      <c r="D87" s="1284">
        <f t="shared" si="25"/>
        <v>0</v>
      </c>
      <c r="E87" s="821"/>
      <c r="F87" s="2494"/>
      <c r="G87" s="1282"/>
      <c r="H87" s="1286" t="str">
        <f t="shared" si="26"/>
        <v>——</v>
      </c>
      <c r="I87" s="815">
        <v>0.05</v>
      </c>
      <c r="J87" s="1283">
        <f t="shared" si="27"/>
        <v>0</v>
      </c>
      <c r="K87" s="1283">
        <f t="shared" si="28"/>
        <v>0</v>
      </c>
      <c r="L87" s="1283">
        <v>0</v>
      </c>
      <c r="M87" s="1283">
        <f t="shared" si="29"/>
        <v>0</v>
      </c>
      <c r="N87" s="1283">
        <f t="shared" si="29"/>
        <v>0</v>
      </c>
      <c r="Z87" s="2710"/>
      <c r="AA87" s="2786"/>
      <c r="AG87" s="1370"/>
      <c r="AK87" s="2786"/>
    </row>
    <row r="88" spans="1:37" ht="15" thickBot="1">
      <c r="A88" s="2876" t="s">
        <v>2959</v>
      </c>
      <c r="B88" s="2881">
        <f>估价对象房地状况!G18</f>
        <v>0</v>
      </c>
      <c r="C88" s="2760"/>
      <c r="D88" s="1284">
        <f t="shared" si="25"/>
        <v>0</v>
      </c>
      <c r="E88" s="822"/>
      <c r="F88" s="2494"/>
      <c r="G88" s="1282"/>
      <c r="H88" s="1286" t="str">
        <f t="shared" si="26"/>
        <v>——</v>
      </c>
      <c r="I88" s="819">
        <v>0.06</v>
      </c>
      <c r="J88" s="1283">
        <f t="shared" si="27"/>
        <v>0</v>
      </c>
      <c r="K88" s="1283">
        <f t="shared" si="28"/>
        <v>0</v>
      </c>
      <c r="L88" s="1283">
        <v>0</v>
      </c>
      <c r="M88" s="1283">
        <f t="shared" si="29"/>
        <v>0</v>
      </c>
      <c r="N88" s="1283">
        <f t="shared" si="29"/>
        <v>0</v>
      </c>
      <c r="Z88" s="2710"/>
      <c r="AA88" s="2786"/>
      <c r="AG88" s="1370"/>
      <c r="AK88" s="2786"/>
    </row>
    <row r="90" spans="1:37">
      <c r="A90" s="3302" t="s">
        <v>2960</v>
      </c>
      <c r="B90" s="3302"/>
      <c r="C90" s="3302"/>
      <c r="D90" s="3302"/>
      <c r="E90" s="3302"/>
      <c r="F90" s="3302"/>
      <c r="G90" s="3302"/>
      <c r="H90" s="3302"/>
      <c r="I90" s="3302"/>
      <c r="J90" s="3302"/>
      <c r="K90" s="2882"/>
      <c r="L90" s="2882"/>
      <c r="M90" s="2882"/>
      <c r="N90" s="2882"/>
    </row>
    <row r="91" spans="1:37">
      <c r="A91" s="3304" t="s">
        <v>2961</v>
      </c>
      <c r="B91" s="3304" t="s">
        <v>2962</v>
      </c>
      <c r="C91" s="2836" t="s">
        <v>2963</v>
      </c>
      <c r="D91" s="2837"/>
      <c r="E91" s="2837"/>
      <c r="F91" s="2837"/>
      <c r="G91" s="2837"/>
      <c r="H91" s="2837"/>
      <c r="I91" s="2837"/>
      <c r="J91" s="2883"/>
      <c r="K91" s="2884"/>
      <c r="L91" s="2884"/>
      <c r="M91" s="2884"/>
      <c r="N91" s="2884"/>
    </row>
    <row r="92" spans="1:37">
      <c r="A92" s="3304"/>
      <c r="B92" s="3304"/>
      <c r="C92" s="940" t="s">
        <v>2827</v>
      </c>
      <c r="D92" s="940" t="s">
        <v>2828</v>
      </c>
      <c r="E92" s="940" t="s">
        <v>2829</v>
      </c>
      <c r="F92" s="940" t="s">
        <v>2830</v>
      </c>
      <c r="G92" s="940" t="s">
        <v>2831</v>
      </c>
      <c r="H92" s="940" t="s">
        <v>2832</v>
      </c>
      <c r="I92" s="940" t="s">
        <v>2833</v>
      </c>
      <c r="J92" s="940" t="s">
        <v>2834</v>
      </c>
      <c r="K92" s="940" t="s">
        <v>2835</v>
      </c>
      <c r="L92" s="940" t="s">
        <v>2836</v>
      </c>
      <c r="M92" s="940" t="s">
        <v>2837</v>
      </c>
      <c r="N92" s="940" t="s">
        <v>2838</v>
      </c>
    </row>
    <row r="93" spans="1:37">
      <c r="A93" s="3305" t="s">
        <v>2964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06"/>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06"/>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06"/>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06"/>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06"/>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06"/>
      <c r="B99" s="2885" t="s">
        <v>2843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07"/>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05" t="s">
        <v>2965</v>
      </c>
      <c r="B101" s="2889" t="s">
        <v>2966</v>
      </c>
      <c r="C101" s="2890">
        <f>$G$3</f>
        <v>0.97</v>
      </c>
      <c r="D101" s="2890">
        <f t="shared" ref="D101:N101" si="31">$G$3</f>
        <v>0.97</v>
      </c>
      <c r="E101" s="2890">
        <f t="shared" si="31"/>
        <v>0.97</v>
      </c>
      <c r="F101" s="2890">
        <f t="shared" si="31"/>
        <v>0.97</v>
      </c>
      <c r="G101" s="2890">
        <f t="shared" si="31"/>
        <v>0.97</v>
      </c>
      <c r="H101" s="2890">
        <f t="shared" si="31"/>
        <v>0.97</v>
      </c>
      <c r="I101" s="2890">
        <f t="shared" si="31"/>
        <v>0.97</v>
      </c>
      <c r="J101" s="2890">
        <f t="shared" si="31"/>
        <v>0.97</v>
      </c>
      <c r="K101" s="2890">
        <f t="shared" si="31"/>
        <v>0.97</v>
      </c>
      <c r="L101" s="2890">
        <f t="shared" si="31"/>
        <v>0.97</v>
      </c>
      <c r="M101" s="2890">
        <f t="shared" si="31"/>
        <v>0.97</v>
      </c>
      <c r="N101" s="2890">
        <f t="shared" si="31"/>
        <v>0.97</v>
      </c>
    </row>
    <row r="102" spans="1:14">
      <c r="A102" s="3306"/>
      <c r="B102" s="2885">
        <v>1</v>
      </c>
      <c r="C102" s="2886">
        <f>1.9362/C101</f>
        <v>1.9960824742268042</v>
      </c>
      <c r="D102" s="2886">
        <f>1.9362/D101</f>
        <v>1.9960824742268042</v>
      </c>
      <c r="E102" s="2886">
        <f>1.8629/E101</f>
        <v>1.9205154639175259</v>
      </c>
      <c r="F102" s="2886">
        <f>1.8629/F101</f>
        <v>1.9205154639175259</v>
      </c>
      <c r="G102" s="2886">
        <f>1.8629/G101</f>
        <v>1.9205154639175259</v>
      </c>
      <c r="H102" s="2886">
        <f>1.8629/H101</f>
        <v>1.9205154639175259</v>
      </c>
      <c r="I102" s="2886">
        <f>1.8629/I101</f>
        <v>1.9205154639175259</v>
      </c>
      <c r="J102" s="2886">
        <f>1.942/J101</f>
        <v>2.0020618556701031</v>
      </c>
      <c r="K102" s="2886">
        <f>1.942/K101</f>
        <v>2.0020618556701031</v>
      </c>
      <c r="L102" s="2886">
        <f>1.942/L101</f>
        <v>2.0020618556701031</v>
      </c>
      <c r="M102" s="2886">
        <f>1.942/M101</f>
        <v>2.0020618556701031</v>
      </c>
      <c r="N102" s="2886">
        <f>1.942/N101</f>
        <v>2.0020618556701031</v>
      </c>
    </row>
    <row r="103" spans="1:14">
      <c r="A103" s="3306"/>
      <c r="B103" s="2885">
        <v>2</v>
      </c>
      <c r="C103" s="2886">
        <f>1.4198/C101</f>
        <v>1.4637113402061857</v>
      </c>
      <c r="D103" s="2886">
        <f>1.4198/D101</f>
        <v>1.4637113402061857</v>
      </c>
      <c r="E103" s="2886">
        <f>1.3372/E101</f>
        <v>1.3785567010309279</v>
      </c>
      <c r="F103" s="2886">
        <f>1.3372/F101</f>
        <v>1.3785567010309279</v>
      </c>
      <c r="G103" s="2886">
        <f>1.3372/G101</f>
        <v>1.3785567010309279</v>
      </c>
      <c r="H103" s="2886">
        <f>1.3372/H101</f>
        <v>1.3785567010309279</v>
      </c>
      <c r="I103" s="2886">
        <f>1.3372/I101</f>
        <v>1.3785567010309279</v>
      </c>
      <c r="J103" s="2886">
        <f>1.2799/J101</f>
        <v>1.3194845360824743</v>
      </c>
      <c r="K103" s="2886">
        <f>1.2799/K101</f>
        <v>1.3194845360824743</v>
      </c>
      <c r="L103" s="2886">
        <f>1.2799/L101</f>
        <v>1.3194845360824743</v>
      </c>
      <c r="M103" s="2886">
        <f>1.2799/M101</f>
        <v>1.3194845360824743</v>
      </c>
      <c r="N103" s="2886">
        <f>1.2799/N101</f>
        <v>1.3194845360824743</v>
      </c>
    </row>
    <row r="104" spans="1:14">
      <c r="A104" s="3306"/>
      <c r="B104" s="2885">
        <v>3</v>
      </c>
      <c r="C104" s="2886">
        <f>1.1594/C101</f>
        <v>1.1952577319587629</v>
      </c>
      <c r="D104" s="2886">
        <f>1.1594/D101</f>
        <v>1.1952577319587629</v>
      </c>
      <c r="E104" s="2886">
        <f>1.0788/E101</f>
        <v>1.1121649484536082</v>
      </c>
      <c r="F104" s="2886">
        <f>1.0788/F101</f>
        <v>1.1121649484536082</v>
      </c>
      <c r="G104" s="2886">
        <f>1.0788/G101</f>
        <v>1.1121649484536082</v>
      </c>
      <c r="H104" s="2886">
        <f>1.0788/H101</f>
        <v>1.1121649484536082</v>
      </c>
      <c r="I104" s="2886">
        <f>1.0788/I101</f>
        <v>1.1121649484536082</v>
      </c>
      <c r="J104" s="2886">
        <f>1.0072/J101</f>
        <v>1.0383505154639177</v>
      </c>
      <c r="K104" s="2886">
        <f>1.0072/K101</f>
        <v>1.0383505154639177</v>
      </c>
      <c r="L104" s="2886">
        <f>1.0072/L101</f>
        <v>1.0383505154639177</v>
      </c>
      <c r="M104" s="2886">
        <f>1.0072/M101</f>
        <v>1.0383505154639177</v>
      </c>
      <c r="N104" s="2886">
        <f>1.0072/N101</f>
        <v>1.0383505154639177</v>
      </c>
    </row>
    <row r="105" spans="1:14">
      <c r="A105" s="3306"/>
      <c r="B105" s="2885">
        <v>4</v>
      </c>
      <c r="C105" s="2886">
        <f>0.9622/C101</f>
        <v>0.99195876288659801</v>
      </c>
      <c r="D105" s="2886">
        <f>0.9622/D101</f>
        <v>0.99195876288659801</v>
      </c>
      <c r="E105" s="2886">
        <f>0.8656/E101</f>
        <v>0.89237113402061863</v>
      </c>
      <c r="F105" s="2886">
        <f>0.8656/F101</f>
        <v>0.89237113402061863</v>
      </c>
      <c r="G105" s="2886">
        <f>0.8656/G101</f>
        <v>0.89237113402061863</v>
      </c>
      <c r="H105" s="2886">
        <f>0.8656/H101</f>
        <v>0.89237113402061863</v>
      </c>
      <c r="I105" s="2886">
        <f>0.8656/I101</f>
        <v>0.89237113402061863</v>
      </c>
      <c r="J105" s="2886">
        <f>0.7525/J101</f>
        <v>0.77577319587628868</v>
      </c>
      <c r="K105" s="2886">
        <f>0.7525/K101</f>
        <v>0.77577319587628868</v>
      </c>
      <c r="L105" s="2886">
        <f>0.7525/L101</f>
        <v>0.77577319587628868</v>
      </c>
      <c r="M105" s="2886">
        <f>0.7525/M101</f>
        <v>0.77577319587628868</v>
      </c>
      <c r="N105" s="2886">
        <f>0.7525/N101</f>
        <v>0.77577319587628868</v>
      </c>
    </row>
    <row r="106" spans="1:14">
      <c r="A106" s="3306"/>
      <c r="B106" s="2885">
        <v>5</v>
      </c>
      <c r="C106" s="2886">
        <f>0.8417/C101</f>
        <v>0.86773195876288667</v>
      </c>
      <c r="D106" s="2886">
        <f>0.8417/D101</f>
        <v>0.86773195876288667</v>
      </c>
      <c r="E106" s="2886">
        <f>0.7371/E101</f>
        <v>0.75989690721649483</v>
      </c>
      <c r="F106" s="2886">
        <f>0.7371/F101</f>
        <v>0.75989690721649483</v>
      </c>
      <c r="G106" s="2886">
        <f>0.7371/G101</f>
        <v>0.75989690721649483</v>
      </c>
      <c r="H106" s="2886">
        <f>0.7371/H101</f>
        <v>0.75989690721649483</v>
      </c>
      <c r="I106" s="2886">
        <f>0.7371/I101</f>
        <v>0.75989690721649483</v>
      </c>
      <c r="J106" s="2886">
        <f>0.5659/J101</f>
        <v>0.58340206185567012</v>
      </c>
      <c r="K106" s="2886">
        <f>0.5659/K101</f>
        <v>0.58340206185567012</v>
      </c>
      <c r="L106" s="2886">
        <f>0.5659/L101</f>
        <v>0.58340206185567012</v>
      </c>
      <c r="M106" s="2886">
        <f>0.5659/M101</f>
        <v>0.58340206185567012</v>
      </c>
      <c r="N106" s="2886">
        <f>0.5659/N101</f>
        <v>0.58340206185567012</v>
      </c>
    </row>
    <row r="107" spans="1:14">
      <c r="A107" s="3306"/>
      <c r="B107" s="2885">
        <v>6</v>
      </c>
      <c r="C107" s="2886">
        <f>0.7608/C101</f>
        <v>0.78432989690721655</v>
      </c>
      <c r="D107" s="2886">
        <f>0.7608/D101</f>
        <v>0.78432989690721655</v>
      </c>
      <c r="E107" s="2886">
        <f>0.6482/E101</f>
        <v>0.66824742268041237</v>
      </c>
      <c r="F107" s="2886">
        <f>0.6482/F101</f>
        <v>0.66824742268041237</v>
      </c>
      <c r="G107" s="2886">
        <f>0.6482/G101</f>
        <v>0.66824742268041237</v>
      </c>
      <c r="H107" s="2886">
        <f>0.6482/H101</f>
        <v>0.66824742268041237</v>
      </c>
      <c r="I107" s="2886">
        <f>0.6482/I101</f>
        <v>0.66824742268041237</v>
      </c>
      <c r="J107" s="2886">
        <f>0.4525/J101</f>
        <v>0.46649484536082475</v>
      </c>
      <c r="K107" s="2886">
        <f>0.4525/K101</f>
        <v>0.46649484536082475</v>
      </c>
      <c r="L107" s="2886">
        <f>0.4525/L101</f>
        <v>0.46649484536082475</v>
      </c>
      <c r="M107" s="2886">
        <f>0.4525/M101</f>
        <v>0.46649484536082475</v>
      </c>
      <c r="N107" s="2886">
        <f>0.4525/N101</f>
        <v>0.46649484536082475</v>
      </c>
    </row>
    <row r="108" spans="1:14">
      <c r="A108" s="3306"/>
      <c r="B108" s="3130" t="s">
        <v>2967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07"/>
      <c r="B109" s="3131"/>
      <c r="C109" s="2888">
        <f>(-0.163*(C108^2)-0.59*C108+7617)*(10^(-4))/C101</f>
        <v>0.78525773195876292</v>
      </c>
      <c r="D109" s="2888">
        <f>(-0.163*(D108^2)-0.59*D108+7617)*(10^(-4))/D101</f>
        <v>0.78525773195876292</v>
      </c>
      <c r="E109" s="2888">
        <f>(-0.161*(E108^2)-7.509*E108+6533)*(10^(-4))/E101</f>
        <v>0.67350515463917526</v>
      </c>
      <c r="F109" s="2888">
        <f>(-0.161*(F108^2)-7.509*F108+6533)*(10^(-4))/F101</f>
        <v>0.67350515463917526</v>
      </c>
      <c r="G109" s="2888">
        <f>(-0.161*(G108^2)-7.509*G108+6533)*(10^(-4))/G101</f>
        <v>0.67350515463917526</v>
      </c>
      <c r="H109" s="2888">
        <f>(-0.161*(H108^2)-7.509*H108+6533)*(10^(-4))/H101</f>
        <v>0.67350515463917526</v>
      </c>
      <c r="I109" s="2888">
        <f>(-0.161*(I108^2)-7.509*I108+6533)*(10^(-4))/I101</f>
        <v>0.67350515463917526</v>
      </c>
      <c r="J109" s="2888">
        <f>(-0.214*(J108^2)-21.991*J108+4665)*(10^(-4))/J101</f>
        <v>0.4809278350515464</v>
      </c>
      <c r="K109" s="2888">
        <f>(-0.214*(K108^2)-21.991*K108+4665)*(10^(-4))/K101</f>
        <v>0.4809278350515464</v>
      </c>
      <c r="L109" s="2888">
        <f>(-0.214*(L108^2)-21.991*L108+4665)*(10^(-4))/L101</f>
        <v>0.4809278350515464</v>
      </c>
      <c r="M109" s="2888">
        <f>(-0.214*(M108^2)-21.991*M108+4665)*(10^(-4))/M101</f>
        <v>0.4809278350515464</v>
      </c>
      <c r="N109" s="2888">
        <f>(-0.214*(N108^2)-21.991*N108+4665)*(10^(-4))/N101</f>
        <v>0.4809278350515464</v>
      </c>
    </row>
    <row r="110" spans="1:14">
      <c r="A110" s="3303" t="s">
        <v>2968</v>
      </c>
      <c r="B110" s="3303"/>
      <c r="C110" s="3303"/>
      <c r="D110" s="3303"/>
      <c r="E110" s="3303"/>
      <c r="F110" s="3303"/>
      <c r="G110" s="3303"/>
      <c r="H110" s="3303"/>
      <c r="I110" s="3303"/>
      <c r="J110" s="3303"/>
      <c r="K110" s="2891"/>
      <c r="L110" s="2891"/>
      <c r="M110" s="2891"/>
      <c r="N110" s="2891"/>
    </row>
    <row r="112" spans="1:14" ht="13.5" thickBot="1"/>
    <row r="113" spans="1:13" ht="25.5" thickBot="1">
      <c r="A113" s="898" t="s">
        <v>2969</v>
      </c>
      <c r="B113" s="1285">
        <f>G3</f>
        <v>0.97</v>
      </c>
      <c r="C113" s="899" t="s">
        <v>2970</v>
      </c>
      <c r="D113" s="900">
        <f>SUMPRODUCT((A115:A118=F113)*(B114:M114=H113)*B115:M118)</f>
        <v>0</v>
      </c>
      <c r="E113" s="2714" t="s">
        <v>2800</v>
      </c>
      <c r="F113" s="2893">
        <f>E2</f>
        <v>0</v>
      </c>
      <c r="G113" s="2714" t="s">
        <v>2801</v>
      </c>
      <c r="H113" s="2893" t="str">
        <f>G2</f>
        <v>八级</v>
      </c>
      <c r="I113" s="2714"/>
      <c r="J113" s="2894"/>
      <c r="K113" s="2894"/>
      <c r="L113" s="2894"/>
      <c r="M113" s="2894"/>
    </row>
    <row r="114" spans="1:13">
      <c r="A114" s="903"/>
      <c r="B114" s="2895" t="s">
        <v>2971</v>
      </c>
      <c r="C114" s="2895" t="s">
        <v>2972</v>
      </c>
      <c r="D114" s="2895" t="s">
        <v>2973</v>
      </c>
      <c r="E114" s="2896" t="s">
        <v>2974</v>
      </c>
      <c r="F114" s="2896" t="s">
        <v>2975</v>
      </c>
      <c r="G114" s="2896" t="s">
        <v>2976</v>
      </c>
      <c r="H114" s="2897" t="s">
        <v>2977</v>
      </c>
      <c r="I114" s="2897" t="s">
        <v>2978</v>
      </c>
      <c r="J114" s="2898" t="s">
        <v>2979</v>
      </c>
      <c r="K114" s="2898" t="s">
        <v>2980</v>
      </c>
      <c r="L114" s="2898" t="s">
        <v>2981</v>
      </c>
      <c r="M114" s="2899" t="s">
        <v>2982</v>
      </c>
    </row>
    <row r="115" spans="1:13">
      <c r="A115" s="904" t="s">
        <v>2865</v>
      </c>
      <c r="B115" s="905">
        <f>ROUND(0.9335-0.0094*B113,4)</f>
        <v>0.9244</v>
      </c>
      <c r="C115" s="905">
        <f>B115</f>
        <v>0.9244</v>
      </c>
      <c r="D115" s="905">
        <f>ROUND(0.8331-0.0109*B113,4)</f>
        <v>0.82250000000000001</v>
      </c>
      <c r="E115" s="905">
        <f>D115</f>
        <v>0.82250000000000001</v>
      </c>
      <c r="F115" s="905">
        <f>E115</f>
        <v>0.82250000000000001</v>
      </c>
      <c r="G115" s="905">
        <f>F115</f>
        <v>0.82250000000000001</v>
      </c>
      <c r="H115" s="905">
        <f>G115</f>
        <v>0.82250000000000001</v>
      </c>
      <c r="I115" s="905">
        <f>ROUND(0.689-0.0155*B113,4)</f>
        <v>0.67400000000000004</v>
      </c>
      <c r="J115" s="905">
        <f t="shared" ref="J115:M118" si="33">I115</f>
        <v>0.67400000000000004</v>
      </c>
      <c r="K115" s="905">
        <f t="shared" si="33"/>
        <v>0.67400000000000004</v>
      </c>
      <c r="L115" s="905">
        <f t="shared" si="33"/>
        <v>0.67400000000000004</v>
      </c>
      <c r="M115" s="906">
        <f t="shared" si="33"/>
        <v>0.67400000000000004</v>
      </c>
    </row>
    <row r="116" spans="1:13">
      <c r="A116" s="904" t="s">
        <v>2866</v>
      </c>
      <c r="B116" s="905">
        <f>ROUND(0.949-0.012*B113,4)</f>
        <v>0.93740000000000001</v>
      </c>
      <c r="C116" s="905">
        <f>B116</f>
        <v>0.93740000000000001</v>
      </c>
      <c r="D116" s="905">
        <f>ROUND(0.8567-0.013*B113,4)</f>
        <v>0.84409999999999996</v>
      </c>
      <c r="E116" s="905">
        <f t="shared" ref="E116:H117" si="34">D116</f>
        <v>0.84409999999999996</v>
      </c>
      <c r="F116" s="905">
        <f t="shared" si="34"/>
        <v>0.84409999999999996</v>
      </c>
      <c r="G116" s="905">
        <f t="shared" si="34"/>
        <v>0.84409999999999996</v>
      </c>
      <c r="H116" s="905">
        <f t="shared" si="34"/>
        <v>0.84409999999999996</v>
      </c>
      <c r="I116" s="905">
        <f>ROUND(0.7694-0.014*B113,4)</f>
        <v>0.75580000000000003</v>
      </c>
      <c r="J116" s="905">
        <f t="shared" si="33"/>
        <v>0.75580000000000003</v>
      </c>
      <c r="K116" s="905">
        <f t="shared" si="33"/>
        <v>0.75580000000000003</v>
      </c>
      <c r="L116" s="905">
        <f t="shared" si="33"/>
        <v>0.75580000000000003</v>
      </c>
      <c r="M116" s="906">
        <f t="shared" si="33"/>
        <v>0.75580000000000003</v>
      </c>
    </row>
    <row r="117" spans="1:13">
      <c r="A117" s="904" t="s">
        <v>2867</v>
      </c>
      <c r="B117" s="905">
        <f>ROUND(0.8808-0.006*B113,4)</f>
        <v>0.875</v>
      </c>
      <c r="C117" s="905">
        <f>B117</f>
        <v>0.875</v>
      </c>
      <c r="D117" s="905">
        <f>ROUND(0.8748-0.008*B113,4)</f>
        <v>0.86699999999999999</v>
      </c>
      <c r="E117" s="905">
        <f t="shared" si="34"/>
        <v>0.86699999999999999</v>
      </c>
      <c r="F117" s="905">
        <f t="shared" si="34"/>
        <v>0.86699999999999999</v>
      </c>
      <c r="G117" s="905">
        <f t="shared" si="34"/>
        <v>0.86699999999999999</v>
      </c>
      <c r="H117" s="905">
        <f t="shared" si="34"/>
        <v>0.86699999999999999</v>
      </c>
      <c r="I117" s="905">
        <f>ROUND(0.7412-0.0095*B113,4)</f>
        <v>0.73199999999999998</v>
      </c>
      <c r="J117" s="905">
        <f t="shared" si="33"/>
        <v>0.73199999999999998</v>
      </c>
      <c r="K117" s="905">
        <f t="shared" si="33"/>
        <v>0.73199999999999998</v>
      </c>
      <c r="L117" s="905">
        <f t="shared" si="33"/>
        <v>0.73199999999999998</v>
      </c>
      <c r="M117" s="906">
        <f t="shared" si="33"/>
        <v>0.73199999999999998</v>
      </c>
    </row>
    <row r="118" spans="1:13" ht="13.5" thickBot="1">
      <c r="A118" s="713" t="s">
        <v>2868</v>
      </c>
      <c r="B118" s="907">
        <f>ROUND(0.7275-0.01*B113,4)</f>
        <v>0.71779999999999999</v>
      </c>
      <c r="C118" s="907">
        <f>B118</f>
        <v>0.71779999999999999</v>
      </c>
      <c r="D118" s="907">
        <f>ROUND(0.7043-0.012*B113,4)</f>
        <v>0.69269999999999998</v>
      </c>
      <c r="E118" s="907">
        <f>D118</f>
        <v>0.69269999999999998</v>
      </c>
      <c r="F118" s="907">
        <f>E118</f>
        <v>0.69269999999999998</v>
      </c>
      <c r="G118" s="907">
        <f>ROUND(0.6299-0.0122*B113,4)</f>
        <v>0.61809999999999998</v>
      </c>
      <c r="H118" s="907">
        <f>G118</f>
        <v>0.61809999999999998</v>
      </c>
      <c r="I118" s="907">
        <f>ROUND(0.5667-0.0136*B113,4)</f>
        <v>0.55349999999999999</v>
      </c>
      <c r="J118" s="907">
        <f t="shared" si="33"/>
        <v>0.55349999999999999</v>
      </c>
      <c r="K118" s="907">
        <f t="shared" si="33"/>
        <v>0.55349999999999999</v>
      </c>
      <c r="L118" s="907">
        <f t="shared" si="33"/>
        <v>0.55349999999999999</v>
      </c>
      <c r="M118" s="908">
        <f t="shared" si="33"/>
        <v>0.55349999999999999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0" t="s">
        <v>183</v>
      </c>
      <c r="B18" s="877" t="s">
        <v>560</v>
      </c>
      <c r="C18" s="878" t="s">
        <v>561</v>
      </c>
      <c r="D18" s="879"/>
      <c r="E18" s="877">
        <v>1</v>
      </c>
      <c r="F18" s="880" t="s">
        <v>562</v>
      </c>
      <c r="G18" s="881"/>
      <c r="H18" s="873"/>
      <c r="I18" s="873"/>
    </row>
    <row r="19" spans="1:9" s="882" customFormat="1" ht="19.5" customHeight="1">
      <c r="A19" s="3320"/>
      <c r="B19" s="3320" t="s">
        <v>563</v>
      </c>
      <c r="C19" s="878" t="s">
        <v>564</v>
      </c>
      <c r="D19" s="879"/>
      <c r="E19" s="877">
        <v>0.9</v>
      </c>
      <c r="F19" s="880" t="s">
        <v>565</v>
      </c>
      <c r="G19" s="881"/>
      <c r="H19" s="873"/>
      <c r="I19" s="873"/>
    </row>
    <row r="20" spans="1:9" s="882" customFormat="1" ht="19.5" customHeight="1">
      <c r="A20" s="3320"/>
      <c r="B20" s="3320"/>
      <c r="C20" s="878" t="s">
        <v>566</v>
      </c>
      <c r="D20" s="879"/>
      <c r="E20" s="877">
        <v>1.1000000000000001</v>
      </c>
      <c r="F20" s="880" t="s">
        <v>567</v>
      </c>
      <c r="G20" s="881"/>
      <c r="H20" s="873"/>
      <c r="I20" s="873"/>
    </row>
    <row r="21" spans="1:9" s="882" customFormat="1" ht="19.5" customHeight="1">
      <c r="A21" s="3320"/>
      <c r="B21" s="3320"/>
      <c r="C21" s="878" t="s">
        <v>568</v>
      </c>
      <c r="D21" s="879"/>
      <c r="E21" s="877">
        <v>0.8</v>
      </c>
      <c r="F21" s="880" t="s">
        <v>569</v>
      </c>
      <c r="G21" s="881"/>
      <c r="H21" s="873"/>
      <c r="I21" s="873"/>
    </row>
    <row r="22" spans="1:9" s="882" customFormat="1" ht="19.5" customHeight="1">
      <c r="A22" s="3320"/>
      <c r="B22" s="3320"/>
      <c r="C22" s="878" t="s">
        <v>570</v>
      </c>
      <c r="D22" s="879"/>
      <c r="E22" s="877">
        <v>0.5</v>
      </c>
      <c r="F22" s="880"/>
      <c r="G22" s="881"/>
      <c r="H22" s="873"/>
      <c r="I22" s="873"/>
    </row>
    <row r="23" spans="1:9" s="882" customFormat="1" ht="19.5" customHeight="1">
      <c r="A23" s="3320" t="s">
        <v>184</v>
      </c>
      <c r="B23" s="877" t="s">
        <v>560</v>
      </c>
      <c r="C23" s="878" t="s">
        <v>571</v>
      </c>
      <c r="D23" s="879"/>
      <c r="E23" s="877">
        <v>1</v>
      </c>
      <c r="F23" s="880" t="s">
        <v>572</v>
      </c>
      <c r="G23" s="881"/>
      <c r="H23" s="873"/>
      <c r="I23" s="873"/>
    </row>
    <row r="24" spans="1:9" s="882" customFormat="1" ht="19.5" customHeight="1">
      <c r="A24" s="3320"/>
      <c r="B24" s="3320" t="s">
        <v>563</v>
      </c>
      <c r="C24" s="878" t="s">
        <v>573</v>
      </c>
      <c r="D24" s="879"/>
      <c r="E24" s="877">
        <v>0.5</v>
      </c>
      <c r="F24" s="880"/>
      <c r="G24" s="881"/>
      <c r="H24" s="873"/>
      <c r="I24" s="873"/>
    </row>
    <row r="25" spans="1:9" s="882" customFormat="1" ht="19.5" customHeight="1">
      <c r="A25" s="3320"/>
      <c r="B25" s="3320"/>
      <c r="C25" s="878" t="s">
        <v>574</v>
      </c>
      <c r="D25" s="879"/>
      <c r="E25" s="877">
        <v>1.1000000000000001</v>
      </c>
      <c r="F25" s="880"/>
      <c r="G25" s="881"/>
      <c r="H25" s="873"/>
      <c r="I25" s="873"/>
    </row>
    <row r="26" spans="1:9" s="882" customFormat="1" ht="19.5" customHeight="1">
      <c r="A26" s="3320"/>
      <c r="B26" s="3320"/>
      <c r="C26" s="878" t="s">
        <v>575</v>
      </c>
      <c r="D26" s="879"/>
      <c r="E26" s="877">
        <v>1.1000000000000001</v>
      </c>
      <c r="F26" s="880"/>
      <c r="G26" s="881"/>
      <c r="H26" s="873"/>
      <c r="I26" s="873"/>
    </row>
    <row r="27" spans="1:9" s="882" customFormat="1" ht="19.5" customHeight="1">
      <c r="A27" s="3320"/>
      <c r="B27" s="3320"/>
      <c r="C27" s="878" t="s">
        <v>576</v>
      </c>
      <c r="D27" s="879"/>
      <c r="E27" s="877">
        <v>0.9</v>
      </c>
      <c r="F27" s="880" t="s">
        <v>577</v>
      </c>
      <c r="G27" s="881"/>
      <c r="H27" s="873"/>
      <c r="I27" s="873"/>
    </row>
    <row r="28" spans="1:9" s="882" customFormat="1" ht="19.5" customHeight="1">
      <c r="A28" s="3320"/>
      <c r="B28" s="3320"/>
      <c r="C28" s="878" t="s">
        <v>578</v>
      </c>
      <c r="D28" s="879"/>
      <c r="E28" s="877">
        <v>0.9</v>
      </c>
      <c r="F28" s="880" t="s">
        <v>579</v>
      </c>
      <c r="G28" s="881"/>
      <c r="H28" s="873"/>
      <c r="I28" s="873"/>
    </row>
    <row r="29" spans="1:9" s="882" customFormat="1" ht="19.5" customHeight="1">
      <c r="A29" s="3320"/>
      <c r="B29" s="3320"/>
      <c r="C29" s="878" t="s">
        <v>580</v>
      </c>
      <c r="D29" s="879"/>
      <c r="E29" s="877">
        <v>0.9</v>
      </c>
      <c r="F29" s="880" t="s">
        <v>581</v>
      </c>
      <c r="G29" s="881"/>
      <c r="H29" s="873"/>
      <c r="I29" s="873"/>
    </row>
    <row r="30" spans="1:9" s="882" customFormat="1" ht="19.5" customHeight="1">
      <c r="A30" s="3320"/>
      <c r="B30" s="3320"/>
      <c r="C30" s="878" t="s">
        <v>582</v>
      </c>
      <c r="D30" s="879"/>
      <c r="E30" s="877">
        <v>0.9</v>
      </c>
      <c r="F30" s="880" t="s">
        <v>583</v>
      </c>
      <c r="G30" s="881"/>
      <c r="H30" s="873"/>
      <c r="I30" s="873"/>
    </row>
    <row r="31" spans="1:9" s="882" customFormat="1" ht="19.5" customHeight="1">
      <c r="A31" s="3320"/>
      <c r="B31" s="3320"/>
      <c r="C31" s="878" t="s">
        <v>584</v>
      </c>
      <c r="D31" s="879"/>
      <c r="E31" s="877">
        <v>0.8</v>
      </c>
      <c r="F31" s="880" t="s">
        <v>585</v>
      </c>
      <c r="G31" s="881"/>
      <c r="H31" s="873"/>
      <c r="I31" s="873"/>
    </row>
    <row r="32" spans="1:9" s="882" customFormat="1" ht="19.5" customHeight="1">
      <c r="A32" s="3320"/>
      <c r="B32" s="3320"/>
      <c r="C32" s="878" t="s">
        <v>586</v>
      </c>
      <c r="D32" s="879"/>
      <c r="E32" s="877">
        <v>0.8</v>
      </c>
      <c r="F32" s="880" t="s">
        <v>587</v>
      </c>
      <c r="G32" s="881"/>
      <c r="H32" s="873"/>
      <c r="I32" s="873"/>
    </row>
    <row r="33" spans="1:9" s="882" customFormat="1" ht="19.5" customHeight="1">
      <c r="A33" s="3320" t="s">
        <v>185</v>
      </c>
      <c r="B33" s="877" t="s">
        <v>560</v>
      </c>
      <c r="C33" s="878" t="s">
        <v>588</v>
      </c>
      <c r="D33" s="879"/>
      <c r="E33" s="877">
        <v>1</v>
      </c>
      <c r="F33" s="880" t="s">
        <v>589</v>
      </c>
      <c r="G33" s="881"/>
      <c r="H33" s="873"/>
      <c r="I33" s="873"/>
    </row>
    <row r="34" spans="1:9" s="882" customFormat="1" ht="19.5" customHeight="1">
      <c r="A34" s="3320"/>
      <c r="B34" s="877" t="s">
        <v>563</v>
      </c>
      <c r="C34" s="878" t="s">
        <v>590</v>
      </c>
      <c r="D34" s="879"/>
      <c r="E34" s="877">
        <v>1.5</v>
      </c>
      <c r="F34" s="880" t="s">
        <v>591</v>
      </c>
      <c r="G34" s="881"/>
      <c r="H34" s="873"/>
      <c r="I34" s="873"/>
    </row>
    <row r="35" spans="1:9" s="882" customFormat="1" ht="19.5" customHeight="1">
      <c r="A35" s="3320" t="s">
        <v>186</v>
      </c>
      <c r="B35" s="877" t="s">
        <v>560</v>
      </c>
      <c r="C35" s="878" t="s">
        <v>592</v>
      </c>
      <c r="D35" s="879"/>
      <c r="E35" s="877">
        <v>1</v>
      </c>
      <c r="F35" s="880" t="s">
        <v>593</v>
      </c>
      <c r="G35" s="881"/>
      <c r="H35" s="873"/>
      <c r="I35" s="873"/>
    </row>
    <row r="36" spans="1:9" s="882" customFormat="1" ht="19.5" customHeight="1">
      <c r="A36" s="3320"/>
      <c r="B36" s="3320" t="s">
        <v>563</v>
      </c>
      <c r="C36" s="878" t="s">
        <v>594</v>
      </c>
      <c r="D36" s="879"/>
      <c r="E36" s="877">
        <v>1</v>
      </c>
      <c r="F36" s="880" t="s">
        <v>595</v>
      </c>
      <c r="G36" s="881"/>
      <c r="H36" s="873"/>
      <c r="I36" s="873"/>
    </row>
    <row r="37" spans="1:9" s="882" customFormat="1" ht="19.5" customHeight="1">
      <c r="A37" s="3320"/>
      <c r="B37" s="3320"/>
      <c r="C37" s="878" t="s">
        <v>596</v>
      </c>
      <c r="D37" s="879"/>
      <c r="E37" s="877">
        <v>1.5</v>
      </c>
      <c r="F37" s="880" t="s">
        <v>597</v>
      </c>
      <c r="G37" s="881"/>
      <c r="H37" s="873"/>
      <c r="I37" s="873"/>
    </row>
    <row r="38" spans="1:9" s="882" customFormat="1" ht="19.5" customHeight="1">
      <c r="A38" s="3320"/>
      <c r="B38" s="3320"/>
      <c r="C38" s="878" t="s">
        <v>598</v>
      </c>
      <c r="D38" s="879"/>
      <c r="E38" s="877">
        <v>1</v>
      </c>
      <c r="F38" s="880" t="s">
        <v>599</v>
      </c>
      <c r="G38" s="881"/>
      <c r="H38" s="873"/>
      <c r="I38" s="873"/>
    </row>
    <row r="39" spans="1:9" s="882" customFormat="1" ht="19.5" customHeight="1">
      <c r="A39" s="3320"/>
      <c r="B39" s="332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0" t="s">
        <v>614</v>
      </c>
      <c r="C61" s="813" t="s">
        <v>615</v>
      </c>
      <c r="D61" s="813" t="s">
        <v>616</v>
      </c>
      <c r="E61" s="890">
        <v>0.5</v>
      </c>
      <c r="F61" s="877">
        <v>80</v>
      </c>
    </row>
    <row r="62" spans="1:8" s="873" customFormat="1" ht="24">
      <c r="A62" s="877">
        <v>2</v>
      </c>
      <c r="B62" s="3320"/>
      <c r="C62" s="813" t="s">
        <v>617</v>
      </c>
      <c r="D62" s="813" t="s">
        <v>618</v>
      </c>
      <c r="E62" s="890">
        <v>0.5</v>
      </c>
      <c r="F62" s="877">
        <v>80</v>
      </c>
    </row>
    <row r="63" spans="1:8" s="873" customFormat="1" ht="36">
      <c r="A63" s="877">
        <v>3</v>
      </c>
      <c r="B63" s="3320"/>
      <c r="C63" s="813" t="s">
        <v>619</v>
      </c>
      <c r="D63" s="813" t="s">
        <v>620</v>
      </c>
      <c r="E63" s="890">
        <v>0.5</v>
      </c>
      <c r="F63" s="877">
        <v>80</v>
      </c>
    </row>
    <row r="64" spans="1:8" s="873" customFormat="1" ht="36">
      <c r="A64" s="877">
        <v>4</v>
      </c>
      <c r="B64" s="3320"/>
      <c r="C64" s="813" t="s">
        <v>621</v>
      </c>
      <c r="D64" s="813" t="s">
        <v>622</v>
      </c>
      <c r="E64" s="890">
        <v>0.4</v>
      </c>
      <c r="F64" s="877">
        <v>60</v>
      </c>
    </row>
    <row r="65" spans="1:6" s="873" customFormat="1" ht="36">
      <c r="A65" s="877">
        <v>5</v>
      </c>
      <c r="B65" s="3320"/>
      <c r="C65" s="813" t="s">
        <v>623</v>
      </c>
      <c r="D65" s="813" t="s">
        <v>624</v>
      </c>
      <c r="E65" s="890">
        <v>0.2</v>
      </c>
      <c r="F65" s="877">
        <v>30</v>
      </c>
    </row>
    <row r="66" spans="1:6" s="873" customFormat="1" ht="36">
      <c r="A66" s="877">
        <v>6</v>
      </c>
      <c r="B66" s="3320"/>
      <c r="C66" s="813" t="s">
        <v>625</v>
      </c>
      <c r="D66" s="813" t="s">
        <v>626</v>
      </c>
      <c r="E66" s="890">
        <v>0.3</v>
      </c>
      <c r="F66" s="877">
        <v>50</v>
      </c>
    </row>
    <row r="67" spans="1:6" s="873" customFormat="1" ht="36">
      <c r="A67" s="877">
        <v>7</v>
      </c>
      <c r="B67" s="3320"/>
      <c r="C67" s="813" t="s">
        <v>627</v>
      </c>
      <c r="D67" s="813" t="s">
        <v>628</v>
      </c>
      <c r="E67" s="890">
        <v>0.2</v>
      </c>
      <c r="F67" s="877">
        <v>30</v>
      </c>
    </row>
    <row r="68" spans="1:6" s="873" customFormat="1" ht="36">
      <c r="A68" s="877">
        <v>8</v>
      </c>
      <c r="B68" s="3320"/>
      <c r="C68" s="813" t="s">
        <v>629</v>
      </c>
      <c r="D68" s="813" t="s">
        <v>630</v>
      </c>
      <c r="E68" s="890">
        <v>0.2</v>
      </c>
      <c r="F68" s="877">
        <v>30</v>
      </c>
    </row>
    <row r="69" spans="1:6" s="873" customFormat="1" ht="36">
      <c r="A69" s="877">
        <v>9</v>
      </c>
      <c r="B69" s="3320"/>
      <c r="C69" s="813" t="s">
        <v>631</v>
      </c>
      <c r="D69" s="813" t="s">
        <v>632</v>
      </c>
      <c r="E69" s="890">
        <v>0.2</v>
      </c>
      <c r="F69" s="877">
        <v>30</v>
      </c>
    </row>
    <row r="70" spans="1:6" s="873" customFormat="1" ht="48">
      <c r="A70" s="877">
        <v>10</v>
      </c>
      <c r="B70" s="3320"/>
      <c r="C70" s="813" t="s">
        <v>633</v>
      </c>
      <c r="D70" s="813" t="s">
        <v>634</v>
      </c>
      <c r="E70" s="890">
        <v>0.2</v>
      </c>
      <c r="F70" s="877">
        <v>30</v>
      </c>
    </row>
    <row r="71" spans="1:6" s="873" customFormat="1" ht="48">
      <c r="A71" s="877">
        <v>11</v>
      </c>
      <c r="B71" s="3320"/>
      <c r="C71" s="813" t="s">
        <v>635</v>
      </c>
      <c r="D71" s="813" t="s">
        <v>636</v>
      </c>
      <c r="E71" s="890">
        <v>0.2</v>
      </c>
      <c r="F71" s="877">
        <v>30</v>
      </c>
    </row>
    <row r="72" spans="1:6" s="873" customFormat="1" ht="36">
      <c r="A72" s="877">
        <v>12</v>
      </c>
      <c r="B72" s="3320"/>
      <c r="C72" s="813" t="s">
        <v>637</v>
      </c>
      <c r="D72" s="813" t="s">
        <v>638</v>
      </c>
      <c r="E72" s="890">
        <v>0.5</v>
      </c>
      <c r="F72" s="877">
        <v>80</v>
      </c>
    </row>
    <row r="73" spans="1:6" s="873" customFormat="1" ht="24">
      <c r="A73" s="877">
        <v>13</v>
      </c>
      <c r="B73" s="3320"/>
      <c r="C73" s="813" t="s">
        <v>639</v>
      </c>
      <c r="D73" s="813" t="s">
        <v>640</v>
      </c>
      <c r="E73" s="890">
        <v>0.4</v>
      </c>
      <c r="F73" s="877">
        <v>60</v>
      </c>
    </row>
    <row r="74" spans="1:6" s="873" customFormat="1" ht="24">
      <c r="A74" s="877">
        <v>14</v>
      </c>
      <c r="B74" s="3320"/>
      <c r="C74" s="813" t="s">
        <v>641</v>
      </c>
      <c r="D74" s="813" t="s">
        <v>642</v>
      </c>
      <c r="E74" s="890">
        <v>0.2</v>
      </c>
      <c r="F74" s="877">
        <v>30</v>
      </c>
    </row>
    <row r="75" spans="1:6" s="873" customFormat="1" ht="24">
      <c r="A75" s="877">
        <v>15</v>
      </c>
      <c r="B75" s="3320"/>
      <c r="C75" s="813" t="s">
        <v>643</v>
      </c>
      <c r="D75" s="813" t="s">
        <v>644</v>
      </c>
      <c r="E75" s="890">
        <v>0.2</v>
      </c>
      <c r="F75" s="877">
        <v>30</v>
      </c>
    </row>
    <row r="76" spans="1:6" s="873" customFormat="1" ht="24">
      <c r="A76" s="877">
        <v>16</v>
      </c>
      <c r="B76" s="3320" t="s">
        <v>645</v>
      </c>
      <c r="C76" s="813" t="s">
        <v>646</v>
      </c>
      <c r="D76" s="813" t="s">
        <v>647</v>
      </c>
      <c r="E76" s="890">
        <v>0.5</v>
      </c>
      <c r="F76" s="877">
        <v>80</v>
      </c>
    </row>
    <row r="77" spans="1:6" s="873" customFormat="1" ht="24">
      <c r="A77" s="877">
        <v>17</v>
      </c>
      <c r="B77" s="3320"/>
      <c r="C77" s="813" t="s">
        <v>648</v>
      </c>
      <c r="D77" s="813" t="s">
        <v>649</v>
      </c>
      <c r="E77" s="890">
        <v>0.5</v>
      </c>
      <c r="F77" s="877">
        <v>80</v>
      </c>
    </row>
    <row r="78" spans="1:6" s="873" customFormat="1" ht="24">
      <c r="A78" s="877">
        <v>18</v>
      </c>
      <c r="B78" s="3320"/>
      <c r="C78" s="813" t="s">
        <v>650</v>
      </c>
      <c r="D78" s="813" t="s">
        <v>651</v>
      </c>
      <c r="E78" s="890">
        <v>0.2</v>
      </c>
      <c r="F78" s="877">
        <v>30</v>
      </c>
    </row>
    <row r="79" spans="1:6" s="873" customFormat="1" ht="24">
      <c r="A79" s="877">
        <v>19</v>
      </c>
      <c r="B79" s="3320"/>
      <c r="C79" s="813" t="s">
        <v>652</v>
      </c>
      <c r="D79" s="813" t="s">
        <v>653</v>
      </c>
      <c r="E79" s="890">
        <v>0.5</v>
      </c>
      <c r="F79" s="877">
        <v>80</v>
      </c>
    </row>
    <row r="80" spans="1:6" s="873" customFormat="1" ht="36">
      <c r="A80" s="877">
        <v>20</v>
      </c>
      <c r="B80" s="3320"/>
      <c r="C80" s="813" t="s">
        <v>654</v>
      </c>
      <c r="D80" s="813" t="s">
        <v>655</v>
      </c>
      <c r="E80" s="890">
        <v>0.2</v>
      </c>
      <c r="F80" s="877">
        <v>30</v>
      </c>
    </row>
    <row r="81" spans="1:6" s="873" customFormat="1" ht="36">
      <c r="A81" s="877">
        <v>21</v>
      </c>
      <c r="B81" s="3320"/>
      <c r="C81" s="813" t="s">
        <v>656</v>
      </c>
      <c r="D81" s="813" t="s">
        <v>657</v>
      </c>
      <c r="E81" s="890">
        <v>0.2</v>
      </c>
      <c r="F81" s="877">
        <v>30</v>
      </c>
    </row>
    <row r="82" spans="1:6" s="873" customFormat="1" ht="48">
      <c r="A82" s="877">
        <v>22</v>
      </c>
      <c r="B82" s="3320"/>
      <c r="C82" s="813" t="s">
        <v>658</v>
      </c>
      <c r="D82" s="813" t="s">
        <v>659</v>
      </c>
      <c r="E82" s="890">
        <v>0.2</v>
      </c>
      <c r="F82" s="877">
        <v>30</v>
      </c>
    </row>
    <row r="83" spans="1:6" s="873" customFormat="1" ht="48">
      <c r="A83" s="877">
        <v>23</v>
      </c>
      <c r="B83" s="3320"/>
      <c r="C83" s="813" t="s">
        <v>660</v>
      </c>
      <c r="D83" s="813" t="s">
        <v>661</v>
      </c>
      <c r="E83" s="890">
        <v>0.2</v>
      </c>
      <c r="F83" s="877">
        <v>30</v>
      </c>
    </row>
    <row r="84" spans="1:6" s="873" customFormat="1" ht="36">
      <c r="A84" s="877">
        <v>24</v>
      </c>
      <c r="B84" s="3320"/>
      <c r="C84" s="813" t="s">
        <v>662</v>
      </c>
      <c r="D84" s="813" t="s">
        <v>663</v>
      </c>
      <c r="E84" s="890">
        <v>0.2</v>
      </c>
      <c r="F84" s="877">
        <v>30</v>
      </c>
    </row>
    <row r="85" spans="1:6" s="873" customFormat="1" ht="36">
      <c r="A85" s="877">
        <v>25</v>
      </c>
      <c r="B85" s="3320"/>
      <c r="C85" s="813" t="s">
        <v>664</v>
      </c>
      <c r="D85" s="813" t="s">
        <v>665</v>
      </c>
      <c r="E85" s="890">
        <v>0.5</v>
      </c>
      <c r="F85" s="877">
        <v>80</v>
      </c>
    </row>
    <row r="86" spans="1:6" s="873" customFormat="1" ht="36">
      <c r="A86" s="877">
        <v>26</v>
      </c>
      <c r="B86" s="3320"/>
      <c r="C86" s="813" t="s">
        <v>666</v>
      </c>
      <c r="D86" s="813" t="s">
        <v>667</v>
      </c>
      <c r="E86" s="890">
        <v>0.2</v>
      </c>
      <c r="F86" s="877">
        <v>30</v>
      </c>
    </row>
    <row r="87" spans="1:6" s="873" customFormat="1" ht="36">
      <c r="A87" s="877">
        <v>27</v>
      </c>
      <c r="B87" s="3320"/>
      <c r="C87" s="813" t="s">
        <v>668</v>
      </c>
      <c r="D87" s="813" t="s">
        <v>669</v>
      </c>
      <c r="E87" s="890">
        <v>0.2</v>
      </c>
      <c r="F87" s="877">
        <v>30</v>
      </c>
    </row>
    <row r="88" spans="1:6" s="873" customFormat="1" ht="36">
      <c r="A88" s="877">
        <v>28</v>
      </c>
      <c r="B88" s="3320"/>
      <c r="C88" s="813" t="s">
        <v>670</v>
      </c>
      <c r="D88" s="813" t="s">
        <v>671</v>
      </c>
      <c r="E88" s="890">
        <v>0.2</v>
      </c>
      <c r="F88" s="877">
        <v>30</v>
      </c>
    </row>
    <row r="89" spans="1:6" s="873" customFormat="1" ht="24">
      <c r="A89" s="877">
        <v>29</v>
      </c>
      <c r="B89" s="3320"/>
      <c r="C89" s="813" t="s">
        <v>672</v>
      </c>
      <c r="D89" s="813" t="s">
        <v>673</v>
      </c>
      <c r="E89" s="890">
        <v>0.2</v>
      </c>
      <c r="F89" s="877">
        <v>30</v>
      </c>
    </row>
    <row r="90" spans="1:6" s="873" customFormat="1" ht="24">
      <c r="A90" s="877">
        <v>30</v>
      </c>
      <c r="B90" s="3320"/>
      <c r="C90" s="813" t="s">
        <v>674</v>
      </c>
      <c r="D90" s="813" t="s">
        <v>675</v>
      </c>
      <c r="E90" s="890">
        <v>0.2</v>
      </c>
      <c r="F90" s="877">
        <v>30</v>
      </c>
    </row>
    <row r="91" spans="1:6" s="873" customFormat="1" ht="36">
      <c r="A91" s="877">
        <v>31</v>
      </c>
      <c r="B91" s="3320"/>
      <c r="C91" s="813" t="s">
        <v>676</v>
      </c>
      <c r="D91" s="813" t="s">
        <v>677</v>
      </c>
      <c r="E91" s="890">
        <v>0.2</v>
      </c>
      <c r="F91" s="877">
        <v>30</v>
      </c>
    </row>
    <row r="92" spans="1:6" s="873" customFormat="1" ht="24">
      <c r="A92" s="877">
        <v>32</v>
      </c>
      <c r="B92" s="3320" t="s">
        <v>678</v>
      </c>
      <c r="C92" s="877" t="s">
        <v>679</v>
      </c>
      <c r="D92" s="813" t="s">
        <v>680</v>
      </c>
      <c r="E92" s="890">
        <v>0.2</v>
      </c>
      <c r="F92" s="877">
        <v>30</v>
      </c>
    </row>
    <row r="93" spans="1:6" s="873" customFormat="1" ht="36">
      <c r="A93" s="877">
        <v>33</v>
      </c>
      <c r="B93" s="3320"/>
      <c r="C93" s="877" t="s">
        <v>681</v>
      </c>
      <c r="D93" s="813" t="s">
        <v>682</v>
      </c>
      <c r="E93" s="890">
        <v>0.2</v>
      </c>
      <c r="F93" s="877">
        <v>30</v>
      </c>
    </row>
    <row r="94" spans="1:6" s="873" customFormat="1" ht="48">
      <c r="A94" s="877">
        <v>34</v>
      </c>
      <c r="B94" s="3320"/>
      <c r="C94" s="877" t="s">
        <v>683</v>
      </c>
      <c r="D94" s="813" t="s">
        <v>684</v>
      </c>
      <c r="E94" s="890">
        <v>0.2</v>
      </c>
      <c r="F94" s="877">
        <v>30</v>
      </c>
    </row>
    <row r="95" spans="1:6" s="873" customFormat="1" ht="36">
      <c r="A95" s="877">
        <v>35</v>
      </c>
      <c r="B95" s="3320"/>
      <c r="C95" s="877" t="s">
        <v>685</v>
      </c>
      <c r="D95" s="813" t="s">
        <v>686</v>
      </c>
      <c r="E95" s="890">
        <v>0.2</v>
      </c>
      <c r="F95" s="877">
        <v>30</v>
      </c>
    </row>
    <row r="96" spans="1:6" s="873" customFormat="1" ht="48">
      <c r="A96" s="877">
        <v>36</v>
      </c>
      <c r="B96" s="3320"/>
      <c r="C96" s="813" t="s">
        <v>687</v>
      </c>
      <c r="D96" s="813" t="s">
        <v>688</v>
      </c>
      <c r="E96" s="890">
        <v>0.2</v>
      </c>
      <c r="F96" s="877">
        <v>30</v>
      </c>
    </row>
    <row r="97" spans="1:6" s="873" customFormat="1" ht="36">
      <c r="A97" s="877">
        <v>37</v>
      </c>
      <c r="B97" s="3320"/>
      <c r="C97" s="877" t="s">
        <v>689</v>
      </c>
      <c r="D97" s="813" t="s">
        <v>690</v>
      </c>
      <c r="E97" s="890">
        <v>0.2</v>
      </c>
      <c r="F97" s="877">
        <v>30</v>
      </c>
    </row>
    <row r="98" spans="1:6" s="873" customFormat="1" ht="36">
      <c r="A98" s="877">
        <v>38</v>
      </c>
      <c r="B98" s="3320"/>
      <c r="C98" s="877" t="s">
        <v>691</v>
      </c>
      <c r="D98" s="813" t="s">
        <v>692</v>
      </c>
      <c r="E98" s="890">
        <v>0.2</v>
      </c>
      <c r="F98" s="877">
        <v>30</v>
      </c>
    </row>
    <row r="99" spans="1:6" s="873" customFormat="1" ht="36">
      <c r="A99" s="877">
        <v>39</v>
      </c>
      <c r="B99" s="3320" t="s">
        <v>693</v>
      </c>
      <c r="C99" s="877" t="s">
        <v>694</v>
      </c>
      <c r="D99" s="813" t="s">
        <v>695</v>
      </c>
      <c r="E99" s="890">
        <v>0.3</v>
      </c>
      <c r="F99" s="877">
        <v>50</v>
      </c>
    </row>
    <row r="100" spans="1:6" s="873" customFormat="1" ht="24">
      <c r="A100" s="877">
        <v>40</v>
      </c>
      <c r="B100" s="3320"/>
      <c r="C100" s="877" t="s">
        <v>696</v>
      </c>
      <c r="D100" s="813" t="s">
        <v>697</v>
      </c>
      <c r="E100" s="890">
        <v>0.2</v>
      </c>
      <c r="F100" s="877">
        <v>30</v>
      </c>
    </row>
    <row r="101" spans="1:6" s="873" customFormat="1" ht="36">
      <c r="A101" s="877">
        <v>41</v>
      </c>
      <c r="B101" s="332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0" t="s">
        <v>708</v>
      </c>
      <c r="C105" s="877" t="s">
        <v>709</v>
      </c>
      <c r="D105" s="813" t="s">
        <v>710</v>
      </c>
      <c r="E105" s="890">
        <v>0.2</v>
      </c>
      <c r="F105" s="877">
        <v>30</v>
      </c>
    </row>
    <row r="106" spans="1:6" s="873" customFormat="1" ht="36">
      <c r="A106" s="877">
        <v>46</v>
      </c>
      <c r="B106" s="3320"/>
      <c r="C106" s="877" t="s">
        <v>711</v>
      </c>
      <c r="D106" s="813" t="s">
        <v>712</v>
      </c>
      <c r="E106" s="890">
        <v>0.2</v>
      </c>
      <c r="F106" s="877">
        <v>30</v>
      </c>
    </row>
    <row r="107" spans="1:6" s="873" customFormat="1" ht="36">
      <c r="A107" s="877">
        <v>47</v>
      </c>
      <c r="B107" s="3320" t="s">
        <v>713</v>
      </c>
      <c r="C107" s="877" t="s">
        <v>714</v>
      </c>
      <c r="D107" s="813" t="s">
        <v>715</v>
      </c>
      <c r="E107" s="890">
        <v>0.3</v>
      </c>
      <c r="F107" s="877">
        <v>50</v>
      </c>
    </row>
    <row r="108" spans="1:6" s="873" customFormat="1" ht="36">
      <c r="A108" s="877">
        <v>48</v>
      </c>
      <c r="B108" s="332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0" t="s">
        <v>724</v>
      </c>
      <c r="C111" s="877" t="s">
        <v>725</v>
      </c>
      <c r="D111" s="813" t="s">
        <v>726</v>
      </c>
      <c r="E111" s="890">
        <v>0.2</v>
      </c>
      <c r="F111" s="877">
        <v>30</v>
      </c>
    </row>
    <row r="112" spans="1:6" s="873" customFormat="1" ht="24">
      <c r="A112" s="877">
        <v>52</v>
      </c>
      <c r="B112" s="3320"/>
      <c r="C112" s="877" t="s">
        <v>727</v>
      </c>
      <c r="D112" s="813" t="s">
        <v>728</v>
      </c>
      <c r="E112" s="890">
        <v>0.2</v>
      </c>
      <c r="F112" s="877">
        <v>30</v>
      </c>
    </row>
    <row r="113" spans="1:6" s="873" customFormat="1" ht="24">
      <c r="A113" s="877">
        <v>53</v>
      </c>
      <c r="B113" s="332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0" t="s">
        <v>737</v>
      </c>
      <c r="C116" s="877" t="s">
        <v>738</v>
      </c>
      <c r="D116" s="813" t="s">
        <v>739</v>
      </c>
      <c r="E116" s="890">
        <v>0.2</v>
      </c>
      <c r="F116" s="877">
        <v>30</v>
      </c>
    </row>
    <row r="117" spans="1:6" ht="36">
      <c r="A117" s="877">
        <v>57</v>
      </c>
      <c r="B117" s="332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1.3759999999999999</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4" t="s">
        <v>2991</v>
      </c>
    </row>
    <row r="2" spans="1:5" ht="15.75">
      <c r="A2" s="2900" t="s">
        <v>2983</v>
      </c>
      <c r="B2" s="2901" t="e">
        <f ca="1">SUMIF(B6:B13,"&lt;&gt;#ref!",B6:B13)</f>
        <v>#DIV/0!</v>
      </c>
      <c r="C2" s="2900" t="s">
        <v>2984</v>
      </c>
      <c r="D2" s="2900" t="s">
        <v>2985</v>
      </c>
      <c r="E2" s="2901" t="e">
        <f ca="1">SUM(E6:E13)</f>
        <v>#REF!</v>
      </c>
    </row>
    <row r="3" spans="1:5" ht="15.75">
      <c r="A3" s="2900" t="s">
        <v>2986</v>
      </c>
      <c r="B3" s="2901" t="e">
        <f ca="1">ROUND(B2*10000/E2,0)</f>
        <v>#DIV/0!</v>
      </c>
      <c r="C3" s="2900" t="s">
        <v>2992</v>
      </c>
      <c r="D3" s="2902"/>
      <c r="E3" s="2902"/>
    </row>
    <row r="4" spans="1:5" ht="15.75">
      <c r="A4" s="2903"/>
      <c r="B4" s="2902"/>
      <c r="C4" s="2902"/>
      <c r="D4" s="2902"/>
      <c r="E4" s="2902"/>
    </row>
    <row r="5" spans="1:5" ht="28.5">
      <c r="A5" s="2904" t="s">
        <v>2987</v>
      </c>
      <c r="B5" s="2900" t="s">
        <v>2988</v>
      </c>
      <c r="C5" s="2901"/>
      <c r="D5" s="2902"/>
      <c r="E5" s="2900" t="s">
        <v>2989</v>
      </c>
    </row>
    <row r="6" spans="1:5" ht="15.75">
      <c r="A6" s="2905" t="s">
        <v>2990</v>
      </c>
      <c r="B6" s="2901" t="e">
        <f ca="1">SUMIF(INDIRECT("'"&amp;A6&amp;"'"&amp;"!A:A"),"总价",INDIRECT("'"&amp;A6&amp;"'"&amp;"!B:B"))</f>
        <v>#DIV/0!</v>
      </c>
      <c r="C6" s="2900" t="s">
        <v>2984</v>
      </c>
      <c r="D6" s="2902"/>
      <c r="E6" s="2568">
        <f ca="1">SUMIF(INDIRECT("'"&amp;A6&amp;"'"&amp;"!C:C"),"建筑面积",INDIRECT("'"&amp;A6&amp;"'"&amp;"!D:D"))</f>
        <v>0</v>
      </c>
    </row>
    <row r="7" spans="1:5" ht="15.75">
      <c r="A7" s="2905"/>
      <c r="B7" s="2901" t="e">
        <f ca="1">SUMIF(INDIRECT("'"&amp;A7&amp;"'"&amp;"!A:A"),"总价",INDIRECT("'"&amp;A7&amp;"'"&amp;"!B:B"))</f>
        <v>#REF!</v>
      </c>
      <c r="C7" s="2900" t="s">
        <v>2984</v>
      </c>
      <c r="D7" s="2902"/>
      <c r="E7" s="2568" t="e">
        <f t="shared" ref="E7:E13" ca="1" si="0">SUMIF(INDIRECT("'"&amp;A7&amp;"'"&amp;"!C:C"),"建筑面积",INDIRECT("'"&amp;A7&amp;"'"&amp;"!D:D"))</f>
        <v>#REF!</v>
      </c>
    </row>
    <row r="8" spans="1:5" ht="15.75">
      <c r="A8" s="2905"/>
      <c r="B8" s="2901" t="e">
        <f t="shared" ref="B8:B13" ca="1" si="1">SUMIF(INDIRECT("'"&amp;A8&amp;"'"&amp;"!A:A"),"总价",INDIRECT("'"&amp;A8&amp;"'"&amp;"!B:B"))</f>
        <v>#REF!</v>
      </c>
      <c r="C8" s="2900" t="s">
        <v>2984</v>
      </c>
      <c r="D8" s="2902"/>
      <c r="E8" s="2568" t="e">
        <f t="shared" ca="1" si="0"/>
        <v>#REF!</v>
      </c>
    </row>
    <row r="9" spans="1:5" ht="15.75">
      <c r="A9" s="2905"/>
      <c r="B9" s="2901" t="e">
        <f t="shared" ca="1" si="1"/>
        <v>#REF!</v>
      </c>
      <c r="C9" s="2900" t="s">
        <v>2984</v>
      </c>
      <c r="D9" s="2902"/>
      <c r="E9" s="2568" t="e">
        <f t="shared" ca="1" si="0"/>
        <v>#REF!</v>
      </c>
    </row>
    <row r="10" spans="1:5" ht="15.75">
      <c r="A10" s="2905"/>
      <c r="B10" s="2901" t="e">
        <f t="shared" ca="1" si="1"/>
        <v>#REF!</v>
      </c>
      <c r="C10" s="2900" t="s">
        <v>2984</v>
      </c>
      <c r="D10" s="2902"/>
      <c r="E10" s="2568" t="e">
        <f t="shared" ca="1" si="0"/>
        <v>#REF!</v>
      </c>
    </row>
    <row r="11" spans="1:5" ht="15.75">
      <c r="A11" s="2905"/>
      <c r="B11" s="2901" t="e">
        <f t="shared" ca="1" si="1"/>
        <v>#REF!</v>
      </c>
      <c r="C11" s="2900" t="s">
        <v>2984</v>
      </c>
      <c r="D11" s="2902"/>
      <c r="E11" s="2568" t="e">
        <f t="shared" ca="1" si="0"/>
        <v>#REF!</v>
      </c>
    </row>
    <row r="12" spans="1:5" ht="15.75">
      <c r="A12" s="2905"/>
      <c r="B12" s="2901" t="e">
        <f t="shared" ca="1" si="1"/>
        <v>#REF!</v>
      </c>
      <c r="C12" s="2900" t="s">
        <v>2984</v>
      </c>
      <c r="D12" s="2902"/>
      <c r="E12" s="2568" t="e">
        <f t="shared" ca="1" si="0"/>
        <v>#REF!</v>
      </c>
    </row>
    <row r="13" spans="1:5" ht="15.75">
      <c r="A13" s="2905"/>
      <c r="B13" s="2901" t="e">
        <f t="shared" ca="1" si="1"/>
        <v>#REF!</v>
      </c>
      <c r="C13" s="2900" t="s">
        <v>2984</v>
      </c>
      <c r="D13" s="2902"/>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6" t="s">
        <v>1150</v>
      </c>
      <c r="C1" s="3326"/>
      <c r="D1" s="3326"/>
      <c r="E1" s="3326"/>
      <c r="F1" s="3326"/>
      <c r="G1" s="3322" t="s">
        <v>1151</v>
      </c>
      <c r="H1" s="3322"/>
      <c r="I1" s="3322"/>
      <c r="J1" s="3322"/>
      <c r="K1" s="3322"/>
      <c r="L1" s="3322"/>
      <c r="N1" s="3322" t="s">
        <v>1152</v>
      </c>
      <c r="O1" s="3322"/>
      <c r="P1" s="3322"/>
      <c r="Q1" s="3322"/>
      <c r="R1" s="1444"/>
      <c r="S1" s="3322" t="s">
        <v>1153</v>
      </c>
      <c r="T1" s="3322"/>
      <c r="U1" s="3322"/>
      <c r="V1" s="3322"/>
      <c r="X1" s="3321" t="s">
        <v>1154</v>
      </c>
      <c r="Y1" s="3322"/>
      <c r="Z1" s="3322"/>
      <c r="AA1" s="3322"/>
      <c r="AB1" s="3322"/>
      <c r="AD1" s="3321" t="s">
        <v>1155</v>
      </c>
      <c r="AE1" s="3322"/>
      <c r="AF1" s="3322"/>
      <c r="AG1" s="3322"/>
      <c r="AH1" s="3322"/>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19" customFormat="1" ht="14.25">
      <c r="A3" s="2928" t="s">
        <v>3030</v>
      </c>
      <c r="B3" s="2920"/>
      <c r="C3" s="2920"/>
      <c r="D3" s="2921"/>
      <c r="E3" s="2921"/>
      <c r="F3" s="2920"/>
      <c r="G3" s="2922"/>
      <c r="H3" s="2923"/>
      <c r="I3" s="2924">
        <f>ROUND(AVERAGE($I6:$I21),2)</f>
        <v>2.4500000000000002</v>
      </c>
      <c r="J3" s="2924">
        <f>ROUND(AVERAGE($J6:$J21),2)</f>
        <v>1.65</v>
      </c>
      <c r="K3" s="2924">
        <f>ROUND(AVERAGE($K6:$K21),2)</f>
        <v>2.71</v>
      </c>
      <c r="L3" s="2924">
        <f>ROUND(AVERAGE($L6:$L21),2)</f>
        <v>1.39</v>
      </c>
      <c r="N3" s="2922"/>
      <c r="O3" s="2925"/>
      <c r="P3" s="2925"/>
      <c r="Q3" s="2925"/>
      <c r="R3" s="2925"/>
      <c r="S3" s="2922"/>
      <c r="T3" s="2925"/>
      <c r="U3" s="2925"/>
      <c r="V3" s="2925"/>
      <c r="W3" s="2917"/>
      <c r="X3" s="2926">
        <f>ROUND(SUMPRODUCT(PRODUCT(1+N3:N$20)),4)</f>
        <v>1.4274</v>
      </c>
      <c r="Y3" s="2926">
        <f>ROUND(SUMPRODUCT(PRODUCT(1+O3:O$20)),4)</f>
        <v>1.2685</v>
      </c>
      <c r="Z3" s="2926">
        <f t="shared" ref="Z3:Z18" si="0">Y3</f>
        <v>1.2685</v>
      </c>
      <c r="AA3" s="2926">
        <f>ROUND(SUMPRODUCT(PRODUCT(1+P3:P$20)),4)</f>
        <v>1.4825999999999999</v>
      </c>
      <c r="AB3" s="2926">
        <f>ROUND(SUMPRODUCT(PRODUCT(1+Q3:Q$20)),4)</f>
        <v>1.2309000000000001</v>
      </c>
      <c r="AD3" s="2927">
        <f>ROUND(AVERAGE(I3:I$21)/100,4)</f>
        <v>2.3099999999999999E-2</v>
      </c>
      <c r="AE3" s="2927">
        <f>ROUND(AVERAGE(J3:J$21)/100,4)</f>
        <v>1.5599999999999999E-2</v>
      </c>
      <c r="AF3" s="2927">
        <f t="shared" ref="AF3:AF19" si="1">AE3</f>
        <v>1.5599999999999999E-2</v>
      </c>
      <c r="AG3" s="2927">
        <f>ROUND(AVERAGE(K3:K$21)/100,4)</f>
        <v>2.5600000000000001E-2</v>
      </c>
      <c r="AH3" s="2927">
        <f>ROUND(AVERAGE(L3:L$21)/100,4)</f>
        <v>1.32E-2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3029</v>
      </c>
      <c r="B5" s="1789">
        <f t="shared" ref="B5:C9" si="2">B6*(1+N5)</f>
        <v>439.19121308559727</v>
      </c>
      <c r="C5" s="1789">
        <f t="shared" si="2"/>
        <v>326.28510789673351</v>
      </c>
      <c r="D5" s="1789">
        <f t="shared" ref="D5:D10" si="3">C5</f>
        <v>326.28510789673351</v>
      </c>
      <c r="E5" s="1789">
        <f t="shared" ref="E5:F9" si="4">E6*(1+P5)</f>
        <v>626.49404043656455</v>
      </c>
      <c r="F5" s="1789">
        <f t="shared" si="4"/>
        <v>283.46416215500358</v>
      </c>
      <c r="G5" s="2916">
        <v>2018</v>
      </c>
      <c r="H5" s="1728">
        <v>1</v>
      </c>
      <c r="I5" s="2914">
        <v>0</v>
      </c>
      <c r="J5" s="2914">
        <v>0</v>
      </c>
      <c r="K5" s="2914">
        <v>0</v>
      </c>
      <c r="L5" s="2914">
        <v>0</v>
      </c>
      <c r="N5" s="1465">
        <f t="shared" ref="N5:N10" si="5">I5/100</f>
        <v>0</v>
      </c>
      <c r="O5" s="1465">
        <f t="shared" ref="O5:Q8" si="6">J5/100</f>
        <v>0</v>
      </c>
      <c r="P5" s="1465">
        <f t="shared" si="6"/>
        <v>0</v>
      </c>
      <c r="Q5" s="1465">
        <f t="shared" si="6"/>
        <v>0</v>
      </c>
      <c r="R5" s="1730"/>
      <c r="S5" s="1731"/>
      <c r="T5" s="1730"/>
      <c r="U5" s="1730"/>
      <c r="V5" s="1730"/>
      <c r="W5" s="2918" t="s">
        <v>3031</v>
      </c>
      <c r="X5" s="1724">
        <f>ROUND(SUMPRODUCT(PRODUCT(1+N5:N$20)),4)</f>
        <v>1.4274</v>
      </c>
      <c r="Y5" s="1724">
        <f>ROUND(SUMPRODUCT(PRODUCT(1+O5:O$20)),4)</f>
        <v>1.2685</v>
      </c>
      <c r="Z5" s="1724">
        <f>Y5</f>
        <v>1.2685</v>
      </c>
      <c r="AA5" s="1724">
        <f>ROUND(SUMPRODUCT(PRODUCT(1+P5:P$20)),4)</f>
        <v>1.4825999999999999</v>
      </c>
      <c r="AB5" s="1724">
        <f>ROUND(SUMPRODUCT(PRODUCT(1+Q5:Q$20)),4)</f>
        <v>1.2309000000000001</v>
      </c>
      <c r="AD5" s="1466">
        <f>ROUND(AVERAGE(I5:I$21)/100,4)</f>
        <v>2.3E-2</v>
      </c>
      <c r="AE5" s="1466">
        <f>ROUND(AVERAGE(J5:J$21)/100,4)</f>
        <v>1.55E-2</v>
      </c>
      <c r="AF5" s="1466">
        <f>AE5</f>
        <v>1.55E-2</v>
      </c>
      <c r="AG5" s="1466">
        <f>ROUND(AVERAGE(K5:K$21)/100,4)</f>
        <v>2.5499999999999998E-2</v>
      </c>
      <c r="AH5" s="1466">
        <f>ROUND(AVERAGE(L5:L$21)/100,4)</f>
        <v>1.3100000000000001E-2</v>
      </c>
    </row>
    <row r="6" spans="1:34">
      <c r="A6" s="1459" t="s">
        <v>3026</v>
      </c>
      <c r="B6" s="1467">
        <f t="shared" si="2"/>
        <v>439.19121308559727</v>
      </c>
      <c r="C6" s="1467">
        <f t="shared" si="2"/>
        <v>326.28510789673351</v>
      </c>
      <c r="D6" s="1467">
        <f t="shared" si="3"/>
        <v>326.28510789673351</v>
      </c>
      <c r="E6" s="1467">
        <f t="shared" si="4"/>
        <v>626.49404043656455</v>
      </c>
      <c r="F6" s="1468">
        <f t="shared" si="4"/>
        <v>283.46416215500358</v>
      </c>
      <c r="G6" s="2916">
        <v>2017</v>
      </c>
      <c r="H6" s="1460">
        <v>4</v>
      </c>
      <c r="I6" s="1460">
        <v>1.71</v>
      </c>
      <c r="J6" s="1460">
        <v>1.78</v>
      </c>
      <c r="K6" s="1460">
        <v>1.71</v>
      </c>
      <c r="L6" s="1461">
        <v>1.43</v>
      </c>
      <c r="N6" s="1470">
        <f t="shared" si="5"/>
        <v>1.7100000000000001E-2</v>
      </c>
      <c r="O6" s="1471">
        <f t="shared" si="6"/>
        <v>1.78E-2</v>
      </c>
      <c r="P6" s="1471">
        <f t="shared" si="6"/>
        <v>1.7100000000000001E-2</v>
      </c>
      <c r="Q6" s="1471">
        <f t="shared" si="6"/>
        <v>1.43E-2</v>
      </c>
      <c r="R6" s="1472"/>
      <c r="S6" s="1473"/>
      <c r="T6" s="1474"/>
      <c r="U6" s="1474"/>
      <c r="V6" s="1474"/>
      <c r="X6" s="1457">
        <f>ROUND(SUMPRODUCT(PRODUCT(1+N6:N$20)),4)</f>
        <v>1.4274</v>
      </c>
      <c r="Y6" s="1457">
        <f>ROUND(SUMPRODUCT(PRODUCT(1+O6:O$20)),4)</f>
        <v>1.2685</v>
      </c>
      <c r="Z6" s="1457">
        <f t="shared" si="0"/>
        <v>1.2685</v>
      </c>
      <c r="AA6" s="1457">
        <f>ROUND(SUMPRODUCT(PRODUCT(1+P6:P$20)),4)</f>
        <v>1.4825999999999999</v>
      </c>
      <c r="AB6" s="1457">
        <f>ROUND(SUMPRODUCT(PRODUCT(1+Q6:Q$20)),4)</f>
        <v>1.2309000000000001</v>
      </c>
      <c r="AD6" s="1458">
        <f>ROUND(AVERAGE(I6:I$21)/100,4)</f>
        <v>2.4500000000000001E-2</v>
      </c>
      <c r="AE6" s="1458">
        <f>ROUND(AVERAGE(J6:J$21)/100,4)</f>
        <v>1.6500000000000001E-2</v>
      </c>
      <c r="AF6" s="1458">
        <f t="shared" si="1"/>
        <v>1.6500000000000001E-2</v>
      </c>
      <c r="AG6" s="1458">
        <f>ROUND(AVERAGE(K6:K$21)/100,4)</f>
        <v>2.7099999999999999E-2</v>
      </c>
      <c r="AH6" s="1458">
        <f>ROUND(AVERAGE(L6:L$21)/100,4)</f>
        <v>1.3899999999999999E-2</v>
      </c>
    </row>
    <row r="7" spans="1:34" s="1464" customFormat="1" ht="13.5" thickBot="1">
      <c r="A7" s="1459" t="s">
        <v>3027</v>
      </c>
      <c r="B7" s="1475">
        <f t="shared" si="2"/>
        <v>431.80730811680002</v>
      </c>
      <c r="C7" s="1475">
        <f t="shared" si="2"/>
        <v>320.57880516480003</v>
      </c>
      <c r="D7" s="1475">
        <f t="shared" si="3"/>
        <v>320.57880516480003</v>
      </c>
      <c r="E7" s="1475">
        <f t="shared" si="4"/>
        <v>615.96110553196797</v>
      </c>
      <c r="F7" s="1475">
        <f t="shared" si="4"/>
        <v>279.46777300108801</v>
      </c>
      <c r="G7" s="2912"/>
      <c r="H7" s="1462">
        <v>3</v>
      </c>
      <c r="I7" s="1462">
        <v>2.98</v>
      </c>
      <c r="J7" s="1462">
        <v>2.11</v>
      </c>
      <c r="K7" s="1462">
        <v>3.24</v>
      </c>
      <c r="L7" s="1476">
        <v>1.72</v>
      </c>
      <c r="M7" s="1469"/>
      <c r="N7" s="1470">
        <f t="shared" si="5"/>
        <v>2.98E-2</v>
      </c>
      <c r="O7" s="1471">
        <f t="shared" si="6"/>
        <v>2.1099999999999997E-2</v>
      </c>
      <c r="P7" s="1471">
        <f t="shared" si="6"/>
        <v>3.2400000000000005E-2</v>
      </c>
      <c r="Q7" s="1471">
        <f t="shared" si="6"/>
        <v>1.72E-2</v>
      </c>
      <c r="R7" s="1472"/>
      <c r="S7" s="1470"/>
      <c r="T7" s="1471"/>
      <c r="U7" s="1471"/>
      <c r="V7" s="1471"/>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59" t="s">
        <v>1386</v>
      </c>
      <c r="B8" s="1475">
        <f t="shared" si="2"/>
        <v>419.31181600000002</v>
      </c>
      <c r="C8" s="1475">
        <f t="shared" si="2"/>
        <v>313.95436800000004</v>
      </c>
      <c r="D8" s="1475">
        <f t="shared" si="3"/>
        <v>313.95436800000004</v>
      </c>
      <c r="E8" s="1475">
        <f t="shared" si="4"/>
        <v>596.63028431999999</v>
      </c>
      <c r="F8" s="1475">
        <f t="shared" si="4"/>
        <v>274.74220703999998</v>
      </c>
      <c r="G8" s="2911"/>
      <c r="H8" s="1463">
        <v>2</v>
      </c>
      <c r="I8" s="1463">
        <v>3.4</v>
      </c>
      <c r="J8" s="1463">
        <v>2</v>
      </c>
      <c r="K8" s="1463">
        <v>3.82</v>
      </c>
      <c r="L8" s="1477">
        <v>1.68</v>
      </c>
      <c r="M8" s="1469"/>
      <c r="N8" s="1470">
        <f t="shared" si="5"/>
        <v>3.4000000000000002E-2</v>
      </c>
      <c r="O8" s="1471">
        <f t="shared" si="6"/>
        <v>0.02</v>
      </c>
      <c r="P8" s="1471">
        <f t="shared" si="6"/>
        <v>3.8199999999999998E-2</v>
      </c>
      <c r="Q8" s="1471">
        <f t="shared" si="6"/>
        <v>1.6799999999999999E-2</v>
      </c>
      <c r="R8" s="1472"/>
      <c r="S8" s="1473"/>
      <c r="T8" s="1474"/>
      <c r="U8" s="1474"/>
      <c r="V8" s="1474"/>
      <c r="W8" s="1451"/>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1"/>
      <c r="AD8" s="1787">
        <f>ROUND(AVERAGE(I8:I$21)/100,4)</f>
        <v>2.46E-2</v>
      </c>
      <c r="AE8" s="1787">
        <f>ROUND(AVERAGE(J8:J$21)/100,4)</f>
        <v>1.6E-2</v>
      </c>
      <c r="AF8" s="1787">
        <f t="shared" si="1"/>
        <v>1.6E-2</v>
      </c>
      <c r="AG8" s="1787">
        <f>ROUND(AVERAGE(K8:K$21)/100,4)</f>
        <v>2.75E-2</v>
      </c>
      <c r="AH8" s="1787">
        <f>ROUND(AVERAGE(L8:L$21)/100,4)</f>
        <v>1.37E-2</v>
      </c>
    </row>
    <row r="9" spans="1:34" s="1464" customFormat="1" ht="13.5" thickBot="1">
      <c r="A9" s="1459" t="s">
        <v>1161</v>
      </c>
      <c r="B9" s="1475">
        <f t="shared" si="2"/>
        <v>405.524</v>
      </c>
      <c r="C9" s="1475">
        <f t="shared" si="2"/>
        <v>307.79840000000002</v>
      </c>
      <c r="D9" s="1475">
        <f t="shared" si="3"/>
        <v>307.79840000000002</v>
      </c>
      <c r="E9" s="1475">
        <f t="shared" si="4"/>
        <v>574.67759999999998</v>
      </c>
      <c r="F9" s="1475">
        <f t="shared" si="4"/>
        <v>270.20280000000002</v>
      </c>
      <c r="G9" s="2912"/>
      <c r="H9" s="1462">
        <v>1</v>
      </c>
      <c r="I9" s="1462">
        <v>3.45</v>
      </c>
      <c r="J9" s="1462">
        <v>1.92</v>
      </c>
      <c r="K9" s="1462">
        <v>3.92</v>
      </c>
      <c r="L9" s="1476">
        <v>1.58</v>
      </c>
      <c r="M9" s="1469"/>
      <c r="N9" s="1470">
        <f t="shared" si="5"/>
        <v>3.4500000000000003E-2</v>
      </c>
      <c r="O9" s="1471">
        <f t="shared" ref="O9:Q24" si="7">J9/100</f>
        <v>1.9199999999999998E-2</v>
      </c>
      <c r="P9" s="1471">
        <f t="shared" si="7"/>
        <v>3.9199999999999999E-2</v>
      </c>
      <c r="Q9" s="1471">
        <f t="shared" si="7"/>
        <v>1.5800000000000002E-2</v>
      </c>
      <c r="R9" s="1472"/>
      <c r="S9" s="1470">
        <f>B9/B10-1</f>
        <v>3.4499999999999975E-2</v>
      </c>
      <c r="T9" s="1471">
        <f>C9/C10-1</f>
        <v>1.9200000000000106E-2</v>
      </c>
      <c r="U9" s="1471">
        <f>D9/D10-1</f>
        <v>1.9200000000000106E-2</v>
      </c>
      <c r="V9" s="1471">
        <f>E9/E10-1</f>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59" t="s">
        <v>154</v>
      </c>
      <c r="B10" s="1467">
        <v>392</v>
      </c>
      <c r="C10" s="1467">
        <v>302</v>
      </c>
      <c r="D10" s="1467">
        <f t="shared" si="3"/>
        <v>302</v>
      </c>
      <c r="E10" s="1467">
        <v>553</v>
      </c>
      <c r="F10" s="1468">
        <v>266</v>
      </c>
      <c r="G10" s="3327">
        <v>2016</v>
      </c>
      <c r="H10" s="1460">
        <v>4</v>
      </c>
      <c r="I10" s="1460">
        <v>4.5599999999999996</v>
      </c>
      <c r="J10" s="1460">
        <v>2.15</v>
      </c>
      <c r="K10" s="1460">
        <v>5.32</v>
      </c>
      <c r="L10" s="1461">
        <v>1.57</v>
      </c>
      <c r="N10" s="1470">
        <f t="shared" si="5"/>
        <v>4.5599999999999995E-2</v>
      </c>
      <c r="O10" s="1471">
        <f t="shared" si="7"/>
        <v>2.1499999999999998E-2</v>
      </c>
      <c r="P10" s="1471">
        <f t="shared" si="7"/>
        <v>5.3200000000000004E-2</v>
      </c>
      <c r="Q10" s="1471">
        <f t="shared" si="7"/>
        <v>1.5700000000000002E-2</v>
      </c>
      <c r="R10" s="1472"/>
      <c r="S10" s="1473"/>
      <c r="T10" s="1474"/>
      <c r="U10" s="1474"/>
      <c r="V10" s="1474"/>
      <c r="X10" s="1457">
        <f>ROUND(SUMPRODUCT(PRODUCT(1+N10:N$20)),4)</f>
        <v>1.274</v>
      </c>
      <c r="Y10" s="1457">
        <f>ROUND(SUMPRODUCT(PRODUCT(1+O10:O$20)),4)</f>
        <v>1.1740999999999999</v>
      </c>
      <c r="Z10" s="1457">
        <f t="shared" si="0"/>
        <v>1.1740999999999999</v>
      </c>
      <c r="AA10" s="1457">
        <f>ROUND(SUMPRODUCT(PRODUCT(1+P10:P$20)),4)</f>
        <v>1.3087</v>
      </c>
      <c r="AB10" s="1457">
        <f>ROUND(SUMPRODUCT(PRODUCT(1+Q10:Q$20)),4)</f>
        <v>1.1551</v>
      </c>
      <c r="AD10" s="1458">
        <f>ROUND(AVERAGE(I10:I$21)/100,4)</f>
        <v>2.3E-2</v>
      </c>
      <c r="AE10" s="1458">
        <f>ROUND(AVERAGE(J10:J$21)/100,4)</f>
        <v>1.55E-2</v>
      </c>
      <c r="AF10" s="1458">
        <f t="shared" si="1"/>
        <v>1.55E-2</v>
      </c>
      <c r="AG10" s="1458">
        <f>ROUND(AVERAGE(K10:K$21)/100,4)</f>
        <v>2.5600000000000001E-2</v>
      </c>
      <c r="AH10" s="1458">
        <f>ROUND(AVERAGE(L10:L$21)/100,4)</f>
        <v>1.32E-2</v>
      </c>
    </row>
    <row r="11" spans="1:34">
      <c r="A11" s="1459" t="s">
        <v>153</v>
      </c>
      <c r="B11" s="1475">
        <f t="shared" ref="B11:C13" si="8">B10/(1+N10)</f>
        <v>374.90436113236416</v>
      </c>
      <c r="C11" s="1475">
        <f t="shared" si="8"/>
        <v>295.64366128242779</v>
      </c>
      <c r="D11" s="1475">
        <f t="shared" ref="D11:D70" si="9">C11</f>
        <v>295.64366128242779</v>
      </c>
      <c r="E11" s="1475">
        <f t="shared" ref="E11:F13" si="10">E10/(1+P10)</f>
        <v>525.06646410938095</v>
      </c>
      <c r="F11" s="1475">
        <f t="shared" si="10"/>
        <v>261.88835286009646</v>
      </c>
      <c r="G11" s="3324"/>
      <c r="H11" s="1462">
        <v>3</v>
      </c>
      <c r="I11" s="1462">
        <v>4.12</v>
      </c>
      <c r="J11" s="1462">
        <v>2</v>
      </c>
      <c r="K11" s="1462">
        <v>4.79</v>
      </c>
      <c r="L11" s="1476">
        <v>1.97</v>
      </c>
      <c r="N11" s="1470">
        <f t="shared" ref="N11:Q45" si="11">I11/100</f>
        <v>4.1200000000000001E-2</v>
      </c>
      <c r="O11" s="1471">
        <f t="shared" si="7"/>
        <v>0.02</v>
      </c>
      <c r="P11" s="1471">
        <f t="shared" si="7"/>
        <v>4.7899999999999998E-2</v>
      </c>
      <c r="Q11" s="1471">
        <f t="shared" si="7"/>
        <v>1.9699999999999999E-2</v>
      </c>
      <c r="R11" s="1472"/>
      <c r="S11" s="1470"/>
      <c r="T11" s="1471"/>
      <c r="U11" s="1471"/>
      <c r="V11" s="1471"/>
      <c r="X11" s="1457">
        <f>ROUND(SUMPRODUCT(PRODUCT(1+N11:N$20)),4)</f>
        <v>1.2184999999999999</v>
      </c>
      <c r="Y11" s="1457">
        <f>ROUND(SUMPRODUCT(PRODUCT(1+O11:O$20)),4)</f>
        <v>1.1494</v>
      </c>
      <c r="Z11" s="1457">
        <f t="shared" si="0"/>
        <v>1.1494</v>
      </c>
      <c r="AA11" s="1457">
        <f>ROUND(SUMPRODUCT(PRODUCT(1+P11:P$20)),4)</f>
        <v>1.2425999999999999</v>
      </c>
      <c r="AB11" s="1457">
        <f>ROUND(SUMPRODUCT(PRODUCT(1+Q11:Q$20)),4)</f>
        <v>1.1372</v>
      </c>
      <c r="AD11" s="1458">
        <f>ROUND(AVERAGE(I11:I$21)/100,4)</f>
        <v>2.0899999999999998E-2</v>
      </c>
      <c r="AE11" s="1458">
        <f>ROUND(AVERAGE(J11:J$21)/100,4)</f>
        <v>1.49E-2</v>
      </c>
      <c r="AF11" s="1458">
        <f t="shared" si="1"/>
        <v>1.49E-2</v>
      </c>
      <c r="AG11" s="1458">
        <f>ROUND(AVERAGE(K11:K$21)/100,4)</f>
        <v>2.3099999999999999E-2</v>
      </c>
      <c r="AH11" s="1458">
        <f>ROUND(AVERAGE(L11:L$21)/100,4)</f>
        <v>1.2999999999999999E-2</v>
      </c>
    </row>
    <row r="12" spans="1:34">
      <c r="A12" s="1459" t="s">
        <v>143</v>
      </c>
      <c r="B12" s="1475">
        <f t="shared" si="8"/>
        <v>360.06949782209392</v>
      </c>
      <c r="C12" s="1475">
        <f t="shared" si="8"/>
        <v>289.84672674747821</v>
      </c>
      <c r="D12" s="1475">
        <f t="shared" si="9"/>
        <v>289.84672674747821</v>
      </c>
      <c r="E12" s="1475">
        <f t="shared" si="10"/>
        <v>501.06543001181495</v>
      </c>
      <c r="F12" s="1475">
        <f t="shared" si="10"/>
        <v>256.82882500744967</v>
      </c>
      <c r="G12" s="3324"/>
      <c r="H12" s="1463">
        <v>2</v>
      </c>
      <c r="I12" s="1463">
        <v>3.85</v>
      </c>
      <c r="J12" s="1463">
        <v>1.95</v>
      </c>
      <c r="K12" s="1463">
        <v>4.4800000000000004</v>
      </c>
      <c r="L12" s="1477">
        <v>1.41</v>
      </c>
      <c r="N12" s="1470">
        <f t="shared" si="11"/>
        <v>3.85E-2</v>
      </c>
      <c r="O12" s="1471">
        <f t="shared" si="7"/>
        <v>1.95E-2</v>
      </c>
      <c r="P12" s="1471">
        <f t="shared" si="7"/>
        <v>4.4800000000000006E-2</v>
      </c>
      <c r="Q12" s="1471">
        <f t="shared" si="7"/>
        <v>1.41E-2</v>
      </c>
      <c r="R12" s="1472"/>
      <c r="S12" s="1470"/>
      <c r="T12" s="1471"/>
      <c r="U12" s="1471"/>
      <c r="V12" s="1471"/>
      <c r="X12" s="1457">
        <f>ROUND(SUMPRODUCT(PRODUCT(1+N12:N$20)),4)</f>
        <v>1.1702999999999999</v>
      </c>
      <c r="Y12" s="1457">
        <f>ROUND(SUMPRODUCT(PRODUCT(1+O12:O$20)),4)</f>
        <v>1.1269</v>
      </c>
      <c r="Z12" s="1457">
        <f t="shared" si="0"/>
        <v>1.1269</v>
      </c>
      <c r="AA12" s="1457">
        <f>ROUND(SUMPRODUCT(PRODUCT(1+P12:P$20)),4)</f>
        <v>1.1858</v>
      </c>
      <c r="AB12" s="1457">
        <f>ROUND(SUMPRODUCT(PRODUCT(1+Q12:Q$20)),4)</f>
        <v>1.1152</v>
      </c>
      <c r="AD12" s="1458">
        <f>ROUND(AVERAGE(I12:I$21)/100,4)</f>
        <v>1.89E-2</v>
      </c>
      <c r="AE12" s="1458">
        <f>ROUND(AVERAGE(J12:J$21)/100,4)</f>
        <v>1.44E-2</v>
      </c>
      <c r="AF12" s="1458">
        <f t="shared" si="1"/>
        <v>1.44E-2</v>
      </c>
      <c r="AG12" s="1458">
        <f>ROUND(AVERAGE(K12:K$21)/100,4)</f>
        <v>2.06E-2</v>
      </c>
      <c r="AH12" s="1458">
        <f>ROUND(AVERAGE(L12:L$21)/100,4)</f>
        <v>1.23E-2</v>
      </c>
    </row>
    <row r="13" spans="1:34" ht="13.5" thickBot="1">
      <c r="A13" s="1459" t="s">
        <v>152</v>
      </c>
      <c r="B13" s="1475">
        <f t="shared" si="8"/>
        <v>346.720748986128</v>
      </c>
      <c r="C13" s="1475">
        <f t="shared" si="8"/>
        <v>284.30282172386285</v>
      </c>
      <c r="D13" s="1475">
        <f t="shared" si="9"/>
        <v>284.30282172386285</v>
      </c>
      <c r="E13" s="1475">
        <f t="shared" si="10"/>
        <v>479.58023546306947</v>
      </c>
      <c r="F13" s="1475">
        <f t="shared" si="10"/>
        <v>253.25788877571213</v>
      </c>
      <c r="G13" s="3325"/>
      <c r="H13" s="1462">
        <v>1</v>
      </c>
      <c r="I13" s="1462">
        <v>4.09</v>
      </c>
      <c r="J13" s="1462">
        <v>2.93</v>
      </c>
      <c r="K13" s="1462">
        <v>4.54</v>
      </c>
      <c r="L13" s="1476">
        <v>1.48</v>
      </c>
      <c r="N13" s="1470">
        <f t="shared" si="11"/>
        <v>4.0899999999999999E-2</v>
      </c>
      <c r="O13" s="1471">
        <f t="shared" si="7"/>
        <v>2.9300000000000003E-2</v>
      </c>
      <c r="P13" s="1471">
        <f t="shared" si="7"/>
        <v>4.5400000000000003E-2</v>
      </c>
      <c r="Q13" s="1471">
        <f t="shared" si="7"/>
        <v>1.4800000000000001E-2</v>
      </c>
      <c r="R13" s="1472"/>
      <c r="S13" s="1478">
        <f>B13/B14-1</f>
        <v>4.1203450408792808E-2</v>
      </c>
      <c r="T13" s="1479">
        <f>C13/C14-1</f>
        <v>2.6363977342465095E-2</v>
      </c>
      <c r="U13" s="1479">
        <f>E13/E14-1</f>
        <v>4.4837114298626357E-2</v>
      </c>
      <c r="V13" s="1479">
        <f>F13/F14-1</f>
        <v>1.7099954922538574E-2</v>
      </c>
      <c r="X13" s="1457">
        <f>ROUND(SUMPRODUCT(PRODUCT(1+N13:N$20)),4)</f>
        <v>1.1269</v>
      </c>
      <c r="Y13" s="1457">
        <f>ROUND(SUMPRODUCT(PRODUCT(1+O13:O$20)),4)</f>
        <v>1.1052999999999999</v>
      </c>
      <c r="Z13" s="1457">
        <f t="shared" si="0"/>
        <v>1.1052999999999999</v>
      </c>
      <c r="AA13" s="1457">
        <f>ROUND(SUMPRODUCT(PRODUCT(1+P13:P$20)),4)</f>
        <v>1.1349</v>
      </c>
      <c r="AB13" s="1457">
        <f>ROUND(SUMPRODUCT(PRODUCT(1+Q13:Q$20)),4)</f>
        <v>1.0996999999999999</v>
      </c>
      <c r="AD13" s="1458">
        <f>ROUND(AVERAGE(I13:I$21)/100,4)</f>
        <v>1.67E-2</v>
      </c>
      <c r="AE13" s="1458">
        <f>ROUND(AVERAGE(J13:J$21)/100,4)</f>
        <v>1.38E-2</v>
      </c>
      <c r="AF13" s="1458">
        <f t="shared" si="1"/>
        <v>1.38E-2</v>
      </c>
      <c r="AG13" s="1458">
        <f>ROUND(AVERAGE(K13:K$21)/100,4)</f>
        <v>1.7899999999999999E-2</v>
      </c>
      <c r="AH13" s="1458">
        <f>ROUND(AVERAGE(L13:L$21)/100,4)</f>
        <v>1.21E-2</v>
      </c>
    </row>
    <row r="14" spans="1:34" ht="13.5" thickBot="1">
      <c r="A14" s="1459" t="s">
        <v>151</v>
      </c>
      <c r="B14" s="1467">
        <v>333</v>
      </c>
      <c r="C14" s="1467">
        <v>277</v>
      </c>
      <c r="D14" s="1467">
        <f t="shared" si="9"/>
        <v>277</v>
      </c>
      <c r="E14" s="1467">
        <v>459</v>
      </c>
      <c r="F14" s="1468">
        <v>249</v>
      </c>
      <c r="G14" s="3323">
        <v>2015</v>
      </c>
      <c r="H14" s="1480">
        <v>4</v>
      </c>
      <c r="I14" s="1480">
        <v>1.63</v>
      </c>
      <c r="J14" s="1480">
        <v>1.1100000000000001</v>
      </c>
      <c r="K14" s="1480">
        <v>1.77</v>
      </c>
      <c r="L14" s="1481">
        <v>1.89</v>
      </c>
      <c r="N14" s="1482">
        <f t="shared" si="11"/>
        <v>1.6299999999999999E-2</v>
      </c>
      <c r="O14" s="1483">
        <f t="shared" si="7"/>
        <v>1.11E-2</v>
      </c>
      <c r="P14" s="1483">
        <f t="shared" si="7"/>
        <v>1.77E-2</v>
      </c>
      <c r="Q14" s="1483">
        <f t="shared" si="7"/>
        <v>1.89E-2</v>
      </c>
      <c r="R14" s="1472"/>
      <c r="X14" s="1457">
        <f>ROUND(SUMPRODUCT(PRODUCT(1+N14:N$20)),4)</f>
        <v>1.0826</v>
      </c>
      <c r="Y14" s="1457">
        <f>ROUND(SUMPRODUCT(PRODUCT(1+O14:O$20)),4)</f>
        <v>1.0738000000000001</v>
      </c>
      <c r="Z14" s="1457">
        <f t="shared" si="0"/>
        <v>1.0738000000000001</v>
      </c>
      <c r="AA14" s="1457">
        <f>ROUND(SUMPRODUCT(PRODUCT(1+P14:P$20)),4)</f>
        <v>1.0855999999999999</v>
      </c>
      <c r="AB14" s="1457">
        <f>ROUND(SUMPRODUCT(PRODUCT(1+Q14:Q$20)),4)</f>
        <v>1.0837000000000001</v>
      </c>
      <c r="AD14" s="1458">
        <f>ROUND(AVERAGE(I14:I$21)/100,4)</f>
        <v>1.37E-2</v>
      </c>
      <c r="AE14" s="1458">
        <f>ROUND(AVERAGE(J14:J$21)/100,4)</f>
        <v>1.1900000000000001E-2</v>
      </c>
      <c r="AF14" s="1458">
        <f t="shared" si="1"/>
        <v>1.1900000000000001E-2</v>
      </c>
      <c r="AG14" s="1458">
        <f>ROUND(AVERAGE(K14:K$21)/100,4)</f>
        <v>1.4500000000000001E-2</v>
      </c>
      <c r="AH14" s="1458">
        <f>ROUND(AVERAGE(L14:L$21)/100,4)</f>
        <v>1.18E-2</v>
      </c>
    </row>
    <row r="15" spans="1:34">
      <c r="A15" s="1459" t="s">
        <v>150</v>
      </c>
      <c r="B15" s="1475">
        <f t="shared" ref="B15:C17" si="12">B14/(1+N14)</f>
        <v>327.65915576109415</v>
      </c>
      <c r="C15" s="1475">
        <f t="shared" si="12"/>
        <v>273.95905449510434</v>
      </c>
      <c r="D15" s="1475">
        <f t="shared" si="9"/>
        <v>273.95905449510434</v>
      </c>
      <c r="E15" s="1475">
        <f t="shared" ref="E15:F17" si="13">E14/(1+P14)</f>
        <v>451.01699911565294</v>
      </c>
      <c r="F15" s="1475">
        <f t="shared" si="13"/>
        <v>244.38119540681129</v>
      </c>
      <c r="G15" s="3324"/>
      <c r="H15" s="1485">
        <v>3</v>
      </c>
      <c r="I15" s="1485">
        <v>1.65</v>
      </c>
      <c r="J15" s="1485">
        <v>0.92</v>
      </c>
      <c r="K15" s="1485">
        <v>1.88</v>
      </c>
      <c r="L15" s="1486">
        <v>1.26</v>
      </c>
      <c r="N15" s="1470">
        <f t="shared" si="11"/>
        <v>1.6500000000000001E-2</v>
      </c>
      <c r="O15" s="1487">
        <f t="shared" si="7"/>
        <v>9.1999999999999998E-3</v>
      </c>
      <c r="P15" s="1487">
        <f t="shared" si="7"/>
        <v>1.8799999999999997E-2</v>
      </c>
      <c r="Q15" s="1487">
        <f t="shared" si="7"/>
        <v>1.26E-2</v>
      </c>
      <c r="R15" s="1472"/>
      <c r="S15" s="1470"/>
      <c r="T15" s="1471"/>
      <c r="U15" s="1471"/>
      <c r="V15" s="1471"/>
      <c r="X15" s="1457">
        <f>ROUND(SUMPRODUCT(PRODUCT(1+N15:N$20)),4)</f>
        <v>1.0651999999999999</v>
      </c>
      <c r="Y15" s="1457">
        <f>ROUND(SUMPRODUCT(PRODUCT(1+O15:O$20)),4)</f>
        <v>1.0621</v>
      </c>
      <c r="Z15" s="1457">
        <f t="shared" si="0"/>
        <v>1.0621</v>
      </c>
      <c r="AA15" s="1457">
        <f>ROUND(SUMPRODUCT(PRODUCT(1+P15:P$20)),4)</f>
        <v>1.0668</v>
      </c>
      <c r="AB15" s="1457">
        <f>ROUND(SUMPRODUCT(PRODUCT(1+Q15:Q$20)),4)</f>
        <v>1.0636000000000001</v>
      </c>
      <c r="AD15" s="1458">
        <f>ROUND(AVERAGE(I15:I$21)/100,4)</f>
        <v>1.3299999999999999E-2</v>
      </c>
      <c r="AE15" s="1458">
        <f>ROUND(AVERAGE(J15:J$21)/100,4)</f>
        <v>1.2E-2</v>
      </c>
      <c r="AF15" s="1458">
        <f t="shared" si="1"/>
        <v>1.2E-2</v>
      </c>
      <c r="AG15" s="1458">
        <f>ROUND(AVERAGE(K15:K$21)/100,4)</f>
        <v>1.4E-2</v>
      </c>
      <c r="AH15" s="1458">
        <f>ROUND(AVERAGE(L15:L$21)/100,4)</f>
        <v>1.0800000000000001E-2</v>
      </c>
    </row>
    <row r="16" spans="1:34">
      <c r="A16" s="1459" t="s">
        <v>149</v>
      </c>
      <c r="B16" s="1475">
        <f t="shared" si="12"/>
        <v>322.34053690220776</v>
      </c>
      <c r="C16" s="1475">
        <f t="shared" si="12"/>
        <v>271.46160770422546</v>
      </c>
      <c r="D16" s="1475">
        <f t="shared" si="9"/>
        <v>271.46160770422546</v>
      </c>
      <c r="E16" s="1475">
        <f t="shared" si="13"/>
        <v>442.69434542172456</v>
      </c>
      <c r="F16" s="1475">
        <f t="shared" si="13"/>
        <v>241.34030753190925</v>
      </c>
      <c r="G16" s="3324"/>
      <c r="H16" s="1463">
        <v>2</v>
      </c>
      <c r="I16" s="1463">
        <v>0.77</v>
      </c>
      <c r="J16" s="1463">
        <v>0.69</v>
      </c>
      <c r="K16" s="1463">
        <v>0.8</v>
      </c>
      <c r="L16" s="1477">
        <v>0.88</v>
      </c>
      <c r="N16" s="1470">
        <f t="shared" si="11"/>
        <v>7.7000000000000002E-3</v>
      </c>
      <c r="O16" s="1487">
        <f t="shared" si="7"/>
        <v>6.8999999999999999E-3</v>
      </c>
      <c r="P16" s="1487">
        <f t="shared" si="7"/>
        <v>8.0000000000000002E-3</v>
      </c>
      <c r="Q16" s="1487">
        <f t="shared" si="7"/>
        <v>8.8000000000000005E-3</v>
      </c>
      <c r="R16" s="1472"/>
      <c r="S16" s="1470"/>
      <c r="T16" s="1471"/>
      <c r="U16" s="1471"/>
      <c r="V16" s="1471"/>
      <c r="X16" s="1457">
        <f>ROUND(SUMPRODUCT(PRODUCT(1+N16:N$20)),4)</f>
        <v>1.048</v>
      </c>
      <c r="Y16" s="1457">
        <f>ROUND(SUMPRODUCT(PRODUCT(1+O16:O$20)),4)</f>
        <v>1.0524</v>
      </c>
      <c r="Z16" s="1457">
        <f t="shared" si="0"/>
        <v>1.0524</v>
      </c>
      <c r="AA16" s="1457">
        <f>ROUND(SUMPRODUCT(PRODUCT(1+P16:P$20)),4)</f>
        <v>1.0470999999999999</v>
      </c>
      <c r="AB16" s="1457">
        <f>ROUND(SUMPRODUCT(PRODUCT(1+Q16:Q$20)),4)</f>
        <v>1.0504</v>
      </c>
      <c r="AD16" s="1458">
        <f>ROUND(AVERAGE(I16:I$21)/100,4)</f>
        <v>1.2800000000000001E-2</v>
      </c>
      <c r="AE16" s="1458">
        <f>ROUND(AVERAGE(J16:J$21)/100,4)</f>
        <v>1.2500000000000001E-2</v>
      </c>
      <c r="AF16" s="1458">
        <f t="shared" si="1"/>
        <v>1.2500000000000001E-2</v>
      </c>
      <c r="AG16" s="1458">
        <f>ROUND(AVERAGE(K16:K$21)/100,4)</f>
        <v>1.32E-2</v>
      </c>
      <c r="AH16" s="1458">
        <f>ROUND(AVERAGE(L16:L$21)/100,4)</f>
        <v>1.0500000000000001E-2</v>
      </c>
    </row>
    <row r="17" spans="1:34">
      <c r="A17" s="1459" t="s">
        <v>148</v>
      </c>
      <c r="B17" s="1475">
        <f t="shared" si="12"/>
        <v>319.87748030386797</v>
      </c>
      <c r="C17" s="1475">
        <f t="shared" si="12"/>
        <v>269.60135833173649</v>
      </c>
      <c r="D17" s="1475">
        <f t="shared" si="9"/>
        <v>269.60135833173649</v>
      </c>
      <c r="E17" s="1475">
        <f t="shared" si="13"/>
        <v>439.18089823583784</v>
      </c>
      <c r="F17" s="1475">
        <f t="shared" si="13"/>
        <v>239.23503918706311</v>
      </c>
      <c r="G17" s="3325"/>
      <c r="H17" s="1462">
        <v>1</v>
      </c>
      <c r="I17" s="1462">
        <v>0.51</v>
      </c>
      <c r="J17" s="1462">
        <v>0.54</v>
      </c>
      <c r="K17" s="1462">
        <v>0.48</v>
      </c>
      <c r="L17" s="1476">
        <v>0.93</v>
      </c>
      <c r="N17" s="1478">
        <f t="shared" si="11"/>
        <v>5.1000000000000004E-3</v>
      </c>
      <c r="O17" s="1479">
        <f t="shared" si="7"/>
        <v>5.4000000000000003E-3</v>
      </c>
      <c r="P17" s="1479">
        <f t="shared" si="7"/>
        <v>4.7999999999999996E-3</v>
      </c>
      <c r="Q17" s="1479">
        <f t="shared" si="7"/>
        <v>9.300000000000001E-3</v>
      </c>
      <c r="R17" s="1472"/>
      <c r="S17" s="1478">
        <f>B17/B18-1</f>
        <v>5.9040261127922822E-3</v>
      </c>
      <c r="T17" s="1479">
        <f>C17/C18-1</f>
        <v>5.9752176557332781E-3</v>
      </c>
      <c r="U17" s="1479">
        <f>E17/E18-1</f>
        <v>4.9906138119859556E-3</v>
      </c>
      <c r="V17" s="1479">
        <f>F17/F18-1</f>
        <v>9.4305450930933787E-3</v>
      </c>
      <c r="X17" s="1457">
        <f>ROUND(SUMPRODUCT(PRODUCT(1+N17:N$20)),4)</f>
        <v>1.0399</v>
      </c>
      <c r="Y17" s="1457">
        <f>ROUND(SUMPRODUCT(PRODUCT(1+O17:O$20)),4)</f>
        <v>1.0451999999999999</v>
      </c>
      <c r="Z17" s="1457">
        <f t="shared" si="0"/>
        <v>1.0451999999999999</v>
      </c>
      <c r="AA17" s="1457">
        <f>ROUND(SUMPRODUCT(PRODUCT(1+P17:P$20)),4)</f>
        <v>1.0387999999999999</v>
      </c>
      <c r="AB17" s="1457">
        <f>ROUND(SUMPRODUCT(PRODUCT(1+Q17:Q$20)),4)</f>
        <v>1.0411999999999999</v>
      </c>
      <c r="AD17" s="1458">
        <f>ROUND(AVERAGE(I17:I$21)/100,4)</f>
        <v>1.38E-2</v>
      </c>
      <c r="AE17" s="1458">
        <f>ROUND(AVERAGE(J17:J$21)/100,4)</f>
        <v>1.3599999999999999E-2</v>
      </c>
      <c r="AF17" s="1458">
        <f t="shared" si="1"/>
        <v>1.3599999999999999E-2</v>
      </c>
      <c r="AG17" s="1458">
        <f>ROUND(AVERAGE(K17:K$21)/100,4)</f>
        <v>1.4200000000000001E-2</v>
      </c>
      <c r="AH17" s="1458">
        <f>ROUND(AVERAGE(L17:L$21)/100,4)</f>
        <v>1.0800000000000001E-2</v>
      </c>
    </row>
    <row r="18" spans="1:34" ht="13.5" thickBot="1">
      <c r="A18" s="1459" t="s">
        <v>147</v>
      </c>
      <c r="B18" s="1488">
        <v>318</v>
      </c>
      <c r="C18" s="1488">
        <v>268</v>
      </c>
      <c r="D18" s="1488">
        <f t="shared" si="9"/>
        <v>268</v>
      </c>
      <c r="E18" s="1488">
        <v>437</v>
      </c>
      <c r="F18" s="1489">
        <v>237</v>
      </c>
      <c r="G18" s="3323">
        <v>2014</v>
      </c>
      <c r="H18" s="1480">
        <v>4</v>
      </c>
      <c r="I18" s="1480">
        <v>0.21</v>
      </c>
      <c r="J18" s="1480">
        <v>0.41</v>
      </c>
      <c r="K18" s="1480">
        <v>0.12</v>
      </c>
      <c r="L18" s="1481">
        <v>0.89</v>
      </c>
      <c r="N18" s="1470">
        <f t="shared" si="11"/>
        <v>2.0999999999999999E-3</v>
      </c>
      <c r="O18" s="1471">
        <f t="shared" si="7"/>
        <v>4.0999999999999995E-3</v>
      </c>
      <c r="P18" s="1471">
        <f t="shared" si="7"/>
        <v>1.1999999999999999E-3</v>
      </c>
      <c r="Q18" s="1471">
        <f t="shared" si="7"/>
        <v>8.8999999999999999E-3</v>
      </c>
      <c r="R18" s="1472"/>
      <c r="S18" s="1473"/>
      <c r="T18" s="1474"/>
      <c r="U18" s="1474"/>
      <c r="V18" s="1474"/>
      <c r="X18" s="1457">
        <f>ROUND(SUMPRODUCT(PRODUCT(1+N18:N$20)),4)</f>
        <v>1.0347</v>
      </c>
      <c r="Y18" s="1457">
        <f>ROUND(SUMPRODUCT(PRODUCT(1+O18:O$20)),4)</f>
        <v>1.0395000000000001</v>
      </c>
      <c r="Z18" s="1457">
        <f t="shared" si="0"/>
        <v>1.0395000000000001</v>
      </c>
      <c r="AA18" s="1457">
        <f>ROUND(SUMPRODUCT(PRODUCT(1+P18:P$20)),4)</f>
        <v>1.0338000000000001</v>
      </c>
      <c r="AB18" s="1457">
        <f>ROUND(SUMPRODUCT(PRODUCT(1+Q18:Q$20)),4)</f>
        <v>1.0316000000000001</v>
      </c>
      <c r="AD18" s="1458">
        <f>ROUND(AVERAGE(I18:I$21)/100,4)</f>
        <v>1.6E-2</v>
      </c>
      <c r="AE18" s="1458">
        <f>ROUND(AVERAGE(J18:J$21)/100,4)</f>
        <v>1.5599999999999999E-2</v>
      </c>
      <c r="AF18" s="1458">
        <f t="shared" si="1"/>
        <v>1.5599999999999999E-2</v>
      </c>
      <c r="AG18" s="1458">
        <f>ROUND(AVERAGE(K18:K$21)/100,4)</f>
        <v>1.66E-2</v>
      </c>
      <c r="AH18" s="1458">
        <f>ROUND(AVERAGE(L18:L$21)/100,4)</f>
        <v>1.12E-2</v>
      </c>
    </row>
    <row r="19" spans="1:34">
      <c r="A19" s="1459" t="s">
        <v>146</v>
      </c>
      <c r="B19" s="1475">
        <f t="shared" ref="B19:C21" si="14">B18/(1+N18)</f>
        <v>317.33359944117353</v>
      </c>
      <c r="C19" s="1475">
        <f t="shared" si="14"/>
        <v>266.90568668459315</v>
      </c>
      <c r="D19" s="1475">
        <f t="shared" si="9"/>
        <v>266.90568668459315</v>
      </c>
      <c r="E19" s="1475">
        <f t="shared" ref="E19:F21" si="15">E18/(1+P18)</f>
        <v>436.47622852576905</v>
      </c>
      <c r="F19" s="1475">
        <f t="shared" si="15"/>
        <v>234.90930716622066</v>
      </c>
      <c r="G19" s="3324"/>
      <c r="H19" s="1490">
        <v>3</v>
      </c>
      <c r="I19" s="1490">
        <v>0.83</v>
      </c>
      <c r="J19" s="1490">
        <v>1.47</v>
      </c>
      <c r="K19" s="1490">
        <v>0.65</v>
      </c>
      <c r="L19" s="1491">
        <v>0.72</v>
      </c>
      <c r="N19" s="1470">
        <f t="shared" si="11"/>
        <v>8.3000000000000001E-3</v>
      </c>
      <c r="O19" s="1471">
        <f t="shared" si="7"/>
        <v>1.47E-2</v>
      </c>
      <c r="P19" s="1471">
        <f t="shared" si="7"/>
        <v>6.5000000000000006E-3</v>
      </c>
      <c r="Q19" s="1471">
        <f t="shared" si="7"/>
        <v>7.1999999999999998E-3</v>
      </c>
      <c r="R19" s="1472"/>
      <c r="S19" s="1470"/>
      <c r="T19" s="1471"/>
      <c r="U19" s="1471"/>
      <c r="V19" s="1471"/>
      <c r="X19" s="1457">
        <f>ROUND(SUMPRODUCT(PRODUCT(1+N19:N$20)),4)</f>
        <v>1.0325</v>
      </c>
      <c r="Y19" s="1457">
        <f>ROUND(SUMPRODUCT(PRODUCT(1+O19:O$20)),4)</f>
        <v>1.0353000000000001</v>
      </c>
      <c r="Z19" s="1457">
        <f>Y19</f>
        <v>1.0353000000000001</v>
      </c>
      <c r="AA19" s="1457">
        <f>ROUND(SUMPRODUCT(PRODUCT(1+P19:P$20)),4)</f>
        <v>1.0326</v>
      </c>
      <c r="AB19" s="1457">
        <f>ROUND(SUMPRODUCT(PRODUCT(1+Q19:Q$20)),4)</f>
        <v>1.0225</v>
      </c>
      <c r="AD19" s="1458">
        <f>ROUND(AVERAGE(I19:I$21)/100,4)</f>
        <v>2.07E-2</v>
      </c>
      <c r="AE19" s="1458">
        <f>ROUND(AVERAGE(J19:J$21)/100,4)</f>
        <v>1.95E-2</v>
      </c>
      <c r="AF19" s="1458">
        <f t="shared" si="1"/>
        <v>1.95E-2</v>
      </c>
      <c r="AG19" s="1458">
        <f>ROUND(AVERAGE(K19:K$21)/100,4)</f>
        <v>2.1700000000000001E-2</v>
      </c>
      <c r="AH19" s="1458">
        <f>ROUND(AVERAGE(L19:L$21)/100,4)</f>
        <v>1.2E-2</v>
      </c>
    </row>
    <row r="20" spans="1:34" ht="13.5" thickBot="1">
      <c r="A20" s="1459" t="s">
        <v>145</v>
      </c>
      <c r="B20" s="1475">
        <f t="shared" si="14"/>
        <v>314.72141172386546</v>
      </c>
      <c r="C20" s="1475">
        <f t="shared" si="14"/>
        <v>263.03901319069001</v>
      </c>
      <c r="D20" s="1475">
        <f t="shared" si="9"/>
        <v>263.03901319069001</v>
      </c>
      <c r="E20" s="1475">
        <f t="shared" si="15"/>
        <v>433.65745506782821</v>
      </c>
      <c r="F20" s="1475">
        <f t="shared" si="15"/>
        <v>233.23005080045735</v>
      </c>
      <c r="G20" s="3324"/>
      <c r="H20" s="1480">
        <v>2</v>
      </c>
      <c r="I20" s="1480">
        <v>2.4</v>
      </c>
      <c r="J20" s="1480">
        <v>2.0299999999999998</v>
      </c>
      <c r="K20" s="1480">
        <v>2.59</v>
      </c>
      <c r="L20" s="1481">
        <v>1.52</v>
      </c>
      <c r="N20" s="1470">
        <f t="shared" si="11"/>
        <v>2.4E-2</v>
      </c>
      <c r="O20" s="1471">
        <f t="shared" si="7"/>
        <v>2.0299999999999999E-2</v>
      </c>
      <c r="P20" s="1471">
        <f t="shared" si="7"/>
        <v>2.5899999999999999E-2</v>
      </c>
      <c r="Q20" s="1471">
        <f t="shared" si="7"/>
        <v>1.52E-2</v>
      </c>
      <c r="R20" s="1472"/>
      <c r="S20" s="1470"/>
      <c r="T20" s="1471"/>
      <c r="U20" s="1471"/>
      <c r="V20" s="1471"/>
      <c r="X20" s="1457">
        <f>1+N20</f>
        <v>1.024</v>
      </c>
      <c r="Y20" s="1457">
        <f>1+O20</f>
        <v>1.0203</v>
      </c>
      <c r="Z20" s="1457">
        <f>Y20</f>
        <v>1.0203</v>
      </c>
      <c r="AA20" s="1457">
        <f>1+P20</f>
        <v>1.0259</v>
      </c>
      <c r="AB20" s="1457">
        <f>1+Q20</f>
        <v>1.0152000000000001</v>
      </c>
      <c r="AD20" s="1458">
        <f>ROUND(AVERAGE(I20:I$21)/100,4)</f>
        <v>2.69E-2</v>
      </c>
      <c r="AE20" s="1458">
        <f>ROUND(AVERAGE(J20:J$21)/100,4)</f>
        <v>2.1899999999999999E-2</v>
      </c>
      <c r="AF20" s="1458">
        <f>AE20</f>
        <v>2.1899999999999999E-2</v>
      </c>
      <c r="AG20" s="1458">
        <f>ROUND(AVERAGE(K20:K$21)/100,4)</f>
        <v>2.9399999999999999E-2</v>
      </c>
      <c r="AH20" s="1458">
        <f>ROUND(AVERAGE(L20:L$21)/100,4)</f>
        <v>1.44E-2</v>
      </c>
    </row>
    <row r="21" spans="1:34" s="1496" customFormat="1" ht="13.5" thickBot="1">
      <c r="A21" s="1492" t="s">
        <v>144</v>
      </c>
      <c r="B21" s="1493">
        <f t="shared" si="14"/>
        <v>307.34512863658733</v>
      </c>
      <c r="C21" s="1493">
        <f t="shared" si="14"/>
        <v>257.80556031626975</v>
      </c>
      <c r="D21" s="1493">
        <f t="shared" si="9"/>
        <v>257.80556031626975</v>
      </c>
      <c r="E21" s="1493">
        <f t="shared" si="15"/>
        <v>422.70928459677179</v>
      </c>
      <c r="F21" s="1493">
        <f t="shared" si="15"/>
        <v>229.73803270336617</v>
      </c>
      <c r="G21" s="3325"/>
      <c r="H21" s="1494">
        <v>1</v>
      </c>
      <c r="I21" s="1494">
        <v>2.97</v>
      </c>
      <c r="J21" s="1494">
        <v>2.34</v>
      </c>
      <c r="K21" s="1494">
        <v>3.28</v>
      </c>
      <c r="L21" s="1495">
        <v>1.36</v>
      </c>
      <c r="N21" s="1497">
        <f t="shared" si="11"/>
        <v>2.9700000000000001E-2</v>
      </c>
      <c r="O21" s="1498">
        <f t="shared" si="7"/>
        <v>2.3399999999999997E-2</v>
      </c>
      <c r="P21" s="1498">
        <f t="shared" si="7"/>
        <v>3.2799999999999996E-2</v>
      </c>
      <c r="Q21" s="1498">
        <f t="shared" si="7"/>
        <v>1.3600000000000001E-2</v>
      </c>
      <c r="R21" s="1499"/>
      <c r="S21" s="1500">
        <f>B21/B22-1</f>
        <v>2.7910129219355539E-2</v>
      </c>
      <c r="T21" s="1501">
        <f>C21/C22-1</f>
        <v>2.3037937762975247E-2</v>
      </c>
      <c r="U21" s="1501">
        <f>E21/E22-1</f>
        <v>3.3519033243940788E-2</v>
      </c>
      <c r="V21" s="1501">
        <f>F21/F22-1</f>
        <v>1.2061818076502862E-2</v>
      </c>
      <c r="W21" s="1502" t="s">
        <v>1162</v>
      </c>
      <c r="X21" s="1503">
        <v>1</v>
      </c>
      <c r="Y21" s="1503">
        <v>1</v>
      </c>
      <c r="Z21" s="1503">
        <v>1</v>
      </c>
      <c r="AA21" s="1503">
        <v>1</v>
      </c>
      <c r="AB21" s="1503">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59" t="s">
        <v>1163</v>
      </c>
      <c r="B22" s="1467">
        <v>299</v>
      </c>
      <c r="C22" s="1467">
        <v>252</v>
      </c>
      <c r="D22" s="1467">
        <f t="shared" si="9"/>
        <v>252</v>
      </c>
      <c r="E22" s="1467">
        <v>409</v>
      </c>
      <c r="F22" s="1468">
        <v>227</v>
      </c>
      <c r="G22" s="3328">
        <v>2013</v>
      </c>
      <c r="H22" s="1504">
        <v>4</v>
      </c>
      <c r="I22" s="1504">
        <v>1.83</v>
      </c>
      <c r="J22" s="1504">
        <v>1.68</v>
      </c>
      <c r="K22" s="1504">
        <v>1.97</v>
      </c>
      <c r="L22" s="1505">
        <v>0.87</v>
      </c>
      <c r="N22" s="1482">
        <f t="shared" si="11"/>
        <v>1.83E-2</v>
      </c>
      <c r="O22" s="1483">
        <f t="shared" si="7"/>
        <v>1.6799999999999999E-2</v>
      </c>
      <c r="P22" s="1483">
        <f t="shared" si="7"/>
        <v>1.9699999999999999E-2</v>
      </c>
      <c r="Q22" s="1483">
        <f t="shared" si="7"/>
        <v>8.6999999999999994E-3</v>
      </c>
      <c r="R22" s="1472"/>
      <c r="S22" s="1473"/>
      <c r="T22" s="1474"/>
      <c r="U22" s="1474"/>
      <c r="V22" s="1474"/>
      <c r="X22" s="1474"/>
      <c r="Y22" s="1474"/>
      <c r="Z22" s="1474"/>
    </row>
    <row r="23" spans="1:34">
      <c r="A23" s="1459" t="s">
        <v>1164</v>
      </c>
      <c r="B23" s="1475">
        <f t="shared" ref="B23:C25" si="16">B22/(1+N22)</f>
        <v>293.62663262299913</v>
      </c>
      <c r="C23" s="1475">
        <f t="shared" si="16"/>
        <v>247.83634933123525</v>
      </c>
      <c r="D23" s="1475">
        <f t="shared" si="9"/>
        <v>247.83634933123525</v>
      </c>
      <c r="E23" s="1475">
        <f t="shared" ref="E23:F25" si="17">E22/(1+P22)</f>
        <v>401.09836226341076</v>
      </c>
      <c r="F23" s="1475">
        <f t="shared" si="17"/>
        <v>225.04213343908003</v>
      </c>
      <c r="G23" s="3329"/>
      <c r="H23" s="1485">
        <v>3</v>
      </c>
      <c r="I23" s="1485">
        <v>1.86</v>
      </c>
      <c r="J23" s="1485">
        <v>1.72</v>
      </c>
      <c r="K23" s="1485">
        <v>1.98</v>
      </c>
      <c r="L23" s="1486">
        <v>0.88</v>
      </c>
      <c r="N23" s="1470">
        <f t="shared" si="11"/>
        <v>1.8600000000000002E-2</v>
      </c>
      <c r="O23" s="1487">
        <f t="shared" si="7"/>
        <v>1.72E-2</v>
      </c>
      <c r="P23" s="1487">
        <f t="shared" si="7"/>
        <v>1.9799999999999998E-2</v>
      </c>
      <c r="Q23" s="1487">
        <f t="shared" si="7"/>
        <v>8.8000000000000005E-3</v>
      </c>
      <c r="R23" s="1472"/>
      <c r="S23" s="1470"/>
      <c r="T23" s="1471"/>
      <c r="U23" s="1471"/>
      <c r="V23" s="1471"/>
    </row>
    <row r="24" spans="1:34">
      <c r="A24" s="1459" t="s">
        <v>1165</v>
      </c>
      <c r="B24" s="1475">
        <f t="shared" si="16"/>
        <v>288.2649053828776</v>
      </c>
      <c r="C24" s="1475">
        <f t="shared" si="16"/>
        <v>243.64564425013293</v>
      </c>
      <c r="D24" s="1475">
        <f t="shared" si="9"/>
        <v>243.64564425013293</v>
      </c>
      <c r="E24" s="1475">
        <f t="shared" si="17"/>
        <v>393.31080825986544</v>
      </c>
      <c r="F24" s="1475">
        <f t="shared" si="17"/>
        <v>223.07903790551154</v>
      </c>
      <c r="G24" s="3329"/>
      <c r="H24" s="1463">
        <v>2</v>
      </c>
      <c r="I24" s="1463">
        <v>2.04</v>
      </c>
      <c r="J24" s="1463">
        <v>2.33</v>
      </c>
      <c r="K24" s="1463">
        <v>2.0699999999999998</v>
      </c>
      <c r="L24" s="1477">
        <v>0.69</v>
      </c>
      <c r="N24" s="1470">
        <f t="shared" si="11"/>
        <v>2.0400000000000001E-2</v>
      </c>
      <c r="O24" s="1487">
        <f t="shared" si="7"/>
        <v>2.3300000000000001E-2</v>
      </c>
      <c r="P24" s="1487">
        <f t="shared" si="7"/>
        <v>2.07E-2</v>
      </c>
      <c r="Q24" s="1487">
        <f t="shared" si="7"/>
        <v>6.8999999999999999E-3</v>
      </c>
      <c r="R24" s="1472"/>
      <c r="S24" s="1470"/>
      <c r="T24" s="1471"/>
      <c r="U24" s="1471"/>
      <c r="V24" s="1471"/>
      <c r="X24" s="1506"/>
      <c r="Y24" s="1507"/>
    </row>
    <row r="25" spans="1:34">
      <c r="A25" s="1459" t="s">
        <v>1166</v>
      </c>
      <c r="B25" s="1475">
        <f t="shared" si="16"/>
        <v>282.50186729015837</v>
      </c>
      <c r="C25" s="1475">
        <f t="shared" si="16"/>
        <v>238.09796174155468</v>
      </c>
      <c r="D25" s="1475">
        <f t="shared" si="9"/>
        <v>238.09796174155468</v>
      </c>
      <c r="E25" s="1475">
        <f t="shared" si="17"/>
        <v>385.33438646014054</v>
      </c>
      <c r="F25" s="1475">
        <f t="shared" si="17"/>
        <v>221.55034055567739</v>
      </c>
      <c r="G25" s="3330"/>
      <c r="H25" s="1462">
        <v>1</v>
      </c>
      <c r="I25" s="1462">
        <v>1.67</v>
      </c>
      <c r="J25" s="1462">
        <v>1.31</v>
      </c>
      <c r="K25" s="1462">
        <v>1.85</v>
      </c>
      <c r="L25" s="1476">
        <v>0.96</v>
      </c>
      <c r="N25" s="1478">
        <f t="shared" si="11"/>
        <v>1.67E-2</v>
      </c>
      <c r="O25" s="1479">
        <f t="shared" si="11"/>
        <v>1.3100000000000001E-2</v>
      </c>
      <c r="P25" s="1479">
        <f t="shared" si="11"/>
        <v>1.8500000000000003E-2</v>
      </c>
      <c r="Q25" s="1479">
        <f t="shared" si="11"/>
        <v>9.5999999999999992E-3</v>
      </c>
      <c r="R25" s="1472"/>
      <c r="S25" s="1478">
        <f>B25/B26-1</f>
        <v>1.6193767230785472E-2</v>
      </c>
      <c r="T25" s="1479">
        <f>C25/C26-1</f>
        <v>1.7512657015190891E-2</v>
      </c>
      <c r="U25" s="1479">
        <f>E25/E26-1</f>
        <v>1.6713420739157048E-2</v>
      </c>
      <c r="V25" s="1479">
        <f>F25/F26-1</f>
        <v>7.0470025258062563E-3</v>
      </c>
      <c r="X25" s="1508"/>
      <c r="Y25" s="1458"/>
      <c r="Z25" s="1458"/>
    </row>
    <row r="26" spans="1:34" ht="13.5" thickBot="1">
      <c r="A26" s="1459" t="s">
        <v>1167</v>
      </c>
      <c r="B26" s="1509">
        <v>278</v>
      </c>
      <c r="C26" s="1509">
        <v>234</v>
      </c>
      <c r="D26" s="1509">
        <f t="shared" si="9"/>
        <v>234</v>
      </c>
      <c r="E26" s="1509">
        <v>379</v>
      </c>
      <c r="F26" s="1510">
        <v>220</v>
      </c>
      <c r="G26" s="3323">
        <v>2012</v>
      </c>
      <c r="H26" s="1480">
        <v>4</v>
      </c>
      <c r="I26" s="1480">
        <v>0.91</v>
      </c>
      <c r="J26" s="1480">
        <v>0.68</v>
      </c>
      <c r="K26" s="1480">
        <v>0.98</v>
      </c>
      <c r="L26" s="1481">
        <v>0.9</v>
      </c>
      <c r="N26" s="1470">
        <f t="shared" si="11"/>
        <v>9.1000000000000004E-3</v>
      </c>
      <c r="O26" s="1471">
        <f t="shared" si="11"/>
        <v>6.8000000000000005E-3</v>
      </c>
      <c r="P26" s="1471">
        <f t="shared" si="11"/>
        <v>9.7999999999999997E-3</v>
      </c>
      <c r="Q26" s="1471">
        <f t="shared" si="11"/>
        <v>9.0000000000000011E-3</v>
      </c>
      <c r="R26" s="1472"/>
      <c r="S26" s="1473"/>
      <c r="T26" s="1474"/>
      <c r="U26" s="1474"/>
      <c r="V26" s="1474"/>
      <c r="X26" s="1474"/>
      <c r="Y26" s="1474"/>
      <c r="Z26" s="1474"/>
    </row>
    <row r="27" spans="1:34">
      <c r="A27" s="1459" t="s">
        <v>1168</v>
      </c>
      <c r="B27" s="1475">
        <f>B26/(1+N26)</f>
        <v>275.49301357645425</v>
      </c>
      <c r="C27" s="1475">
        <f>C26/(1+O26)</f>
        <v>232.41954707985698</v>
      </c>
      <c r="D27" s="1475">
        <f t="shared" si="9"/>
        <v>232.41954707985698</v>
      </c>
      <c r="E27" s="1475">
        <f t="shared" ref="E27:F29" si="18">E26/(1+P26)</f>
        <v>375.32184591008121</v>
      </c>
      <c r="F27" s="1475">
        <f t="shared" si="18"/>
        <v>218.03766105054513</v>
      </c>
      <c r="G27" s="3324"/>
      <c r="H27" s="1485">
        <v>3</v>
      </c>
      <c r="I27" s="1485">
        <v>0.09</v>
      </c>
      <c r="J27" s="1485">
        <v>0.28999999999999998</v>
      </c>
      <c r="K27" s="1485">
        <v>-0.01</v>
      </c>
      <c r="L27" s="1486">
        <v>0.57999999999999996</v>
      </c>
      <c r="N27" s="1470">
        <f t="shared" si="11"/>
        <v>8.9999999999999998E-4</v>
      </c>
      <c r="O27" s="1471">
        <f t="shared" si="11"/>
        <v>2.8999999999999998E-3</v>
      </c>
      <c r="P27" s="1471">
        <f t="shared" si="11"/>
        <v>-1E-4</v>
      </c>
      <c r="Q27" s="1471">
        <f t="shared" si="11"/>
        <v>5.7999999999999996E-3</v>
      </c>
      <c r="R27" s="1472"/>
      <c r="S27" s="1470"/>
      <c r="T27" s="1471"/>
      <c r="U27" s="1471"/>
      <c r="V27" s="1471"/>
    </row>
    <row r="28" spans="1:34">
      <c r="A28" s="1459" t="s">
        <v>1169</v>
      </c>
      <c r="B28" s="1475">
        <f>B27/(1+N27)</f>
        <v>275.24529281292263</v>
      </c>
      <c r="C28" s="1475">
        <f>C27/(1+O27)</f>
        <v>231.74747938962707</v>
      </c>
      <c r="D28" s="1475">
        <f t="shared" si="9"/>
        <v>231.74747938962707</v>
      </c>
      <c r="E28" s="1475">
        <f t="shared" si="18"/>
        <v>375.35938184826603</v>
      </c>
      <c r="F28" s="1475">
        <f t="shared" si="18"/>
        <v>216.78033510692495</v>
      </c>
      <c r="G28" s="3324"/>
      <c r="H28" s="1463">
        <v>2</v>
      </c>
      <c r="I28" s="1463">
        <v>0.02</v>
      </c>
      <c r="J28" s="1463">
        <v>0.12</v>
      </c>
      <c r="K28" s="1463">
        <v>-0.08</v>
      </c>
      <c r="L28" s="1477">
        <v>1.24</v>
      </c>
      <c r="N28" s="1470">
        <f t="shared" si="11"/>
        <v>2.0000000000000001E-4</v>
      </c>
      <c r="O28" s="1471">
        <f t="shared" si="11"/>
        <v>1.1999999999999999E-3</v>
      </c>
      <c r="P28" s="1471">
        <f t="shared" si="11"/>
        <v>-8.0000000000000004E-4</v>
      </c>
      <c r="Q28" s="1471">
        <f t="shared" si="11"/>
        <v>1.24E-2</v>
      </c>
      <c r="R28" s="1472"/>
      <c r="S28" s="1470"/>
      <c r="T28" s="1471"/>
      <c r="U28" s="1471"/>
      <c r="V28" s="1471"/>
    </row>
    <row r="29" spans="1:34" ht="13.5" thickBot="1">
      <c r="A29" s="1459" t="s">
        <v>1170</v>
      </c>
      <c r="B29" s="1475">
        <f>B28/(1+N28)</f>
        <v>275.19025476197027</v>
      </c>
      <c r="C29" s="1511">
        <v>232</v>
      </c>
      <c r="D29" s="1511">
        <f t="shared" si="9"/>
        <v>232</v>
      </c>
      <c r="E29" s="1475">
        <f t="shared" si="18"/>
        <v>375.65990977608692</v>
      </c>
      <c r="F29" s="1475">
        <f t="shared" si="18"/>
        <v>214.12518283971252</v>
      </c>
      <c r="G29" s="3325"/>
      <c r="H29" s="1462">
        <v>1</v>
      </c>
      <c r="I29" s="1462">
        <v>0.02</v>
      </c>
      <c r="J29" s="1462">
        <v>0.13</v>
      </c>
      <c r="K29" s="1462">
        <v>-0.04</v>
      </c>
      <c r="L29" s="1476">
        <v>0.46</v>
      </c>
      <c r="N29" s="1470">
        <f t="shared" si="11"/>
        <v>2.0000000000000001E-4</v>
      </c>
      <c r="O29" s="1471">
        <f t="shared" si="11"/>
        <v>1.2999999999999999E-3</v>
      </c>
      <c r="P29" s="1471">
        <f t="shared" si="11"/>
        <v>-4.0000000000000002E-4</v>
      </c>
      <c r="Q29" s="1471">
        <f t="shared" si="11"/>
        <v>4.5999999999999999E-3</v>
      </c>
      <c r="R29" s="1472"/>
      <c r="S29" s="1478">
        <f>B29/B30-1</f>
        <v>6.9183549807361189E-4</v>
      </c>
      <c r="T29" s="1479">
        <f>C29/C30-1</f>
        <v>0</v>
      </c>
      <c r="U29" s="1479">
        <f>E29/E30-1</f>
        <v>-9.0449527636460303E-4</v>
      </c>
      <c r="V29" s="1479">
        <f>F29/F30-1</f>
        <v>5.2825485432512753E-3</v>
      </c>
      <c r="X29" s="1458"/>
      <c r="Y29" s="1458"/>
      <c r="Z29" s="1458"/>
    </row>
    <row r="30" spans="1:34" ht="13.5" thickBot="1">
      <c r="A30" s="1459" t="s">
        <v>1171</v>
      </c>
      <c r="B30" s="1467">
        <v>275</v>
      </c>
      <c r="C30" s="1467">
        <v>232</v>
      </c>
      <c r="D30" s="1467">
        <f t="shared" si="9"/>
        <v>232</v>
      </c>
      <c r="E30" s="1467">
        <v>376</v>
      </c>
      <c r="F30" s="1468">
        <v>213</v>
      </c>
      <c r="G30" s="3323">
        <v>2011</v>
      </c>
      <c r="H30" s="1480">
        <v>4</v>
      </c>
      <c r="I30" s="1480">
        <v>-0.2</v>
      </c>
      <c r="J30" s="1480">
        <v>0.04</v>
      </c>
      <c r="K30" s="1480">
        <v>-0.34</v>
      </c>
      <c r="L30" s="1481">
        <v>0.46</v>
      </c>
      <c r="N30" s="1482">
        <f t="shared" si="11"/>
        <v>-2E-3</v>
      </c>
      <c r="O30" s="1483">
        <f t="shared" si="11"/>
        <v>4.0000000000000002E-4</v>
      </c>
      <c r="P30" s="1483">
        <f t="shared" si="11"/>
        <v>-3.4000000000000002E-3</v>
      </c>
      <c r="Q30" s="1483">
        <f t="shared" si="11"/>
        <v>4.5999999999999999E-3</v>
      </c>
      <c r="R30" s="1472"/>
      <c r="S30" s="1473"/>
      <c r="T30" s="1474"/>
      <c r="U30" s="1474"/>
      <c r="V30" s="1474"/>
      <c r="X30" s="1474"/>
      <c r="Y30" s="1474"/>
      <c r="Z30" s="1474"/>
    </row>
    <row r="31" spans="1:34">
      <c r="A31" s="1459" t="s">
        <v>1172</v>
      </c>
      <c r="B31" s="1475">
        <f t="shared" ref="B31:C33" si="19">B30/(1+N30)</f>
        <v>275.55110220440883</v>
      </c>
      <c r="C31" s="1475">
        <f t="shared" si="19"/>
        <v>231.90723710515795</v>
      </c>
      <c r="D31" s="1475">
        <f t="shared" si="9"/>
        <v>231.90723710515795</v>
      </c>
      <c r="E31" s="1475">
        <f t="shared" ref="E31:F33" si="20">E30/(1+P30)</f>
        <v>377.28276138872161</v>
      </c>
      <c r="F31" s="1475">
        <f t="shared" si="20"/>
        <v>212.02468644236512</v>
      </c>
      <c r="G31" s="3324">
        <v>2011</v>
      </c>
      <c r="H31" s="1485">
        <v>3</v>
      </c>
      <c r="I31" s="1485">
        <v>0.13</v>
      </c>
      <c r="J31" s="1485">
        <v>0.75</v>
      </c>
      <c r="K31" s="1485">
        <v>-0.08</v>
      </c>
      <c r="L31" s="1486">
        <v>0.53</v>
      </c>
      <c r="N31" s="1470">
        <f t="shared" si="11"/>
        <v>1.2999999999999999E-3</v>
      </c>
      <c r="O31" s="1487">
        <f t="shared" si="11"/>
        <v>7.4999999999999997E-3</v>
      </c>
      <c r="P31" s="1487">
        <f t="shared" si="11"/>
        <v>-8.0000000000000004E-4</v>
      </c>
      <c r="Q31" s="1487">
        <f t="shared" si="11"/>
        <v>5.3E-3</v>
      </c>
      <c r="R31" s="1472"/>
      <c r="S31" s="1470"/>
      <c r="T31" s="1471"/>
      <c r="U31" s="1471"/>
      <c r="V31" s="1471"/>
    </row>
    <row r="32" spans="1:34">
      <c r="A32" s="1459" t="s">
        <v>1173</v>
      </c>
      <c r="B32" s="1475">
        <f t="shared" si="19"/>
        <v>275.19335084830601</v>
      </c>
      <c r="C32" s="1475">
        <f t="shared" si="19"/>
        <v>230.18088050139744</v>
      </c>
      <c r="D32" s="1475">
        <f t="shared" si="9"/>
        <v>230.18088050139744</v>
      </c>
      <c r="E32" s="1475">
        <f t="shared" si="20"/>
        <v>377.58482925212331</v>
      </c>
      <c r="F32" s="1475">
        <f t="shared" si="20"/>
        <v>210.90687997847917</v>
      </c>
      <c r="G32" s="3324">
        <v>2011</v>
      </c>
      <c r="H32" s="1463">
        <v>2</v>
      </c>
      <c r="I32" s="1463">
        <v>-0.4</v>
      </c>
      <c r="J32" s="1463">
        <v>0.17</v>
      </c>
      <c r="K32" s="1463">
        <v>-0.57999999999999996</v>
      </c>
      <c r="L32" s="1477">
        <v>-0.2</v>
      </c>
      <c r="N32" s="1470">
        <f t="shared" si="11"/>
        <v>-4.0000000000000001E-3</v>
      </c>
      <c r="O32" s="1487">
        <f t="shared" si="11"/>
        <v>1.7000000000000001E-3</v>
      </c>
      <c r="P32" s="1487">
        <f t="shared" si="11"/>
        <v>-5.7999999999999996E-3</v>
      </c>
      <c r="Q32" s="1487">
        <f t="shared" si="11"/>
        <v>-2E-3</v>
      </c>
      <c r="R32" s="1472"/>
      <c r="S32" s="1470"/>
      <c r="T32" s="1471"/>
      <c r="U32" s="1471"/>
      <c r="V32" s="1471"/>
    </row>
    <row r="33" spans="1:26" ht="13.5" thickBot="1">
      <c r="A33" s="1459" t="s">
        <v>1174</v>
      </c>
      <c r="B33" s="1475">
        <f t="shared" si="19"/>
        <v>276.29854502841971</v>
      </c>
      <c r="C33" s="1475">
        <f t="shared" si="19"/>
        <v>229.79023709833027</v>
      </c>
      <c r="D33" s="1475">
        <f t="shared" si="9"/>
        <v>229.79023709833027</v>
      </c>
      <c r="E33" s="1475">
        <f t="shared" si="20"/>
        <v>379.78759731655936</v>
      </c>
      <c r="F33" s="1475">
        <f t="shared" si="20"/>
        <v>211.32953905659235</v>
      </c>
      <c r="G33" s="3325">
        <v>2011</v>
      </c>
      <c r="H33" s="1462">
        <v>1</v>
      </c>
      <c r="I33" s="1462">
        <v>2.65</v>
      </c>
      <c r="J33" s="1462">
        <v>3.76</v>
      </c>
      <c r="K33" s="1462">
        <v>1.89</v>
      </c>
      <c r="L33" s="1476">
        <v>7.95</v>
      </c>
      <c r="N33" s="1478">
        <f t="shared" si="11"/>
        <v>2.6499999999999999E-2</v>
      </c>
      <c r="O33" s="1479">
        <f t="shared" si="11"/>
        <v>3.7599999999999995E-2</v>
      </c>
      <c r="P33" s="1479">
        <f t="shared" si="11"/>
        <v>1.89E-2</v>
      </c>
      <c r="Q33" s="1479">
        <f t="shared" si="11"/>
        <v>7.9500000000000001E-2</v>
      </c>
      <c r="R33" s="1472"/>
      <c r="S33" s="1478">
        <f>B33/B34-1</f>
        <v>2.713213765211786E-2</v>
      </c>
      <c r="T33" s="1479">
        <f>C33/C34-1</f>
        <v>3.9774828499231862E-2</v>
      </c>
      <c r="U33" s="1479">
        <f>E33/E34-1</f>
        <v>1.8197311840641772E-2</v>
      </c>
      <c r="V33" s="1479">
        <f>F33/F34-1</f>
        <v>7.8211933962205826E-2</v>
      </c>
      <c r="X33" s="1458"/>
      <c r="Y33" s="1458"/>
      <c r="Z33" s="1458"/>
    </row>
    <row r="34" spans="1:26" ht="13.5" thickBot="1">
      <c r="A34" s="1459" t="s">
        <v>1175</v>
      </c>
      <c r="B34" s="1467">
        <v>269</v>
      </c>
      <c r="C34" s="1467">
        <v>221</v>
      </c>
      <c r="D34" s="1467">
        <f t="shared" si="9"/>
        <v>221</v>
      </c>
      <c r="E34" s="1467">
        <v>373</v>
      </c>
      <c r="F34" s="1468">
        <v>196</v>
      </c>
      <c r="G34" s="3323">
        <v>2010</v>
      </c>
      <c r="H34" s="1480">
        <v>4</v>
      </c>
      <c r="I34" s="1480">
        <v>5.72</v>
      </c>
      <c r="J34" s="1480">
        <v>6.57</v>
      </c>
      <c r="K34" s="1480">
        <v>5.72</v>
      </c>
      <c r="L34" s="1481">
        <v>2.72</v>
      </c>
      <c r="N34" s="1470">
        <f t="shared" si="11"/>
        <v>5.7200000000000001E-2</v>
      </c>
      <c r="O34" s="1471">
        <f t="shared" si="11"/>
        <v>6.5700000000000008E-2</v>
      </c>
      <c r="P34" s="1471">
        <f t="shared" si="11"/>
        <v>5.7200000000000001E-2</v>
      </c>
      <c r="Q34" s="1471">
        <f t="shared" si="11"/>
        <v>2.7200000000000002E-2</v>
      </c>
      <c r="R34" s="1472"/>
      <c r="S34" s="1473"/>
      <c r="T34" s="1474"/>
      <c r="U34" s="1474"/>
      <c r="V34" s="1474"/>
      <c r="X34" s="1474"/>
      <c r="Y34" s="1474"/>
      <c r="Z34" s="1474"/>
    </row>
    <row r="35" spans="1:26">
      <c r="A35" s="1459" t="s">
        <v>1176</v>
      </c>
      <c r="B35" s="1475">
        <f t="shared" ref="B35:C37" si="21">B34/(1+N34)</f>
        <v>254.44570563753314</v>
      </c>
      <c r="C35" s="1475">
        <f t="shared" si="21"/>
        <v>207.37543398705074</v>
      </c>
      <c r="D35" s="1475">
        <f t="shared" si="9"/>
        <v>207.37543398705074</v>
      </c>
      <c r="E35" s="1475">
        <f t="shared" ref="E35:F37" si="22">E34/(1+P34)</f>
        <v>352.81876655315932</v>
      </c>
      <c r="F35" s="1475">
        <f t="shared" si="22"/>
        <v>190.809968847352</v>
      </c>
      <c r="G35" s="3324">
        <v>2010</v>
      </c>
      <c r="H35" s="1485">
        <v>3</v>
      </c>
      <c r="I35" s="1485">
        <v>4.7300000000000004</v>
      </c>
      <c r="J35" s="1485">
        <v>3.9</v>
      </c>
      <c r="K35" s="1485">
        <v>5.03</v>
      </c>
      <c r="L35" s="1486">
        <v>4.21</v>
      </c>
      <c r="N35" s="1470">
        <f t="shared" si="11"/>
        <v>4.7300000000000002E-2</v>
      </c>
      <c r="O35" s="1471">
        <f t="shared" si="11"/>
        <v>3.9E-2</v>
      </c>
      <c r="P35" s="1471">
        <f t="shared" si="11"/>
        <v>5.0300000000000004E-2</v>
      </c>
      <c r="Q35" s="1471">
        <f t="shared" si="11"/>
        <v>4.2099999999999999E-2</v>
      </c>
      <c r="R35" s="1472"/>
      <c r="S35" s="1470"/>
      <c r="T35" s="1471"/>
      <c r="U35" s="1471"/>
      <c r="V35" s="1471"/>
    </row>
    <row r="36" spans="1:26">
      <c r="A36" s="1459" t="s">
        <v>1177</v>
      </c>
      <c r="B36" s="1475">
        <f t="shared" si="21"/>
        <v>242.95398227588385</v>
      </c>
      <c r="C36" s="1475">
        <f t="shared" si="21"/>
        <v>199.59137053614126</v>
      </c>
      <c r="D36" s="1475">
        <f t="shared" si="9"/>
        <v>199.59137053614126</v>
      </c>
      <c r="E36" s="1475">
        <f t="shared" si="22"/>
        <v>335.92189522342125</v>
      </c>
      <c r="F36" s="1475">
        <f t="shared" si="22"/>
        <v>183.10139991109489</v>
      </c>
      <c r="G36" s="3324">
        <v>2010</v>
      </c>
      <c r="H36" s="1463">
        <v>2</v>
      </c>
      <c r="I36" s="1463">
        <v>4.6900000000000004</v>
      </c>
      <c r="J36" s="1463">
        <v>3.55</v>
      </c>
      <c r="K36" s="1463">
        <v>5.07</v>
      </c>
      <c r="L36" s="1477">
        <v>4.2300000000000004</v>
      </c>
      <c r="N36" s="1470">
        <f t="shared" si="11"/>
        <v>4.6900000000000004E-2</v>
      </c>
      <c r="O36" s="1471">
        <f t="shared" si="11"/>
        <v>3.5499999999999997E-2</v>
      </c>
      <c r="P36" s="1471">
        <f t="shared" si="11"/>
        <v>5.0700000000000002E-2</v>
      </c>
      <c r="Q36" s="1471">
        <f t="shared" si="11"/>
        <v>4.2300000000000004E-2</v>
      </c>
      <c r="R36" s="1472"/>
      <c r="S36" s="1470"/>
      <c r="T36" s="1471"/>
      <c r="U36" s="1471"/>
      <c r="V36" s="1471"/>
    </row>
    <row r="37" spans="1:26" ht="13.5" thickBot="1">
      <c r="A37" s="1459" t="s">
        <v>1178</v>
      </c>
      <c r="B37" s="1475">
        <f t="shared" si="21"/>
        <v>232.06990378821649</v>
      </c>
      <c r="C37" s="1475">
        <f t="shared" si="21"/>
        <v>192.74878854286936</v>
      </c>
      <c r="D37" s="1475">
        <f t="shared" si="9"/>
        <v>192.74878854286936</v>
      </c>
      <c r="E37" s="1475">
        <f t="shared" si="22"/>
        <v>319.71247284992984</v>
      </c>
      <c r="F37" s="1475">
        <f t="shared" si="22"/>
        <v>175.67053622862409</v>
      </c>
      <c r="G37" s="3325">
        <v>2010</v>
      </c>
      <c r="H37" s="1462">
        <v>1</v>
      </c>
      <c r="I37" s="1462">
        <v>5.4</v>
      </c>
      <c r="J37" s="1462">
        <v>3.2</v>
      </c>
      <c r="K37" s="1462">
        <v>6.16</v>
      </c>
      <c r="L37" s="1476">
        <v>4.51</v>
      </c>
      <c r="N37" s="1470">
        <f t="shared" si="11"/>
        <v>5.4000000000000006E-2</v>
      </c>
      <c r="O37" s="1471">
        <f t="shared" si="11"/>
        <v>3.2000000000000001E-2</v>
      </c>
      <c r="P37" s="1471">
        <f t="shared" si="11"/>
        <v>6.1600000000000002E-2</v>
      </c>
      <c r="Q37" s="1471">
        <f t="shared" si="11"/>
        <v>4.5100000000000001E-2</v>
      </c>
      <c r="R37" s="1472"/>
      <c r="S37" s="1478">
        <f>B37/B38-1</f>
        <v>5.4863199037347599E-2</v>
      </c>
      <c r="T37" s="1479">
        <f>C37/C38-1</f>
        <v>3.0742184721226584E-2</v>
      </c>
      <c r="U37" s="1479">
        <f>E37/E38-1</f>
        <v>6.2167683886810154E-2</v>
      </c>
      <c r="V37" s="1479">
        <f>F37/F38-1</f>
        <v>4.5657953741810031E-2</v>
      </c>
      <c r="X37" s="1458"/>
      <c r="Y37" s="1458"/>
      <c r="Z37" s="1458"/>
    </row>
    <row r="38" spans="1:26" ht="13.5" thickBot="1">
      <c r="A38" s="1459" t="s">
        <v>1179</v>
      </c>
      <c r="B38" s="1467">
        <v>220</v>
      </c>
      <c r="C38" s="1467">
        <v>187</v>
      </c>
      <c r="D38" s="1467">
        <f t="shared" si="9"/>
        <v>187</v>
      </c>
      <c r="E38" s="1467">
        <v>301</v>
      </c>
      <c r="F38" s="1468">
        <v>168</v>
      </c>
      <c r="G38" s="3323">
        <v>2009</v>
      </c>
      <c r="H38" s="1480">
        <v>4</v>
      </c>
      <c r="I38" s="1480">
        <v>2.2999999999999998</v>
      </c>
      <c r="J38" s="1480">
        <v>1.04</v>
      </c>
      <c r="K38" s="1480">
        <v>2.84</v>
      </c>
      <c r="L38" s="1481">
        <v>0.67</v>
      </c>
      <c r="N38" s="1482">
        <f t="shared" si="11"/>
        <v>2.3E-2</v>
      </c>
      <c r="O38" s="1483">
        <f t="shared" si="11"/>
        <v>1.04E-2</v>
      </c>
      <c r="P38" s="1483">
        <f t="shared" si="11"/>
        <v>2.8399999999999998E-2</v>
      </c>
      <c r="Q38" s="1483">
        <f t="shared" si="11"/>
        <v>6.7000000000000002E-3</v>
      </c>
      <c r="R38" s="1472"/>
      <c r="S38" s="1473"/>
      <c r="T38" s="1474"/>
      <c r="U38" s="1474"/>
      <c r="V38" s="1474"/>
      <c r="X38" s="1474"/>
      <c r="Y38" s="1474"/>
      <c r="Z38" s="1474"/>
    </row>
    <row r="39" spans="1:26">
      <c r="A39" s="1459" t="s">
        <v>1180</v>
      </c>
      <c r="B39" s="1475">
        <f t="shared" ref="B39:C41" si="23">B38/(1+N38)</f>
        <v>215.05376344086022</v>
      </c>
      <c r="C39" s="1475">
        <f t="shared" si="23"/>
        <v>185.0752177355503</v>
      </c>
      <c r="D39" s="1475">
        <f t="shared" si="9"/>
        <v>185.0752177355503</v>
      </c>
      <c r="E39" s="1475">
        <f t="shared" ref="E39:F41" si="24">E38/(1+P38)</f>
        <v>292.68767016725008</v>
      </c>
      <c r="F39" s="1475">
        <f t="shared" si="24"/>
        <v>166.88189132810174</v>
      </c>
      <c r="G39" s="3324">
        <v>2009</v>
      </c>
      <c r="H39" s="1485">
        <v>3</v>
      </c>
      <c r="I39" s="1485">
        <v>2.1</v>
      </c>
      <c r="J39" s="1485">
        <v>1.86</v>
      </c>
      <c r="K39" s="1485">
        <v>2.29</v>
      </c>
      <c r="L39" s="1486">
        <v>0.85</v>
      </c>
      <c r="N39" s="1470">
        <f t="shared" si="11"/>
        <v>2.1000000000000001E-2</v>
      </c>
      <c r="O39" s="1487">
        <f t="shared" si="11"/>
        <v>1.8600000000000002E-2</v>
      </c>
      <c r="P39" s="1487">
        <f t="shared" si="11"/>
        <v>2.29E-2</v>
      </c>
      <c r="Q39" s="1487">
        <f t="shared" si="11"/>
        <v>8.5000000000000006E-3</v>
      </c>
      <c r="R39" s="1472"/>
      <c r="S39" s="1470"/>
      <c r="T39" s="1471"/>
      <c r="U39" s="1471"/>
      <c r="V39" s="1471"/>
    </row>
    <row r="40" spans="1:26">
      <c r="A40" s="1459" t="s">
        <v>1181</v>
      </c>
      <c r="B40" s="1475">
        <f t="shared" si="23"/>
        <v>210.630522469011</v>
      </c>
      <c r="C40" s="1475">
        <f t="shared" si="23"/>
        <v>181.69567812247232</v>
      </c>
      <c r="D40" s="1475">
        <f t="shared" si="9"/>
        <v>181.69567812247232</v>
      </c>
      <c r="E40" s="1475">
        <f t="shared" si="24"/>
        <v>286.13517466736738</v>
      </c>
      <c r="F40" s="1475">
        <f t="shared" si="24"/>
        <v>165.47535084591149</v>
      </c>
      <c r="G40" s="3324">
        <v>2009</v>
      </c>
      <c r="H40" s="1463">
        <v>2</v>
      </c>
      <c r="I40" s="1463">
        <v>0.86</v>
      </c>
      <c r="J40" s="1463">
        <v>-1.1299999999999999</v>
      </c>
      <c r="K40" s="1463">
        <v>1.79</v>
      </c>
      <c r="L40" s="1477">
        <v>-2.0699999999999998</v>
      </c>
      <c r="N40" s="1470">
        <f t="shared" si="11"/>
        <v>8.6E-3</v>
      </c>
      <c r="O40" s="1487">
        <f t="shared" si="11"/>
        <v>-1.1299999999999999E-2</v>
      </c>
      <c r="P40" s="1487">
        <f t="shared" si="11"/>
        <v>1.7899999999999999E-2</v>
      </c>
      <c r="Q40" s="1487">
        <f t="shared" si="11"/>
        <v>-2.07E-2</v>
      </c>
      <c r="R40" s="1472"/>
      <c r="S40" s="1470"/>
      <c r="T40" s="1471"/>
      <c r="U40" s="1471"/>
      <c r="V40" s="1471"/>
    </row>
    <row r="41" spans="1:26">
      <c r="A41" s="1459" t="s">
        <v>1182</v>
      </c>
      <c r="B41" s="1475">
        <f t="shared" si="23"/>
        <v>208.83454537875372</v>
      </c>
      <c r="C41" s="1475">
        <f t="shared" si="23"/>
        <v>183.77230517090351</v>
      </c>
      <c r="D41" s="1475">
        <f t="shared" si="9"/>
        <v>183.77230517090351</v>
      </c>
      <c r="E41" s="1475">
        <f t="shared" si="24"/>
        <v>281.10342338870947</v>
      </c>
      <c r="F41" s="1475">
        <f t="shared" si="24"/>
        <v>168.97309388942256</v>
      </c>
      <c r="G41" s="3325">
        <v>2009</v>
      </c>
      <c r="H41" s="1462">
        <v>1</v>
      </c>
      <c r="I41" s="1462">
        <v>-2.64</v>
      </c>
      <c r="J41" s="1462">
        <v>-2.5299999999999998</v>
      </c>
      <c r="K41" s="1462">
        <v>-3.02</v>
      </c>
      <c r="L41" s="1476">
        <v>1.52</v>
      </c>
      <c r="N41" s="1478">
        <f t="shared" si="11"/>
        <v>-2.64E-2</v>
      </c>
      <c r="O41" s="1479">
        <f t="shared" si="11"/>
        <v>-2.53E-2</v>
      </c>
      <c r="P41" s="1479">
        <f t="shared" si="11"/>
        <v>-3.0200000000000001E-2</v>
      </c>
      <c r="Q41" s="1479">
        <f t="shared" si="11"/>
        <v>1.52E-2</v>
      </c>
      <c r="R41" s="1472"/>
      <c r="S41" s="1478">
        <f>B41/B42-1</f>
        <v>-2.4137638417038754E-2</v>
      </c>
      <c r="T41" s="1479">
        <f>C41/C42-1</f>
        <v>-2.248773845264096E-2</v>
      </c>
      <c r="U41" s="1479">
        <f>E41/E42-1</f>
        <v>-2.7323794502735366E-2</v>
      </c>
      <c r="V41" s="1479">
        <f>F41/F42-1</f>
        <v>1.7910204153148035E-2</v>
      </c>
      <c r="X41" s="1458"/>
      <c r="Y41" s="1458"/>
      <c r="Z41" s="1458"/>
    </row>
    <row r="42" spans="1:26" ht="13.5" thickBot="1">
      <c r="A42" s="1459" t="s">
        <v>1183</v>
      </c>
      <c r="B42" s="1509">
        <v>214</v>
      </c>
      <c r="C42" s="1509">
        <v>188</v>
      </c>
      <c r="D42" s="1509">
        <f t="shared" si="9"/>
        <v>188</v>
      </c>
      <c r="E42" s="1509">
        <v>289</v>
      </c>
      <c r="F42" s="1510">
        <v>166</v>
      </c>
      <c r="G42" s="3323">
        <v>2008</v>
      </c>
      <c r="H42" s="1480">
        <v>4</v>
      </c>
      <c r="I42" s="1480">
        <v>1.73</v>
      </c>
      <c r="J42" s="1480">
        <v>0.03</v>
      </c>
      <c r="K42" s="1480">
        <v>2.59</v>
      </c>
      <c r="L42" s="1481">
        <v>-1.66</v>
      </c>
      <c r="N42" s="1470">
        <f t="shared" si="11"/>
        <v>1.7299999999999999E-2</v>
      </c>
      <c r="O42" s="1471">
        <f t="shared" si="11"/>
        <v>2.9999999999999997E-4</v>
      </c>
      <c r="P42" s="1471">
        <f t="shared" si="11"/>
        <v>2.5899999999999999E-2</v>
      </c>
      <c r="Q42" s="1471">
        <f t="shared" si="11"/>
        <v>-1.66E-2</v>
      </c>
      <c r="R42" s="1472"/>
      <c r="S42" s="1473"/>
      <c r="T42" s="1474"/>
      <c r="U42" s="1474"/>
      <c r="V42" s="1474"/>
      <c r="X42" s="1474"/>
      <c r="Y42" s="1474"/>
      <c r="Z42" s="1474"/>
    </row>
    <row r="43" spans="1:26">
      <c r="A43" s="1459" t="s">
        <v>1184</v>
      </c>
      <c r="B43" s="1475">
        <f t="shared" ref="B43:C45" si="25">B42/(1+N42)</f>
        <v>210.36075887152265</v>
      </c>
      <c r="C43" s="1475">
        <f t="shared" si="25"/>
        <v>187.94361691492554</v>
      </c>
      <c r="D43" s="1475">
        <f t="shared" si="9"/>
        <v>187.94361691492554</v>
      </c>
      <c r="E43" s="1475">
        <f t="shared" ref="E43:F45" si="26">E42/(1+P42)</f>
        <v>281.70386977288234</v>
      </c>
      <c r="F43" s="1475">
        <f t="shared" si="26"/>
        <v>168.80211511083994</v>
      </c>
      <c r="G43" s="3324">
        <v>2008</v>
      </c>
      <c r="H43" s="1485">
        <v>3</v>
      </c>
      <c r="I43" s="1485">
        <v>1.96</v>
      </c>
      <c r="J43" s="1485">
        <v>2.36</v>
      </c>
      <c r="K43" s="1485">
        <v>1.82</v>
      </c>
      <c r="L43" s="1486">
        <v>2.2200000000000002</v>
      </c>
      <c r="N43" s="1470">
        <f t="shared" si="11"/>
        <v>1.9599999999999999E-2</v>
      </c>
      <c r="O43" s="1471">
        <f t="shared" si="11"/>
        <v>2.3599999999999999E-2</v>
      </c>
      <c r="P43" s="1471">
        <f t="shared" si="11"/>
        <v>1.8200000000000001E-2</v>
      </c>
      <c r="Q43" s="1471">
        <f t="shared" si="11"/>
        <v>2.2200000000000001E-2</v>
      </c>
      <c r="R43" s="1472"/>
      <c r="S43" s="1470"/>
      <c r="T43" s="1471"/>
      <c r="U43" s="1471"/>
      <c r="V43" s="1471"/>
    </row>
    <row r="44" spans="1:26">
      <c r="A44" s="1459" t="s">
        <v>1185</v>
      </c>
      <c r="B44" s="1475">
        <f t="shared" si="25"/>
        <v>206.31694671589116</v>
      </c>
      <c r="C44" s="1475">
        <f t="shared" si="25"/>
        <v>183.61041121036101</v>
      </c>
      <c r="D44" s="1475">
        <f t="shared" si="9"/>
        <v>183.61041121036101</v>
      </c>
      <c r="E44" s="1475">
        <f t="shared" si="26"/>
        <v>276.66850301795557</v>
      </c>
      <c r="F44" s="1475">
        <f t="shared" si="26"/>
        <v>165.1360938278614</v>
      </c>
      <c r="G44" s="3324">
        <v>2008</v>
      </c>
      <c r="H44" s="1463">
        <v>2</v>
      </c>
      <c r="I44" s="1463">
        <v>4.93</v>
      </c>
      <c r="J44" s="1463">
        <v>7.38</v>
      </c>
      <c r="K44" s="1463">
        <v>3.98</v>
      </c>
      <c r="L44" s="1477">
        <v>6.86</v>
      </c>
      <c r="N44" s="1470">
        <f t="shared" si="11"/>
        <v>4.9299999999999997E-2</v>
      </c>
      <c r="O44" s="1471">
        <f t="shared" si="11"/>
        <v>7.3800000000000004E-2</v>
      </c>
      <c r="P44" s="1471">
        <f t="shared" si="11"/>
        <v>3.9800000000000002E-2</v>
      </c>
      <c r="Q44" s="1471">
        <f t="shared" si="11"/>
        <v>6.8600000000000008E-2</v>
      </c>
      <c r="R44" s="1472"/>
      <c r="S44" s="1470"/>
      <c r="T44" s="1471"/>
      <c r="U44" s="1471"/>
      <c r="V44" s="1471"/>
    </row>
    <row r="45" spans="1:26" s="1515" customFormat="1" ht="13.5" thickBot="1">
      <c r="A45" s="1459" t="s">
        <v>1186</v>
      </c>
      <c r="B45" s="1512">
        <f t="shared" si="25"/>
        <v>196.62341248059772</v>
      </c>
      <c r="C45" s="1512">
        <f t="shared" si="25"/>
        <v>170.99125648199012</v>
      </c>
      <c r="D45" s="1512">
        <f t="shared" si="9"/>
        <v>170.99125648199012</v>
      </c>
      <c r="E45" s="1512">
        <f t="shared" si="26"/>
        <v>266.07857570490052</v>
      </c>
      <c r="F45" s="1512">
        <f t="shared" si="26"/>
        <v>154.53499328828505</v>
      </c>
      <c r="G45" s="3325">
        <v>2008</v>
      </c>
      <c r="H45" s="1513">
        <v>1</v>
      </c>
      <c r="I45" s="1513">
        <v>4.1399999999999997</v>
      </c>
      <c r="J45" s="1513">
        <v>3.45</v>
      </c>
      <c r="K45" s="1513">
        <v>4.95</v>
      </c>
      <c r="L45" s="1514">
        <v>4.82</v>
      </c>
      <c r="N45" s="1516">
        <f t="shared" si="11"/>
        <v>4.1399999999999999E-2</v>
      </c>
      <c r="O45" s="1517">
        <f t="shared" si="11"/>
        <v>3.4500000000000003E-2</v>
      </c>
      <c r="P45" s="1517">
        <f t="shared" si="11"/>
        <v>4.9500000000000002E-2</v>
      </c>
      <c r="Q45" s="1517">
        <f t="shared" si="11"/>
        <v>4.82E-2</v>
      </c>
      <c r="R45" s="1518"/>
      <c r="S45" s="1516">
        <f>B45/B46-1</f>
        <v>4.5869215322328349E-2</v>
      </c>
      <c r="T45" s="1517">
        <f>C45/C46-1</f>
        <v>3.6310645345394743E-2</v>
      </c>
      <c r="U45" s="1517">
        <f>E45/E46-1</f>
        <v>4.7553447657088688E-2</v>
      </c>
      <c r="V45" s="1517">
        <f>F45/F46-1</f>
        <v>4.4155360055980086E-2</v>
      </c>
      <c r="X45" s="1519"/>
      <c r="Y45" s="1519"/>
      <c r="Z45" s="1519"/>
    </row>
    <row r="46" spans="1:26" ht="13.5" thickBot="1">
      <c r="A46" s="1459" t="s">
        <v>1187</v>
      </c>
      <c r="B46" s="1467">
        <v>188</v>
      </c>
      <c r="C46" s="1467">
        <v>165</v>
      </c>
      <c r="D46" s="1467">
        <f t="shared" si="9"/>
        <v>165</v>
      </c>
      <c r="E46" s="1467">
        <v>254</v>
      </c>
      <c r="F46" s="1468">
        <v>148</v>
      </c>
      <c r="G46" s="3323">
        <v>2007</v>
      </c>
      <c r="H46" s="1520">
        <v>4</v>
      </c>
      <c r="I46" s="1520">
        <v>5.51</v>
      </c>
      <c r="J46" s="1520">
        <v>4.8899999999999997</v>
      </c>
      <c r="K46" s="1520">
        <v>6.43</v>
      </c>
      <c r="L46" s="1521">
        <v>5.36</v>
      </c>
      <c r="N46" s="1522">
        <f t="shared" ref="N46:O49" si="27">B46/B47-1</f>
        <v>4.1339718365245526E-2</v>
      </c>
      <c r="O46" s="1523">
        <f t="shared" si="27"/>
        <v>4.0324492593776018E-2</v>
      </c>
      <c r="P46" s="1523">
        <f t="shared" ref="P46:Q49" si="28">E46/E47-1</f>
        <v>6.1625555347990968E-2</v>
      </c>
      <c r="Q46" s="1523">
        <f t="shared" si="28"/>
        <v>4.6757569250590603E-2</v>
      </c>
      <c r="R46" s="1472"/>
      <c r="S46" s="1473"/>
      <c r="T46" s="1474"/>
      <c r="U46" s="1474"/>
      <c r="V46" s="1474"/>
      <c r="X46" s="1474"/>
      <c r="Y46" s="1474"/>
      <c r="Z46" s="1474"/>
    </row>
    <row r="47" spans="1:26">
      <c r="A47" s="1459" t="s">
        <v>1188</v>
      </c>
      <c r="B47" s="1475">
        <f t="shared" ref="B47:C49" si="29">B48+(B$46-B$50)*I47/SUM(I$46:I$49)</f>
        <v>180.5366651097618</v>
      </c>
      <c r="C47" s="1475">
        <f t="shared" si="29"/>
        <v>158.60435967302453</v>
      </c>
      <c r="D47" s="1475">
        <f t="shared" si="9"/>
        <v>158.60435967302453</v>
      </c>
      <c r="E47" s="1475">
        <f t="shared" ref="E47:F49" si="30">E48+(E$46-E$50)*K47/SUM(K$46:K$49)</f>
        <v>239.25573260785075</v>
      </c>
      <c r="F47" s="1475">
        <f t="shared" si="30"/>
        <v>141.38899430740037</v>
      </c>
      <c r="G47" s="3324">
        <v>2007</v>
      </c>
      <c r="H47" s="1485">
        <v>3</v>
      </c>
      <c r="I47" s="1485">
        <v>8.65</v>
      </c>
      <c r="J47" s="1485">
        <v>8.06</v>
      </c>
      <c r="K47" s="1485">
        <v>9.94</v>
      </c>
      <c r="L47" s="1486">
        <v>5.8</v>
      </c>
      <c r="N47" s="1522">
        <f t="shared" si="27"/>
        <v>6.940217571740015E-2</v>
      </c>
      <c r="O47" s="1523">
        <f t="shared" si="27"/>
        <v>7.1197482471153428E-2</v>
      </c>
      <c r="P47" s="1523">
        <f t="shared" si="28"/>
        <v>0.10529679922579582</v>
      </c>
      <c r="Q47" s="1523">
        <f t="shared" si="28"/>
        <v>5.3292245059512133E-2</v>
      </c>
      <c r="R47" s="1472"/>
      <c r="S47" s="1470"/>
      <c r="T47" s="1471"/>
      <c r="U47" s="1471"/>
      <c r="V47" s="1471"/>
      <c r="X47" s="1524"/>
      <c r="Y47" s="1524"/>
      <c r="Z47" s="1524"/>
    </row>
    <row r="48" spans="1:26">
      <c r="A48" s="1459" t="s">
        <v>1189</v>
      </c>
      <c r="B48" s="1475">
        <f t="shared" si="29"/>
        <v>168.82017748715555</v>
      </c>
      <c r="C48" s="1475">
        <f t="shared" si="29"/>
        <v>148.06267029972753</v>
      </c>
      <c r="D48" s="1475">
        <f t="shared" si="9"/>
        <v>148.06267029972753</v>
      </c>
      <c r="E48" s="1475">
        <f t="shared" si="30"/>
        <v>216.46288379323747</v>
      </c>
      <c r="F48" s="1475">
        <f t="shared" si="30"/>
        <v>134.23529411764704</v>
      </c>
      <c r="G48" s="3324">
        <v>2007</v>
      </c>
      <c r="H48" s="1463">
        <v>2</v>
      </c>
      <c r="I48" s="1463">
        <v>3.67</v>
      </c>
      <c r="J48" s="1463">
        <v>2.3199999999999998</v>
      </c>
      <c r="K48" s="1463">
        <v>5.0199999999999996</v>
      </c>
      <c r="L48" s="1477">
        <v>6.71</v>
      </c>
      <c r="N48" s="1522">
        <f t="shared" si="27"/>
        <v>3.0339138143848032E-2</v>
      </c>
      <c r="O48" s="1523">
        <f t="shared" si="27"/>
        <v>2.0922341588790472E-2</v>
      </c>
      <c r="P48" s="1523">
        <f t="shared" si="28"/>
        <v>5.6164796592717003E-2</v>
      </c>
      <c r="Q48" s="1523">
        <f t="shared" si="28"/>
        <v>6.5704536723887319E-2</v>
      </c>
      <c r="R48" s="1472"/>
      <c r="S48" s="1470"/>
      <c r="T48" s="1471"/>
      <c r="U48" s="1471"/>
      <c r="V48" s="1471"/>
      <c r="X48" s="1524"/>
      <c r="Y48" s="1524"/>
      <c r="Z48" s="1524"/>
    </row>
    <row r="49" spans="1:26">
      <c r="A49" s="1459" t="s">
        <v>1190</v>
      </c>
      <c r="B49" s="1475">
        <f t="shared" si="29"/>
        <v>163.84913591779542</v>
      </c>
      <c r="C49" s="1475">
        <f t="shared" si="29"/>
        <v>145.0283378746594</v>
      </c>
      <c r="D49" s="1475">
        <f t="shared" si="9"/>
        <v>145.0283378746594</v>
      </c>
      <c r="E49" s="1475">
        <f t="shared" si="30"/>
        <v>204.95180722891567</v>
      </c>
      <c r="F49" s="1475">
        <f t="shared" si="30"/>
        <v>125.95920303605313</v>
      </c>
      <c r="G49" s="3325">
        <v>2007</v>
      </c>
      <c r="H49" s="1462">
        <v>1</v>
      </c>
      <c r="I49" s="1462">
        <v>3.58</v>
      </c>
      <c r="J49" s="1462">
        <v>3.08</v>
      </c>
      <c r="K49" s="1462">
        <v>4.34</v>
      </c>
      <c r="L49" s="1476">
        <v>3.21</v>
      </c>
      <c r="N49" s="1525">
        <f t="shared" si="27"/>
        <v>3.0497710174814063E-2</v>
      </c>
      <c r="O49" s="1526">
        <f t="shared" si="27"/>
        <v>2.8569772160704998E-2</v>
      </c>
      <c r="P49" s="1526">
        <f t="shared" si="28"/>
        <v>5.1034908866234296E-2</v>
      </c>
      <c r="Q49" s="1526">
        <f t="shared" si="28"/>
        <v>3.245248390207478E-2</v>
      </c>
      <c r="R49" s="1472"/>
      <c r="S49" s="1478">
        <f>B49/B50-1</f>
        <v>3.0497710174814063E-2</v>
      </c>
      <c r="T49" s="1479">
        <f>C49/C50-1</f>
        <v>2.8569772160704998E-2</v>
      </c>
      <c r="U49" s="1479">
        <f>E49/E50-1</f>
        <v>5.1034908866234296E-2</v>
      </c>
      <c r="V49" s="1479">
        <f>F49/F50-1</f>
        <v>3.245248390207478E-2</v>
      </c>
      <c r="X49" s="1524"/>
      <c r="Y49" s="1524"/>
      <c r="Z49" s="1524"/>
    </row>
    <row r="50" spans="1:26" ht="13.5" thickBot="1">
      <c r="A50" s="1459" t="s">
        <v>1191</v>
      </c>
      <c r="B50" s="1488">
        <v>159</v>
      </c>
      <c r="C50" s="1488">
        <v>141</v>
      </c>
      <c r="D50" s="1488">
        <f t="shared" si="9"/>
        <v>141</v>
      </c>
      <c r="E50" s="1488">
        <v>195</v>
      </c>
      <c r="F50" s="1489">
        <v>122</v>
      </c>
      <c r="G50" s="3323">
        <v>2006</v>
      </c>
      <c r="H50" s="1480">
        <v>4</v>
      </c>
      <c r="I50" s="1480">
        <v>3.79</v>
      </c>
      <c r="J50" s="1480">
        <v>2.21</v>
      </c>
      <c r="K50" s="1480">
        <v>5.65</v>
      </c>
      <c r="L50" s="1481">
        <v>5.41</v>
      </c>
      <c r="N50" s="1522">
        <f t="shared" ref="N50:O53" si="31">I50/SUM(I$50:I$53)*(B$50/B$54-1)</f>
        <v>7.245466462748526E-2</v>
      </c>
      <c r="O50" s="1523">
        <f t="shared" si="31"/>
        <v>2.3237230038062766E-2</v>
      </c>
      <c r="P50" s="1523">
        <f t="shared" ref="P50:Q53" si="32">K50/SUM(K$50:K$53)*(E$50/E$54-1)</f>
        <v>0.16146893866323722</v>
      </c>
      <c r="Q50" s="1523">
        <f t="shared" si="32"/>
        <v>5.0755230321793784E-2</v>
      </c>
      <c r="R50" s="1472"/>
      <c r="S50" s="1473"/>
      <c r="T50" s="1474"/>
      <c r="U50" s="1474"/>
      <c r="V50" s="1474"/>
      <c r="X50" s="1524"/>
      <c r="Y50" s="1524"/>
      <c r="Z50" s="1524"/>
    </row>
    <row r="51" spans="1:26">
      <c r="A51" s="1459" t="s">
        <v>1192</v>
      </c>
      <c r="B51" s="1475">
        <f t="shared" ref="B51:C53" si="33">B52+(B$50-B$54)*I51/SUM(I$50:I$53)</f>
        <v>149.00125628140702</v>
      </c>
      <c r="C51" s="1475">
        <f t="shared" si="33"/>
        <v>137.95592286501378</v>
      </c>
      <c r="D51" s="1475">
        <f t="shared" si="9"/>
        <v>137.95592286501378</v>
      </c>
      <c r="E51" s="1475">
        <f t="shared" ref="E51:F53" si="34">E52+(E$50-E$54)*K51/SUM(K$50:K$53)</f>
        <v>169.97231450719823</v>
      </c>
      <c r="F51" s="1475">
        <f t="shared" si="34"/>
        <v>116.21390374331551</v>
      </c>
      <c r="G51" s="3324">
        <v>2006</v>
      </c>
      <c r="H51" s="1485">
        <v>3</v>
      </c>
      <c r="I51" s="1485">
        <v>0.92</v>
      </c>
      <c r="J51" s="1485">
        <v>1.08</v>
      </c>
      <c r="K51" s="1485">
        <v>0.73</v>
      </c>
      <c r="L51" s="1486">
        <v>1.08</v>
      </c>
      <c r="N51" s="1522">
        <f t="shared" si="31"/>
        <v>1.7587939698492462E-2</v>
      </c>
      <c r="O51" s="1523">
        <f t="shared" si="31"/>
        <v>1.1355750425840628E-2</v>
      </c>
      <c r="P51" s="1523">
        <f t="shared" si="32"/>
        <v>2.0862358446754544E-2</v>
      </c>
      <c r="Q51" s="1523">
        <f t="shared" si="32"/>
        <v>1.0132282578103011E-2</v>
      </c>
      <c r="R51" s="1472"/>
      <c r="S51" s="1470"/>
      <c r="T51" s="1471"/>
      <c r="U51" s="1471"/>
      <c r="V51" s="1471"/>
      <c r="X51" s="1524"/>
      <c r="Y51" s="1524"/>
      <c r="Z51" s="1524"/>
    </row>
    <row r="52" spans="1:26">
      <c r="A52" s="1459" t="s">
        <v>1193</v>
      </c>
      <c r="B52" s="1475">
        <f t="shared" si="33"/>
        <v>146.57412060301507</v>
      </c>
      <c r="C52" s="1475">
        <f t="shared" si="33"/>
        <v>136.46831955922866</v>
      </c>
      <c r="D52" s="1475">
        <f t="shared" si="9"/>
        <v>136.46831955922866</v>
      </c>
      <c r="E52" s="1475">
        <f t="shared" si="34"/>
        <v>166.73864894795128</v>
      </c>
      <c r="F52" s="1475">
        <f t="shared" si="34"/>
        <v>115.05882352941177</v>
      </c>
      <c r="G52" s="3324">
        <v>2006</v>
      </c>
      <c r="H52" s="1463">
        <v>2</v>
      </c>
      <c r="I52" s="1463">
        <v>0.96</v>
      </c>
      <c r="J52" s="1463">
        <v>0.25</v>
      </c>
      <c r="K52" s="1463">
        <v>1.9</v>
      </c>
      <c r="L52" s="1477">
        <v>0.95</v>
      </c>
      <c r="N52" s="1522">
        <f t="shared" si="31"/>
        <v>1.8352632728861701E-2</v>
      </c>
      <c r="O52" s="1523">
        <f t="shared" si="31"/>
        <v>2.6286459319075526E-3</v>
      </c>
      <c r="P52" s="1523">
        <f t="shared" si="32"/>
        <v>5.4299289107991269E-2</v>
      </c>
      <c r="Q52" s="1523">
        <f t="shared" si="32"/>
        <v>8.9126559714794995E-3</v>
      </c>
      <c r="R52" s="1472"/>
      <c r="S52" s="1470"/>
      <c r="T52" s="1471"/>
      <c r="U52" s="1471"/>
      <c r="V52" s="1471"/>
      <c r="X52" s="1524"/>
      <c r="Y52" s="1524"/>
      <c r="Z52" s="1524"/>
    </row>
    <row r="53" spans="1:26">
      <c r="A53" s="1459" t="s">
        <v>1194</v>
      </c>
      <c r="B53" s="1475">
        <f t="shared" si="33"/>
        <v>144.04145728643215</v>
      </c>
      <c r="C53" s="1475">
        <f t="shared" si="33"/>
        <v>136.12396694214877</v>
      </c>
      <c r="D53" s="1475">
        <f t="shared" si="9"/>
        <v>136.12396694214877</v>
      </c>
      <c r="E53" s="1475">
        <f t="shared" si="34"/>
        <v>158.32225913621264</v>
      </c>
      <c r="F53" s="1475">
        <f t="shared" si="34"/>
        <v>114.04278074866311</v>
      </c>
      <c r="G53" s="3325">
        <v>2006</v>
      </c>
      <c r="H53" s="1462">
        <v>1</v>
      </c>
      <c r="I53" s="1462">
        <v>2.29</v>
      </c>
      <c r="J53" s="1462">
        <v>3.72</v>
      </c>
      <c r="K53" s="1462">
        <v>0.75</v>
      </c>
      <c r="L53" s="1476">
        <v>0.04</v>
      </c>
      <c r="N53" s="1525">
        <f t="shared" si="31"/>
        <v>4.3778675988638847E-2</v>
      </c>
      <c r="O53" s="1526">
        <f t="shared" si="31"/>
        <v>3.9114251466784385E-2</v>
      </c>
      <c r="P53" s="1526">
        <f t="shared" si="32"/>
        <v>2.1433929911049188E-2</v>
      </c>
      <c r="Q53" s="1526">
        <f t="shared" si="32"/>
        <v>3.7526972511492629E-4</v>
      </c>
      <c r="R53" s="1472"/>
      <c r="S53" s="1478">
        <f>B53/B54-1</f>
        <v>4.3778675988638716E-2</v>
      </c>
      <c r="T53" s="1479">
        <f>C53/C54-1</f>
        <v>3.91142514667846E-2</v>
      </c>
      <c r="U53" s="1479">
        <f>E53/E54-1</f>
        <v>2.143392991104931E-2</v>
      </c>
      <c r="V53" s="1479">
        <f>F53/F54-1</f>
        <v>3.7526972511492396E-4</v>
      </c>
      <c r="X53" s="1524"/>
      <c r="Y53" s="1524"/>
      <c r="Z53" s="1524"/>
    </row>
    <row r="54" spans="1:26" ht="13.5" thickBot="1">
      <c r="A54" s="1459" t="s">
        <v>1195</v>
      </c>
      <c r="B54" s="1488">
        <v>138</v>
      </c>
      <c r="C54" s="1488">
        <v>131</v>
      </c>
      <c r="D54" s="1488">
        <f t="shared" si="9"/>
        <v>131</v>
      </c>
      <c r="E54" s="1488">
        <v>155</v>
      </c>
      <c r="F54" s="1489">
        <v>114</v>
      </c>
      <c r="G54" s="3323">
        <v>2005</v>
      </c>
      <c r="H54" s="1480">
        <v>4</v>
      </c>
      <c r="I54" s="1480">
        <v>3.29</v>
      </c>
      <c r="J54" s="1480">
        <v>1.44</v>
      </c>
      <c r="K54" s="1480">
        <v>0.66</v>
      </c>
      <c r="L54" s="1481">
        <v>7.78</v>
      </c>
      <c r="N54" s="1522">
        <f t="shared" ref="N54:O57" si="35">I54/SUM(I$54:I$57)*(B$54/B$58-1)</f>
        <v>9.9404603216919935E-2</v>
      </c>
      <c r="O54" s="1523">
        <f t="shared" si="35"/>
        <v>4.7636550760861554E-2</v>
      </c>
      <c r="P54" s="1523">
        <f t="shared" ref="P54:Q57" si="36">K54/SUM(K$54:K$57)*(E$54/E$58-1)</f>
        <v>8.3756345177664976E-2</v>
      </c>
      <c r="Q54" s="1523">
        <f t="shared" si="36"/>
        <v>5.2148766661559584E-2</v>
      </c>
      <c r="R54" s="1472"/>
      <c r="S54" s="1473"/>
      <c r="T54" s="1474"/>
      <c r="U54" s="1474"/>
      <c r="V54" s="1474"/>
      <c r="X54" s="1524"/>
      <c r="Y54" s="1524"/>
      <c r="Z54" s="1524"/>
    </row>
    <row r="55" spans="1:26">
      <c r="A55" s="1459" t="s">
        <v>1196</v>
      </c>
      <c r="B55" s="1475">
        <f t="shared" ref="B55:C57" si="37">B56+(B$54-B$58)*I55/SUM(I$54:I$57)</f>
        <v>125.9720430107527</v>
      </c>
      <c r="C55" s="1475">
        <f t="shared" si="37"/>
        <v>125.1883408071749</v>
      </c>
      <c r="D55" s="1475">
        <f t="shared" si="9"/>
        <v>125.1883408071749</v>
      </c>
      <c r="E55" s="1475">
        <f t="shared" ref="E55:F57" si="38">E56+(E$54-E$58)*K55/SUM(K$54:K$57)</f>
        <v>144.61421319796952</v>
      </c>
      <c r="F55" s="1475">
        <f t="shared" si="38"/>
        <v>108.42008196721311</v>
      </c>
      <c r="G55" s="3324">
        <v>2005</v>
      </c>
      <c r="H55" s="1485">
        <v>3</v>
      </c>
      <c r="I55" s="1485">
        <v>0.46</v>
      </c>
      <c r="J55" s="1485">
        <v>0.32</v>
      </c>
      <c r="K55" s="1485">
        <v>0.42</v>
      </c>
      <c r="L55" s="1486">
        <v>0.64</v>
      </c>
      <c r="N55" s="1522">
        <f t="shared" si="35"/>
        <v>1.3898515951301874E-2</v>
      </c>
      <c r="O55" s="1523">
        <f t="shared" si="35"/>
        <v>1.0585900169080346E-2</v>
      </c>
      <c r="P55" s="1523">
        <f t="shared" si="36"/>
        <v>5.3299492385786795E-2</v>
      </c>
      <c r="Q55" s="1523">
        <f t="shared" si="36"/>
        <v>4.2898728359123568E-3</v>
      </c>
      <c r="R55" s="1472"/>
      <c r="S55" s="1470"/>
      <c r="T55" s="1471"/>
      <c r="U55" s="1471"/>
      <c r="V55" s="1471"/>
      <c r="X55" s="1524"/>
      <c r="Y55" s="1524"/>
      <c r="Z55" s="1524"/>
    </row>
    <row r="56" spans="1:26">
      <c r="A56" s="1459" t="s">
        <v>1197</v>
      </c>
      <c r="B56" s="1475">
        <f t="shared" si="37"/>
        <v>124.29032258064517</v>
      </c>
      <c r="C56" s="1475">
        <f t="shared" si="37"/>
        <v>123.8968609865471</v>
      </c>
      <c r="D56" s="1475">
        <f t="shared" si="9"/>
        <v>123.8968609865471</v>
      </c>
      <c r="E56" s="1475">
        <f t="shared" si="38"/>
        <v>138.00507614213197</v>
      </c>
      <c r="F56" s="1475">
        <f t="shared" si="38"/>
        <v>107.96106557377048</v>
      </c>
      <c r="G56" s="3324">
        <v>2005</v>
      </c>
      <c r="H56" s="1463">
        <v>2</v>
      </c>
      <c r="I56" s="1463">
        <v>0.47</v>
      </c>
      <c r="J56" s="1463">
        <v>0.1</v>
      </c>
      <c r="K56" s="1463">
        <v>0.52</v>
      </c>
      <c r="L56" s="1477">
        <v>0.79</v>
      </c>
      <c r="N56" s="1522">
        <f t="shared" si="35"/>
        <v>1.420065760241713E-2</v>
      </c>
      <c r="O56" s="1523">
        <f t="shared" si="35"/>
        <v>3.3080938028376083E-3</v>
      </c>
      <c r="P56" s="1523">
        <f t="shared" si="36"/>
        <v>6.598984771573603E-2</v>
      </c>
      <c r="Q56" s="1523">
        <f t="shared" si="36"/>
        <v>5.2953117818293153E-3</v>
      </c>
      <c r="R56" s="1472"/>
      <c r="S56" s="1470"/>
      <c r="T56" s="1471"/>
      <c r="U56" s="1471"/>
      <c r="V56" s="1471"/>
      <c r="X56" s="1524"/>
      <c r="Y56" s="1524"/>
      <c r="Z56" s="1524"/>
    </row>
    <row r="57" spans="1:26">
      <c r="A57" s="1459" t="s">
        <v>1198</v>
      </c>
      <c r="B57" s="1475">
        <f t="shared" si="37"/>
        <v>122.57204301075269</v>
      </c>
      <c r="C57" s="1475">
        <f t="shared" si="37"/>
        <v>123.4932735426009</v>
      </c>
      <c r="D57" s="1475">
        <f t="shared" si="9"/>
        <v>123.4932735426009</v>
      </c>
      <c r="E57" s="1475">
        <f t="shared" si="38"/>
        <v>129.82233502538071</v>
      </c>
      <c r="F57" s="1475">
        <f t="shared" si="38"/>
        <v>107.39446721311475</v>
      </c>
      <c r="G57" s="3325">
        <v>2005</v>
      </c>
      <c r="H57" s="1462">
        <v>1</v>
      </c>
      <c r="I57" s="1462">
        <v>0.43</v>
      </c>
      <c r="J57" s="1462">
        <v>0.37</v>
      </c>
      <c r="K57" s="1462">
        <v>0.37</v>
      </c>
      <c r="L57" s="1476">
        <v>0.55000000000000004</v>
      </c>
      <c r="N57" s="1525">
        <f t="shared" si="35"/>
        <v>1.2992090997956099E-2</v>
      </c>
      <c r="O57" s="1526">
        <f t="shared" si="35"/>
        <v>1.2239947070499151E-2</v>
      </c>
      <c r="P57" s="1526">
        <f t="shared" si="36"/>
        <v>4.6954314720812178E-2</v>
      </c>
      <c r="Q57" s="1526">
        <f t="shared" si="36"/>
        <v>3.6866094683621815E-3</v>
      </c>
      <c r="R57" s="1472"/>
      <c r="S57" s="1478">
        <f>B57/B58-1</f>
        <v>1.2992090997956174E-2</v>
      </c>
      <c r="T57" s="1479">
        <f>C57/C58-1</f>
        <v>1.2239947070499246E-2</v>
      </c>
      <c r="U57" s="1479">
        <f>E57/E58-1</f>
        <v>4.695431472081224E-2</v>
      </c>
      <c r="V57" s="1479">
        <f>F57/F58-1</f>
        <v>3.6866094683620787E-3</v>
      </c>
      <c r="X57" s="1524"/>
      <c r="Y57" s="1524"/>
      <c r="Z57" s="1524"/>
    </row>
    <row r="58" spans="1:26" ht="13.5" thickBot="1">
      <c r="A58" s="1459" t="s">
        <v>1199</v>
      </c>
      <c r="B58" s="1509">
        <v>121</v>
      </c>
      <c r="C58" s="1509">
        <v>122</v>
      </c>
      <c r="D58" s="1509">
        <f t="shared" si="9"/>
        <v>122</v>
      </c>
      <c r="E58" s="1509">
        <v>124</v>
      </c>
      <c r="F58" s="1510">
        <v>107</v>
      </c>
      <c r="G58" s="3323">
        <v>2004</v>
      </c>
      <c r="H58" s="1480">
        <v>4</v>
      </c>
      <c r="I58" s="1480">
        <v>0.33</v>
      </c>
      <c r="J58" s="1480">
        <v>0.5</v>
      </c>
      <c r="K58" s="1480">
        <v>0.5</v>
      </c>
      <c r="L58" s="1481">
        <v>0</v>
      </c>
      <c r="N58" s="1522">
        <f t="shared" ref="N58:O61" si="39">I58/SUM(I$58:I$61)*(B$58/B$62-1)</f>
        <v>1.3391770148526898E-2</v>
      </c>
      <c r="O58" s="1523">
        <f t="shared" si="39"/>
        <v>1.063264221158958E-2</v>
      </c>
      <c r="P58" s="1523">
        <f t="shared" ref="P58:Q61" si="40">K58/SUM(K$58:K$61)*(E$58/E$62-1)</f>
        <v>2.2244466688911134E-2</v>
      </c>
      <c r="Q58" s="1523">
        <f t="shared" si="40"/>
        <v>0</v>
      </c>
      <c r="R58" s="1472"/>
      <c r="S58" s="1473"/>
      <c r="T58" s="1474"/>
      <c r="U58" s="1474"/>
      <c r="V58" s="1474"/>
      <c r="X58" s="1524"/>
      <c r="Y58" s="1524"/>
      <c r="Z58" s="1524"/>
    </row>
    <row r="59" spans="1:26">
      <c r="A59" s="1459" t="s">
        <v>1200</v>
      </c>
      <c r="B59" s="1475">
        <f t="shared" ref="B59:C61" si="41">B60+(B$58-B$62)*I59/SUM(I$58:I$61)</f>
        <v>119.51351351351352</v>
      </c>
      <c r="C59" s="1475">
        <f t="shared" si="41"/>
        <v>120.7878787878788</v>
      </c>
      <c r="D59" s="1475">
        <f t="shared" si="9"/>
        <v>120.7878787878788</v>
      </c>
      <c r="E59" s="1475">
        <f t="shared" ref="E59:F61" si="42">E60+(E$58-E$62)*K59/SUM(K$58:K$61)</f>
        <v>121.5975975975976</v>
      </c>
      <c r="F59" s="1475">
        <f t="shared" si="42"/>
        <v>107</v>
      </c>
      <c r="G59" s="3324">
        <v>2004</v>
      </c>
      <c r="H59" s="1485">
        <v>3</v>
      </c>
      <c r="I59" s="1485">
        <v>0.56000000000000005</v>
      </c>
      <c r="J59" s="1485">
        <v>0.8</v>
      </c>
      <c r="K59" s="1485">
        <v>0.83</v>
      </c>
      <c r="L59" s="1486">
        <v>0.06</v>
      </c>
      <c r="N59" s="1522">
        <f t="shared" si="39"/>
        <v>2.2725428130833527E-2</v>
      </c>
      <c r="O59" s="1523">
        <f t="shared" si="39"/>
        <v>1.7012227538543329E-2</v>
      </c>
      <c r="P59" s="1523">
        <f t="shared" si="40"/>
        <v>3.6925814703592477E-2</v>
      </c>
      <c r="Q59" s="1523">
        <f t="shared" si="40"/>
        <v>2.8846153846153744E-2</v>
      </c>
      <c r="R59" s="1472"/>
      <c r="S59" s="1470"/>
      <c r="T59" s="1471"/>
      <c r="U59" s="1471"/>
      <c r="V59" s="1471"/>
      <c r="X59" s="1524"/>
      <c r="Y59" s="1524"/>
      <c r="Z59" s="1524"/>
    </row>
    <row r="60" spans="1:26">
      <c r="A60" s="1459" t="s">
        <v>1201</v>
      </c>
      <c r="B60" s="1475">
        <f t="shared" si="41"/>
        <v>116.99099099099099</v>
      </c>
      <c r="C60" s="1475">
        <f t="shared" si="41"/>
        <v>118.84848484848486</v>
      </c>
      <c r="D60" s="1475">
        <f t="shared" si="9"/>
        <v>118.84848484848486</v>
      </c>
      <c r="E60" s="1475">
        <f t="shared" si="42"/>
        <v>117.60960960960961</v>
      </c>
      <c r="F60" s="1475">
        <f t="shared" si="42"/>
        <v>104</v>
      </c>
      <c r="G60" s="3324">
        <v>2004</v>
      </c>
      <c r="H60" s="1463">
        <v>2</v>
      </c>
      <c r="I60" s="1463">
        <v>1</v>
      </c>
      <c r="J60" s="1463">
        <v>1.5</v>
      </c>
      <c r="K60" s="1463">
        <v>1.5</v>
      </c>
      <c r="L60" s="1477">
        <v>0</v>
      </c>
      <c r="N60" s="1522">
        <f t="shared" si="39"/>
        <v>4.0581121662202721E-2</v>
      </c>
      <c r="O60" s="1523">
        <f t="shared" si="39"/>
        <v>3.1897926634768738E-2</v>
      </c>
      <c r="P60" s="1523">
        <f t="shared" si="40"/>
        <v>6.6733400066733395E-2</v>
      </c>
      <c r="Q60" s="1523">
        <f t="shared" si="40"/>
        <v>0</v>
      </c>
      <c r="R60" s="1472"/>
      <c r="S60" s="1470"/>
      <c r="T60" s="1471"/>
      <c r="U60" s="1471"/>
      <c r="V60" s="1471"/>
      <c r="X60" s="1524"/>
      <c r="Y60" s="1524"/>
      <c r="Z60" s="1524"/>
    </row>
    <row r="61" spans="1:26" s="1515" customFormat="1" ht="13.5" thickBot="1">
      <c r="A61" s="1459" t="s">
        <v>1202</v>
      </c>
      <c r="B61" s="1512">
        <f t="shared" si="41"/>
        <v>112.48648648648648</v>
      </c>
      <c r="C61" s="1512">
        <f t="shared" si="41"/>
        <v>115.21212121212122</v>
      </c>
      <c r="D61" s="1512">
        <f t="shared" si="9"/>
        <v>115.21212121212122</v>
      </c>
      <c r="E61" s="1512">
        <f t="shared" si="42"/>
        <v>110.4024024024024</v>
      </c>
      <c r="F61" s="1512">
        <f t="shared" si="42"/>
        <v>104</v>
      </c>
      <c r="G61" s="3325">
        <v>2004</v>
      </c>
      <c r="H61" s="1513">
        <v>1</v>
      </c>
      <c r="I61" s="1513">
        <v>0.33</v>
      </c>
      <c r="J61" s="1513">
        <v>0.5</v>
      </c>
      <c r="K61" s="1513">
        <v>0.5</v>
      </c>
      <c r="L61" s="1514">
        <v>0</v>
      </c>
      <c r="N61" s="1527">
        <f t="shared" si="39"/>
        <v>1.3391770148526898E-2</v>
      </c>
      <c r="O61" s="1528">
        <f t="shared" si="39"/>
        <v>1.063264221158958E-2</v>
      </c>
      <c r="P61" s="1528">
        <f t="shared" si="40"/>
        <v>2.2244466688911134E-2</v>
      </c>
      <c r="Q61" s="1528">
        <f t="shared" si="40"/>
        <v>0</v>
      </c>
      <c r="R61" s="1518"/>
      <c r="S61" s="1516">
        <f>B61/B62-1</f>
        <v>1.3391770148526883E-2</v>
      </c>
      <c r="T61" s="1517">
        <f>C61/C62-1</f>
        <v>1.063264221158966E-2</v>
      </c>
      <c r="U61" s="1517">
        <f>E61/E62-1</f>
        <v>2.2244466688911224E-2</v>
      </c>
      <c r="V61" s="1517">
        <f>F61/F62-1</f>
        <v>0</v>
      </c>
      <c r="X61" s="1529"/>
      <c r="Y61" s="1529"/>
      <c r="Z61" s="1529"/>
    </row>
    <row r="62" spans="1:26" ht="13.5" thickBot="1">
      <c r="A62" s="1459" t="s">
        <v>1203</v>
      </c>
      <c r="B62" s="1530">
        <v>111</v>
      </c>
      <c r="C62" s="1530">
        <v>114</v>
      </c>
      <c r="D62" s="1530">
        <f t="shared" si="9"/>
        <v>114</v>
      </c>
      <c r="E62" s="1530">
        <v>108</v>
      </c>
      <c r="F62" s="1531">
        <v>104</v>
      </c>
      <c r="G62" s="3323">
        <v>2003</v>
      </c>
      <c r="H62" s="1520">
        <v>4</v>
      </c>
      <c r="I62" s="1532"/>
      <c r="J62" s="1532"/>
      <c r="K62" s="1532"/>
      <c r="L62" s="1532"/>
      <c r="N62" s="1533"/>
      <c r="O62" s="1532"/>
      <c r="P62" s="1532"/>
      <c r="Q62" s="1532"/>
      <c r="S62" s="1533"/>
      <c r="T62" s="1532"/>
      <c r="U62" s="1532"/>
      <c r="V62" s="1532"/>
      <c r="X62" s="1524"/>
      <c r="Y62" s="1524"/>
      <c r="Z62" s="1524"/>
    </row>
    <row r="63" spans="1:26">
      <c r="A63" s="1459" t="s">
        <v>1204</v>
      </c>
      <c r="B63" s="1534">
        <f t="shared" ref="B63:C65" si="43">B64+(B$62-B$66)/4</f>
        <v>109.75</v>
      </c>
      <c r="C63" s="1534">
        <f t="shared" si="43"/>
        <v>112.25</v>
      </c>
      <c r="D63" s="1534">
        <f t="shared" si="9"/>
        <v>112.25</v>
      </c>
      <c r="E63" s="1534">
        <f t="shared" ref="E63:F65" si="44">E64+(E$62-E$66)/4</f>
        <v>107.25</v>
      </c>
      <c r="F63" s="1534">
        <f t="shared" si="44"/>
        <v>103.5</v>
      </c>
      <c r="G63" s="3324">
        <v>2003</v>
      </c>
      <c r="H63" s="1485">
        <v>3</v>
      </c>
      <c r="I63" s="1532"/>
      <c r="J63" s="1532"/>
      <c r="K63" s="1532"/>
      <c r="L63" s="1532"/>
      <c r="X63" s="1524"/>
      <c r="Y63" s="1524"/>
      <c r="Z63" s="1524"/>
    </row>
    <row r="64" spans="1:26">
      <c r="A64" s="1459" t="s">
        <v>1205</v>
      </c>
      <c r="B64" s="1534">
        <f t="shared" si="43"/>
        <v>108.5</v>
      </c>
      <c r="C64" s="1534">
        <f t="shared" si="43"/>
        <v>110.5</v>
      </c>
      <c r="D64" s="1534">
        <f t="shared" si="9"/>
        <v>110.5</v>
      </c>
      <c r="E64" s="1534">
        <f t="shared" si="44"/>
        <v>106.5</v>
      </c>
      <c r="F64" s="1534">
        <f t="shared" si="44"/>
        <v>103</v>
      </c>
      <c r="G64" s="3324">
        <v>2003</v>
      </c>
      <c r="H64" s="1463">
        <v>2</v>
      </c>
      <c r="I64" s="1532"/>
      <c r="J64" s="1532"/>
      <c r="K64" s="1532"/>
      <c r="L64" s="1532"/>
      <c r="X64" s="1524"/>
      <c r="Y64" s="1524"/>
      <c r="Z64" s="1524"/>
    </row>
    <row r="65" spans="1:26" ht="13.5" thickBot="1">
      <c r="A65" s="1459" t="s">
        <v>1206</v>
      </c>
      <c r="B65" s="1534">
        <f t="shared" si="43"/>
        <v>107.25</v>
      </c>
      <c r="C65" s="1534">
        <f t="shared" si="43"/>
        <v>108.75</v>
      </c>
      <c r="D65" s="1534">
        <f t="shared" si="9"/>
        <v>108.75</v>
      </c>
      <c r="E65" s="1534">
        <f t="shared" si="44"/>
        <v>105.75</v>
      </c>
      <c r="F65" s="1534">
        <f t="shared" si="44"/>
        <v>102.5</v>
      </c>
      <c r="G65" s="3325">
        <v>2003</v>
      </c>
      <c r="H65" s="1535">
        <v>1</v>
      </c>
      <c r="I65" s="1532"/>
      <c r="J65" s="1532"/>
      <c r="K65" s="1532"/>
      <c r="L65" s="1532"/>
      <c r="S65" s="1470"/>
      <c r="T65" s="1471"/>
      <c r="U65" s="1471"/>
      <c r="X65" s="1524"/>
      <c r="Y65" s="1524"/>
      <c r="Z65" s="1524"/>
    </row>
    <row r="66" spans="1:26" ht="13.5" thickBot="1">
      <c r="A66" s="1459" t="s">
        <v>1207</v>
      </c>
      <c r="B66" s="1536">
        <v>106</v>
      </c>
      <c r="C66" s="1536">
        <v>107</v>
      </c>
      <c r="D66" s="1536">
        <f t="shared" si="9"/>
        <v>107</v>
      </c>
      <c r="E66" s="1536">
        <v>105</v>
      </c>
      <c r="F66" s="1537">
        <v>102</v>
      </c>
      <c r="G66" s="3323">
        <v>2002</v>
      </c>
      <c r="H66" s="1480">
        <v>4</v>
      </c>
      <c r="I66" s="1532"/>
      <c r="J66" s="1532"/>
      <c r="K66" s="1532"/>
      <c r="L66" s="1532"/>
      <c r="N66" s="1533"/>
      <c r="O66" s="1532"/>
      <c r="P66" s="1532"/>
      <c r="Q66" s="1532"/>
      <c r="S66" s="1533"/>
      <c r="T66" s="1532"/>
      <c r="U66" s="1532"/>
      <c r="V66" s="1532"/>
      <c r="X66" s="1524"/>
      <c r="Y66" s="1524"/>
      <c r="Z66" s="1524"/>
    </row>
    <row r="67" spans="1:26">
      <c r="A67" s="1459" t="s">
        <v>1208</v>
      </c>
      <c r="B67" s="1534">
        <f t="shared" ref="B67:C69" si="45">B68+(B$66-B$70)/4</f>
        <v>105</v>
      </c>
      <c r="C67" s="1534">
        <f t="shared" si="45"/>
        <v>106</v>
      </c>
      <c r="D67" s="1534">
        <f t="shared" si="9"/>
        <v>106</v>
      </c>
      <c r="E67" s="1534">
        <f t="shared" ref="E67:F69" si="46">E68+(E$66-E$70)/4</f>
        <v>104.5</v>
      </c>
      <c r="F67" s="1534">
        <f t="shared" si="46"/>
        <v>101.5</v>
      </c>
      <c r="G67" s="3324">
        <v>2002</v>
      </c>
      <c r="H67" s="1485">
        <v>3</v>
      </c>
      <c r="I67" s="1532"/>
      <c r="J67" s="1532"/>
      <c r="K67" s="1532"/>
      <c r="L67" s="1532"/>
      <c r="X67" s="1524"/>
      <c r="Y67" s="1524"/>
      <c r="Z67" s="1524"/>
    </row>
    <row r="68" spans="1:26">
      <c r="A68" s="1459" t="s">
        <v>1209</v>
      </c>
      <c r="B68" s="1534">
        <f t="shared" si="45"/>
        <v>104</v>
      </c>
      <c r="C68" s="1534">
        <f t="shared" si="45"/>
        <v>105</v>
      </c>
      <c r="D68" s="1534">
        <f t="shared" si="9"/>
        <v>105</v>
      </c>
      <c r="E68" s="1534">
        <f t="shared" si="46"/>
        <v>104</v>
      </c>
      <c r="F68" s="1534">
        <f t="shared" si="46"/>
        <v>101</v>
      </c>
      <c r="G68" s="3324">
        <v>2002</v>
      </c>
      <c r="H68" s="1463">
        <v>2</v>
      </c>
      <c r="I68" s="1532"/>
      <c r="J68" s="1532"/>
      <c r="K68" s="1532"/>
      <c r="L68" s="1532"/>
      <c r="X68" s="1524"/>
      <c r="Y68" s="1524"/>
      <c r="Z68" s="1524"/>
    </row>
    <row r="69" spans="1:26" s="1496" customFormat="1" ht="13.5" thickBot="1">
      <c r="A69" s="1492" t="s">
        <v>1210</v>
      </c>
      <c r="B69" s="1538">
        <f t="shared" si="45"/>
        <v>103</v>
      </c>
      <c r="C69" s="1538">
        <f t="shared" si="45"/>
        <v>104</v>
      </c>
      <c r="D69" s="1538">
        <f t="shared" si="9"/>
        <v>104</v>
      </c>
      <c r="E69" s="1538">
        <f t="shared" si="46"/>
        <v>103.5</v>
      </c>
      <c r="F69" s="1538">
        <f t="shared" si="46"/>
        <v>100.5</v>
      </c>
      <c r="G69" s="3325">
        <v>2002</v>
      </c>
      <c r="H69" s="1539">
        <v>1</v>
      </c>
      <c r="I69" s="1540"/>
      <c r="J69" s="1540"/>
      <c r="K69" s="1540"/>
      <c r="L69" s="1540"/>
      <c r="N69" s="1541"/>
      <c r="S69" s="1541"/>
      <c r="X69" s="1542"/>
      <c r="Y69" s="1542"/>
      <c r="Z69" s="1542"/>
    </row>
    <row r="70" spans="1:26" ht="13.5" thickBot="1">
      <c r="B70" s="1543">
        <v>102</v>
      </c>
      <c r="C70" s="1544">
        <v>103</v>
      </c>
      <c r="D70" s="1544">
        <f t="shared" si="9"/>
        <v>103</v>
      </c>
      <c r="E70" s="1544">
        <v>103</v>
      </c>
      <c r="F70" s="1545">
        <v>100</v>
      </c>
      <c r="I70" s="1532"/>
      <c r="J70" s="1532"/>
      <c r="K70" s="1532"/>
      <c r="L70" s="1532"/>
      <c r="N70" s="1533"/>
      <c r="O70" s="1532"/>
      <c r="P70" s="1532"/>
      <c r="Q70" s="1532"/>
      <c r="S70" s="1533"/>
      <c r="T70" s="1532"/>
      <c r="U70" s="1532"/>
      <c r="V70" s="1532"/>
      <c r="X70" s="1474"/>
      <c r="Y70" s="1474"/>
      <c r="Z70" s="1474"/>
    </row>
    <row r="72" spans="1:26" s="1547" customFormat="1">
      <c r="A72" s="1546" t="s">
        <v>1211</v>
      </c>
      <c r="G72" s="1548"/>
      <c r="N72" s="1548"/>
      <c r="S72" s="1548"/>
    </row>
    <row r="73" spans="1:26" s="1547" customFormat="1">
      <c r="A73" s="1547" t="s">
        <v>1212</v>
      </c>
      <c r="G73" s="1548"/>
      <c r="N73" s="1548"/>
      <c r="S73" s="1548"/>
    </row>
    <row r="74" spans="1:26" s="1547" customFormat="1">
      <c r="A74" s="1547" t="s">
        <v>1213</v>
      </c>
      <c r="G74" s="1548"/>
      <c r="I74" s="1549"/>
      <c r="J74" s="1549"/>
      <c r="K74" s="1549"/>
      <c r="L74" s="1549"/>
      <c r="N74" s="1550"/>
      <c r="O74" s="1549"/>
      <c r="P74" s="1549"/>
      <c r="Q74" s="1549"/>
      <c r="S74" s="1550"/>
      <c r="T74" s="1549"/>
      <c r="U74" s="1549"/>
      <c r="V74" s="1549"/>
    </row>
    <row r="75" spans="1:26" s="1547" customFormat="1">
      <c r="A75" s="1547" t="s">
        <v>1214</v>
      </c>
      <c r="G75" s="1548"/>
      <c r="N75" s="1548"/>
      <c r="S75" s="1548"/>
    </row>
    <row r="82" spans="7:22" ht="13.5" thickBot="1"/>
    <row r="83" spans="7:22">
      <c r="G83" s="1469"/>
      <c r="S83" s="1551" t="s">
        <v>1215</v>
      </c>
      <c r="T83" s="1552" t="s">
        <v>1216</v>
      </c>
      <c r="U83" s="1552" t="s">
        <v>1217</v>
      </c>
      <c r="V83" s="1552" t="s">
        <v>1218</v>
      </c>
    </row>
    <row r="84" spans="7:22">
      <c r="G84" s="1469"/>
      <c r="N84" s="1473"/>
      <c r="O84" s="1474"/>
      <c r="P84" s="1474"/>
      <c r="Q84" s="1474"/>
      <c r="S84" s="1553">
        <v>2006</v>
      </c>
      <c r="T84" s="1554">
        <v>15.1</v>
      </c>
      <c r="U84" s="1554">
        <v>7.43</v>
      </c>
      <c r="V84" s="1554">
        <v>26.26</v>
      </c>
    </row>
    <row r="85" spans="7:22">
      <c r="G85" s="1469"/>
      <c r="N85" s="1473"/>
      <c r="O85" s="1474"/>
      <c r="P85" s="1474"/>
      <c r="Q85" s="1474"/>
      <c r="S85" s="1555">
        <v>2005</v>
      </c>
      <c r="T85" s="1556">
        <v>13.9</v>
      </c>
      <c r="U85" s="1556">
        <v>7.49</v>
      </c>
      <c r="V85" s="1556">
        <v>24.92</v>
      </c>
    </row>
    <row r="86" spans="7:22">
      <c r="G86" s="1469"/>
      <c r="N86" s="1473"/>
      <c r="O86" s="1474"/>
      <c r="P86" s="1474"/>
      <c r="Q86" s="1474"/>
      <c r="S86" s="1553">
        <v>2004</v>
      </c>
      <c r="T86" s="1554">
        <v>9.48</v>
      </c>
      <c r="U86" s="1554">
        <v>7.2</v>
      </c>
      <c r="V86" s="1554">
        <v>14.68</v>
      </c>
    </row>
    <row r="87" spans="7:22">
      <c r="G87" s="1469"/>
      <c r="N87" s="1473"/>
      <c r="O87" s="1474"/>
      <c r="P87" s="1474"/>
      <c r="Q87" s="1474"/>
      <c r="S87" s="1555">
        <v>2003</v>
      </c>
      <c r="T87" s="1556">
        <v>4.5</v>
      </c>
      <c r="U87" s="1556">
        <v>6.12</v>
      </c>
      <c r="V87" s="1556">
        <v>2.34</v>
      </c>
    </row>
    <row r="88" spans="7:22" ht="13.5" thickBot="1">
      <c r="G88" s="1469"/>
      <c r="N88" s="1473"/>
      <c r="O88" s="1474"/>
      <c r="P88" s="1474"/>
      <c r="Q88" s="1474"/>
      <c r="S88" s="1557">
        <v>2002</v>
      </c>
      <c r="T88" s="1558">
        <v>3.59</v>
      </c>
      <c r="U88" s="1558">
        <v>4.54</v>
      </c>
      <c r="V88" s="1558">
        <v>2.5499999999999998</v>
      </c>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2" t="s">
        <v>2993</v>
      </c>
      <c r="C1" s="3332" t="s">
        <v>2994</v>
      </c>
      <c r="D1" s="3333"/>
      <c r="E1" s="3333"/>
      <c r="F1" s="3333"/>
      <c r="G1" s="3333"/>
      <c r="H1" s="3333"/>
      <c r="I1" s="3333"/>
      <c r="J1" s="3333"/>
      <c r="K1" s="3333"/>
      <c r="L1" s="3333"/>
      <c r="M1" s="3333"/>
      <c r="N1" s="3333"/>
      <c r="O1" s="3333"/>
      <c r="P1" s="3333"/>
      <c r="Q1" s="3333"/>
      <c r="R1" s="3333"/>
      <c r="S1" s="3334"/>
      <c r="T1" s="1202" t="s">
        <v>2995</v>
      </c>
    </row>
    <row r="2" spans="1:45" s="706" customFormat="1">
      <c r="A2" s="1203"/>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2997</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2998</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2999</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3002</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3003</v>
      </c>
      <c r="B17" s="2907" t="s">
        <v>3004</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8" t="s">
        <v>3005</v>
      </c>
      <c r="E19" s="1790"/>
      <c r="F19" s="1790"/>
      <c r="G19" s="1790"/>
      <c r="H19" s="1278"/>
      <c r="I19" s="168"/>
      <c r="J19" s="168"/>
      <c r="K19" s="168"/>
      <c r="L19" s="168"/>
      <c r="M19" s="168"/>
      <c r="N19" s="168"/>
      <c r="O19" s="168"/>
      <c r="P19" s="168"/>
      <c r="Q19" s="168"/>
      <c r="R19" s="787"/>
      <c r="S19" s="138"/>
    </row>
    <row r="20" spans="1:45" ht="16.5" thickBot="1">
      <c r="A20" s="714" t="s">
        <v>3006</v>
      </c>
      <c r="B20" s="338" t="e">
        <f ca="1">IF(D20="——",S22,S22-F20)</f>
        <v>#REF!</v>
      </c>
      <c r="C20" s="168"/>
      <c r="D20" s="2909" t="s">
        <v>3007</v>
      </c>
      <c r="E20" s="1791"/>
      <c r="F20" s="1202" t="e">
        <f ca="1">SUMIF(INDIRECT("'"&amp;H20&amp;"'"&amp;"!A:A"),"承租人权益价值",INDIRECT("'"&amp;H20&amp;"'"&amp;"!c:c"))</f>
        <v>#REF!</v>
      </c>
      <c r="G20" s="1202" t="s">
        <v>3008</v>
      </c>
      <c r="H20" s="2910"/>
      <c r="I20" s="168"/>
      <c r="J20" s="168"/>
      <c r="K20" s="168"/>
      <c r="L20" s="168"/>
      <c r="M20" s="168"/>
      <c r="N20" s="168"/>
      <c r="O20" s="168"/>
      <c r="P20" s="168"/>
      <c r="Q20" s="168"/>
      <c r="R20" s="787"/>
      <c r="S20" s="138"/>
    </row>
    <row r="21" spans="1:45" ht="15.75">
      <c r="A21" s="714" t="s">
        <v>3009</v>
      </c>
      <c r="B21" s="338">
        <f>R22</f>
        <v>10000</v>
      </c>
      <c r="C21" s="168"/>
      <c r="D21" s="168"/>
      <c r="E21" s="168"/>
      <c r="F21" s="168"/>
      <c r="G21" s="168"/>
      <c r="H21" s="168"/>
      <c r="I21" s="168"/>
      <c r="J21" s="168"/>
      <c r="K21" s="168"/>
      <c r="L21" s="168"/>
      <c r="M21" s="168"/>
      <c r="N21" s="168"/>
      <c r="O21" s="168"/>
      <c r="P21" s="168"/>
      <c r="Q21" s="168"/>
      <c r="R21" s="787"/>
      <c r="S21" s="138"/>
    </row>
    <row r="22" spans="1:45">
      <c r="A22" s="361" t="s">
        <v>3010</v>
      </c>
      <c r="B22" s="24">
        <f>SUM(B24:B10000)</f>
        <v>100</v>
      </c>
      <c r="C22" s="3111" t="s">
        <v>33</v>
      </c>
      <c r="D22" s="3112"/>
      <c r="E22" s="3112"/>
      <c r="F22" s="3112"/>
      <c r="G22" s="3112"/>
      <c r="H22" s="3112"/>
      <c r="I22" s="3112"/>
      <c r="J22" s="3112"/>
      <c r="K22" s="3112"/>
      <c r="L22" s="3112"/>
      <c r="M22" s="3112"/>
      <c r="N22" s="3112"/>
      <c r="O22" s="3112"/>
      <c r="P22" s="3112"/>
      <c r="Q22" s="3331"/>
      <c r="R22" s="715">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6"/>
        <v>0</v>
      </c>
    </row>
    <row r="26" spans="1:45">
      <c r="A26" s="159"/>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1">
        <f t="shared" si="6"/>
        <v>0</v>
      </c>
    </row>
    <row r="27" spans="1:45">
      <c r="A27" s="159"/>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1">
        <f t="shared" si="6"/>
        <v>0</v>
      </c>
    </row>
    <row r="28" spans="1:45">
      <c r="A28" s="159"/>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1">
        <f t="shared" si="6"/>
        <v>0</v>
      </c>
    </row>
    <row r="29" spans="1:45">
      <c r="A29" s="159"/>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1">
        <f t="shared" si="6"/>
        <v>0</v>
      </c>
    </row>
    <row r="30" spans="1:45">
      <c r="A30" s="159"/>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1">
        <f t="shared" si="6"/>
        <v>0</v>
      </c>
    </row>
    <row r="31" spans="1:45">
      <c r="A31" s="159"/>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1">
        <f t="shared" si="6"/>
        <v>0</v>
      </c>
    </row>
    <row r="32" spans="1:45">
      <c r="A32" s="159"/>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1">
        <f t="shared" si="6"/>
        <v>0</v>
      </c>
    </row>
    <row r="33" spans="1:19">
      <c r="A33" s="159"/>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1">
        <f t="shared" si="6"/>
        <v>0</v>
      </c>
    </row>
    <row r="34" spans="1:19">
      <c r="A34" s="159"/>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1">
        <f t="shared" si="6"/>
        <v>0</v>
      </c>
    </row>
    <row r="35" spans="1:19">
      <c r="A35" s="159"/>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1">
        <f t="shared" si="6"/>
        <v>0</v>
      </c>
    </row>
    <row r="36" spans="1:19">
      <c r="A36" s="159"/>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1">
        <f t="shared" si="6"/>
        <v>0</v>
      </c>
    </row>
    <row r="37" spans="1:19">
      <c r="A37" s="159"/>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1">
        <f t="shared" si="6"/>
        <v>0</v>
      </c>
    </row>
    <row r="38" spans="1:19">
      <c r="A38" s="159"/>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1">
        <f t="shared" si="6"/>
        <v>0</v>
      </c>
    </row>
    <row r="39" spans="1:19">
      <c r="A39" s="159"/>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1">
        <f t="shared" si="6"/>
        <v>0</v>
      </c>
    </row>
    <row r="40" spans="1:19">
      <c r="A40" s="159"/>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1">
        <f t="shared" si="6"/>
        <v>0</v>
      </c>
    </row>
    <row r="41" spans="1:19">
      <c r="A41" s="159"/>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1">
        <f t="shared" si="6"/>
        <v>0</v>
      </c>
    </row>
    <row r="42" spans="1:19">
      <c r="A42" s="159"/>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1">
        <f t="shared" si="6"/>
        <v>0</v>
      </c>
    </row>
    <row r="43" spans="1:19">
      <c r="A43" s="159"/>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1">
        <f t="shared" si="6"/>
        <v>0</v>
      </c>
    </row>
    <row r="44" spans="1:19">
      <c r="A44" s="159"/>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1">
        <f t="shared" si="6"/>
        <v>0</v>
      </c>
    </row>
    <row r="45" spans="1:19">
      <c r="A45" s="159"/>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1">
        <f t="shared" si="6"/>
        <v>0</v>
      </c>
    </row>
    <row r="46" spans="1:19">
      <c r="A46" s="159"/>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1">
        <f t="shared" si="6"/>
        <v>0</v>
      </c>
    </row>
    <row r="47" spans="1:19">
      <c r="A47" s="159"/>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1">
        <f t="shared" si="6"/>
        <v>0</v>
      </c>
    </row>
    <row r="48" spans="1:19">
      <c r="A48" s="159"/>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1">
        <f t="shared" si="6"/>
        <v>0</v>
      </c>
    </row>
    <row r="49" spans="1:19">
      <c r="A49" s="159"/>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1">
        <f t="shared" si="6"/>
        <v>0</v>
      </c>
    </row>
    <row r="50" spans="1:19">
      <c r="A50" s="159"/>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1">
        <f t="shared" si="6"/>
        <v>0</v>
      </c>
    </row>
    <row r="51" spans="1:19">
      <c r="A51" s="159"/>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1">
        <f t="shared" si="6"/>
        <v>0</v>
      </c>
    </row>
    <row r="52" spans="1:19">
      <c r="A52" s="159"/>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1">
        <f t="shared" si="6"/>
        <v>0</v>
      </c>
    </row>
    <row r="53" spans="1:19">
      <c r="A53" s="159"/>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1">
        <f t="shared" si="6"/>
        <v>0</v>
      </c>
    </row>
    <row r="54" spans="1:19">
      <c r="A54" s="159"/>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1">
        <f t="shared" si="6"/>
        <v>0</v>
      </c>
    </row>
    <row r="55" spans="1:19">
      <c r="A55" s="159"/>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1">
        <f t="shared" ref="S55:S77" si="16">ROUND(R55*B55/10000,0)</f>
        <v>0</v>
      </c>
    </row>
    <row r="56" spans="1:19">
      <c r="A56" s="159"/>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1">
        <f t="shared" si="16"/>
        <v>0</v>
      </c>
    </row>
    <row r="57" spans="1:19">
      <c r="A57" s="159"/>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1">
        <f t="shared" si="16"/>
        <v>0</v>
      </c>
    </row>
    <row r="58" spans="1:19">
      <c r="A58" s="159"/>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1">
        <f t="shared" si="16"/>
        <v>0</v>
      </c>
    </row>
    <row r="59" spans="1:19">
      <c r="A59" s="159"/>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1">
        <f t="shared" si="16"/>
        <v>0</v>
      </c>
    </row>
    <row r="60" spans="1:19">
      <c r="A60" s="159"/>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1">
        <f t="shared" si="16"/>
        <v>0</v>
      </c>
    </row>
    <row r="61" spans="1:19">
      <c r="A61" s="159"/>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1">
        <f t="shared" si="16"/>
        <v>0</v>
      </c>
    </row>
    <row r="62" spans="1:19">
      <c r="A62" s="159"/>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1">
        <f t="shared" si="16"/>
        <v>0</v>
      </c>
    </row>
    <row r="63" spans="1:19">
      <c r="A63" s="159"/>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1">
        <f t="shared" si="16"/>
        <v>0</v>
      </c>
    </row>
    <row r="64" spans="1:19">
      <c r="A64" s="159"/>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1">
        <f t="shared" si="16"/>
        <v>0</v>
      </c>
    </row>
    <row r="65" spans="1:19">
      <c r="A65" s="159"/>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1">
        <f t="shared" si="16"/>
        <v>0</v>
      </c>
    </row>
    <row r="66" spans="1:19">
      <c r="A66" s="159"/>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1">
        <f t="shared" si="16"/>
        <v>0</v>
      </c>
    </row>
    <row r="67" spans="1:19">
      <c r="A67" s="159"/>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1">
        <f t="shared" si="16"/>
        <v>0</v>
      </c>
    </row>
    <row r="68" spans="1:19">
      <c r="A68" s="159"/>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1">
        <f t="shared" si="16"/>
        <v>0</v>
      </c>
    </row>
    <row r="69" spans="1:19">
      <c r="A69" s="159"/>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1">
        <f t="shared" si="16"/>
        <v>0</v>
      </c>
    </row>
    <row r="70" spans="1:19">
      <c r="A70" s="159"/>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1">
        <f t="shared" si="16"/>
        <v>0</v>
      </c>
    </row>
    <row r="71" spans="1:19">
      <c r="A71" s="159"/>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1">
        <f t="shared" si="16"/>
        <v>0</v>
      </c>
    </row>
    <row r="72" spans="1:19">
      <c r="A72" s="159"/>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1">
        <f t="shared" si="16"/>
        <v>0</v>
      </c>
    </row>
    <row r="73" spans="1:19">
      <c r="A73" s="159"/>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1">
        <f t="shared" si="16"/>
        <v>0</v>
      </c>
    </row>
    <row r="74" spans="1:19">
      <c r="A74" s="159"/>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1">
        <f t="shared" si="16"/>
        <v>0</v>
      </c>
    </row>
    <row r="75" spans="1:19">
      <c r="A75" s="159"/>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1">
        <f t="shared" si="16"/>
        <v>0</v>
      </c>
    </row>
    <row r="76" spans="1:19">
      <c r="A76" s="159"/>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1">
        <f t="shared" si="16"/>
        <v>0</v>
      </c>
    </row>
    <row r="77" spans="1:19">
      <c r="A77" s="159"/>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1">
        <f t="shared" si="16"/>
        <v>0</v>
      </c>
    </row>
    <row r="78" spans="1:19">
      <c r="A78" s="159"/>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1">
        <f t="shared" ref="S78:S122" si="17">ROUND(R78*B78/10000,0)</f>
        <v>0</v>
      </c>
    </row>
    <row r="79" spans="1:19">
      <c r="A79" s="159"/>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1">
        <f t="shared" si="17"/>
        <v>0</v>
      </c>
    </row>
    <row r="80" spans="1:19">
      <c r="A80" s="159"/>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1">
        <f t="shared" si="17"/>
        <v>0</v>
      </c>
    </row>
    <row r="81" spans="1:19">
      <c r="A81" s="159"/>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1">
        <f t="shared" si="17"/>
        <v>0</v>
      </c>
    </row>
    <row r="82" spans="1:19">
      <c r="A82" s="159"/>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1">
        <f t="shared" si="17"/>
        <v>0</v>
      </c>
    </row>
    <row r="83" spans="1:19">
      <c r="A83" s="159"/>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1">
        <f t="shared" si="17"/>
        <v>0</v>
      </c>
    </row>
    <row r="84" spans="1:19">
      <c r="A84" s="159"/>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1">
        <f t="shared" si="17"/>
        <v>0</v>
      </c>
    </row>
    <row r="85" spans="1:19">
      <c r="A85" s="159"/>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1">
        <f t="shared" si="17"/>
        <v>0</v>
      </c>
    </row>
    <row r="86" spans="1:19">
      <c r="A86" s="159"/>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1">
        <f t="shared" si="17"/>
        <v>0</v>
      </c>
    </row>
    <row r="87" spans="1:19">
      <c r="A87" s="159"/>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1">
        <f t="shared" si="17"/>
        <v>0</v>
      </c>
    </row>
    <row r="88" spans="1:19">
      <c r="A88" s="159"/>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1">
        <f t="shared" si="17"/>
        <v>0</v>
      </c>
    </row>
    <row r="89" spans="1:19">
      <c r="A89" s="159"/>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1">
        <f t="shared" si="17"/>
        <v>0</v>
      </c>
    </row>
    <row r="90" spans="1:19">
      <c r="A90" s="159"/>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1">
        <f t="shared" si="17"/>
        <v>0</v>
      </c>
    </row>
    <row r="91" spans="1:19">
      <c r="A91" s="159"/>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1">
        <f t="shared" si="17"/>
        <v>0</v>
      </c>
    </row>
    <row r="92" spans="1:19">
      <c r="A92" s="159"/>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1">
        <f t="shared" si="17"/>
        <v>0</v>
      </c>
    </row>
    <row r="93" spans="1:19">
      <c r="A93" s="159"/>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1">
        <f t="shared" si="17"/>
        <v>0</v>
      </c>
    </row>
    <row r="94" spans="1:19">
      <c r="A94" s="159"/>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1">
        <f t="shared" si="17"/>
        <v>0</v>
      </c>
    </row>
    <row r="95" spans="1:19">
      <c r="A95" s="159"/>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1">
        <f t="shared" si="17"/>
        <v>0</v>
      </c>
    </row>
    <row r="96" spans="1:19">
      <c r="A96" s="159"/>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1">
        <f t="shared" si="17"/>
        <v>0</v>
      </c>
    </row>
    <row r="97" spans="1:19">
      <c r="A97" s="159"/>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1">
        <f t="shared" si="17"/>
        <v>0</v>
      </c>
    </row>
    <row r="98" spans="1:19">
      <c r="A98" s="159"/>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1">
        <f t="shared" si="17"/>
        <v>0</v>
      </c>
    </row>
    <row r="99" spans="1:19">
      <c r="A99" s="159"/>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1">
        <f t="shared" si="17"/>
        <v>0</v>
      </c>
    </row>
    <row r="100" spans="1:19">
      <c r="A100" s="159"/>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1">
        <f t="shared" si="17"/>
        <v>0</v>
      </c>
    </row>
    <row r="101" spans="1:19">
      <c r="A101" s="159"/>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1">
        <f t="shared" si="17"/>
        <v>0</v>
      </c>
    </row>
    <row r="102" spans="1:19">
      <c r="A102" s="159"/>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1">
        <f t="shared" si="17"/>
        <v>0</v>
      </c>
    </row>
    <row r="103" spans="1:19">
      <c r="A103" s="159"/>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1">
        <f t="shared" si="17"/>
        <v>0</v>
      </c>
    </row>
    <row r="104" spans="1:19">
      <c r="A104" s="159"/>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1">
        <f t="shared" si="17"/>
        <v>0</v>
      </c>
    </row>
    <row r="105" spans="1:19">
      <c r="A105" s="159"/>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1">
        <f t="shared" si="17"/>
        <v>0</v>
      </c>
    </row>
    <row r="106" spans="1:19">
      <c r="A106" s="159"/>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1">
        <f t="shared" si="17"/>
        <v>0</v>
      </c>
    </row>
    <row r="107" spans="1:19">
      <c r="A107" s="159"/>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1">
        <f t="shared" si="17"/>
        <v>0</v>
      </c>
    </row>
    <row r="108" spans="1:19">
      <c r="A108" s="159"/>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1">
        <f t="shared" si="17"/>
        <v>0</v>
      </c>
    </row>
    <row r="109" spans="1:19">
      <c r="A109" s="159"/>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1">
        <f t="shared" si="17"/>
        <v>0</v>
      </c>
    </row>
    <row r="110" spans="1:19">
      <c r="A110" s="159"/>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1">
        <f t="shared" si="17"/>
        <v>0</v>
      </c>
    </row>
    <row r="111" spans="1:19">
      <c r="A111" s="159"/>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1">
        <f t="shared" si="17"/>
        <v>0</v>
      </c>
    </row>
    <row r="112" spans="1:19">
      <c r="A112" s="159"/>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1">
        <f t="shared" si="17"/>
        <v>0</v>
      </c>
    </row>
    <row r="113" spans="1:19">
      <c r="A113" s="159"/>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1">
        <f t="shared" si="17"/>
        <v>0</v>
      </c>
    </row>
    <row r="114" spans="1:19">
      <c r="A114" s="159"/>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1">
        <f t="shared" si="17"/>
        <v>0</v>
      </c>
    </row>
    <row r="115" spans="1:19">
      <c r="A115" s="159"/>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1">
        <f t="shared" si="17"/>
        <v>0</v>
      </c>
    </row>
    <row r="116" spans="1:19">
      <c r="A116" s="159"/>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1">
        <f t="shared" si="17"/>
        <v>0</v>
      </c>
    </row>
    <row r="117" spans="1:19">
      <c r="A117" s="159"/>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1">
        <f t="shared" si="17"/>
        <v>0</v>
      </c>
    </row>
    <row r="118" spans="1:19">
      <c r="A118" s="159"/>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1">
        <f t="shared" si="17"/>
        <v>0</v>
      </c>
    </row>
    <row r="119" spans="1:19">
      <c r="A119" s="159"/>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1">
        <f t="shared" si="17"/>
        <v>0</v>
      </c>
    </row>
    <row r="120" spans="1:19">
      <c r="A120" s="159"/>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1">
        <f t="shared" si="17"/>
        <v>0</v>
      </c>
    </row>
    <row r="121" spans="1:19">
      <c r="A121" s="159"/>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1">
        <f t="shared" si="17"/>
        <v>0</v>
      </c>
    </row>
    <row r="122" spans="1:19">
      <c r="A122" s="159"/>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1">
        <f t="shared" si="17"/>
        <v>0</v>
      </c>
    </row>
    <row r="123" spans="1:19">
      <c r="A123" s="159"/>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1">
        <f t="shared" ref="S123:S186" si="27">ROUND(R123*B123/10000,0)</f>
        <v>0</v>
      </c>
    </row>
    <row r="124" spans="1:19">
      <c r="A124" s="159"/>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1">
        <f t="shared" si="27"/>
        <v>0</v>
      </c>
    </row>
    <row r="125" spans="1:19">
      <c r="A125" s="159"/>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1">
        <f t="shared" si="27"/>
        <v>0</v>
      </c>
    </row>
    <row r="126" spans="1:19">
      <c r="A126" s="159"/>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1">
        <f t="shared" si="27"/>
        <v>0</v>
      </c>
    </row>
    <row r="127" spans="1:19">
      <c r="A127" s="159"/>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1">
        <f t="shared" si="27"/>
        <v>0</v>
      </c>
    </row>
    <row r="128" spans="1:19">
      <c r="A128" s="159"/>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1">
        <f t="shared" si="27"/>
        <v>0</v>
      </c>
    </row>
    <row r="129" spans="1:19">
      <c r="A129" s="159"/>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1">
        <f t="shared" si="27"/>
        <v>0</v>
      </c>
    </row>
    <row r="130" spans="1:19">
      <c r="A130" s="159"/>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1">
        <f t="shared" si="27"/>
        <v>0</v>
      </c>
    </row>
    <row r="131" spans="1:19">
      <c r="A131" s="159"/>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1">
        <f t="shared" si="27"/>
        <v>0</v>
      </c>
    </row>
    <row r="132" spans="1:19">
      <c r="A132" s="159"/>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1">
        <f t="shared" si="27"/>
        <v>0</v>
      </c>
    </row>
    <row r="133" spans="1:19">
      <c r="A133" s="159"/>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1">
        <f t="shared" si="27"/>
        <v>0</v>
      </c>
    </row>
    <row r="134" spans="1:19">
      <c r="A134" s="159"/>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1">
        <f t="shared" si="27"/>
        <v>0</v>
      </c>
    </row>
    <row r="135" spans="1:19">
      <c r="A135" s="159"/>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1">
        <f t="shared" si="27"/>
        <v>0</v>
      </c>
    </row>
    <row r="136" spans="1:19">
      <c r="A136" s="159"/>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1">
        <f t="shared" si="27"/>
        <v>0</v>
      </c>
    </row>
    <row r="137" spans="1:19">
      <c r="A137" s="159"/>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1">
        <f t="shared" si="27"/>
        <v>0</v>
      </c>
    </row>
    <row r="138" spans="1:19">
      <c r="A138" s="159"/>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1">
        <f t="shared" si="27"/>
        <v>0</v>
      </c>
    </row>
    <row r="139" spans="1:19">
      <c r="A139" s="159"/>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1">
        <f t="shared" si="27"/>
        <v>0</v>
      </c>
    </row>
    <row r="140" spans="1:19">
      <c r="A140" s="159"/>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1">
        <f t="shared" si="27"/>
        <v>0</v>
      </c>
    </row>
    <row r="141" spans="1:19">
      <c r="A141" s="159"/>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1">
        <f t="shared" si="27"/>
        <v>0</v>
      </c>
    </row>
    <row r="142" spans="1:19">
      <c r="A142" s="159"/>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1">
        <f t="shared" si="27"/>
        <v>0</v>
      </c>
    </row>
    <row r="143" spans="1:19">
      <c r="A143" s="159"/>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1">
        <f t="shared" si="27"/>
        <v>0</v>
      </c>
    </row>
    <row r="144" spans="1:19">
      <c r="A144" s="159"/>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1">
        <f t="shared" si="27"/>
        <v>0</v>
      </c>
    </row>
    <row r="145" spans="1:19">
      <c r="A145" s="159"/>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1">
        <f t="shared" si="27"/>
        <v>0</v>
      </c>
    </row>
    <row r="146" spans="1:19">
      <c r="A146" s="159"/>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1">
        <f t="shared" si="27"/>
        <v>0</v>
      </c>
    </row>
    <row r="147" spans="1:19">
      <c r="A147" s="159"/>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1">
        <f t="shared" si="27"/>
        <v>0</v>
      </c>
    </row>
    <row r="148" spans="1:19">
      <c r="A148" s="159"/>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1">
        <f t="shared" si="27"/>
        <v>0</v>
      </c>
    </row>
    <row r="149" spans="1:19">
      <c r="A149" s="159"/>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1">
        <f t="shared" si="27"/>
        <v>0</v>
      </c>
    </row>
    <row r="150" spans="1:19">
      <c r="A150" s="159"/>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1">
        <f t="shared" si="27"/>
        <v>0</v>
      </c>
    </row>
    <row r="151" spans="1:19">
      <c r="A151" s="159"/>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1">
        <f t="shared" si="27"/>
        <v>0</v>
      </c>
    </row>
    <row r="152" spans="1:19">
      <c r="A152" s="159"/>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1">
        <f t="shared" si="27"/>
        <v>0</v>
      </c>
    </row>
    <row r="153" spans="1:19">
      <c r="A153" s="159"/>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1">
        <f t="shared" si="27"/>
        <v>0</v>
      </c>
    </row>
    <row r="154" spans="1:19">
      <c r="A154" s="159"/>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1">
        <f t="shared" si="27"/>
        <v>0</v>
      </c>
    </row>
    <row r="155" spans="1:19">
      <c r="A155" s="159"/>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1">
        <f t="shared" si="27"/>
        <v>0</v>
      </c>
    </row>
    <row r="156" spans="1:19">
      <c r="A156" s="159"/>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1">
        <f t="shared" si="27"/>
        <v>0</v>
      </c>
    </row>
    <row r="157" spans="1:19">
      <c r="A157" s="159"/>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1">
        <f t="shared" si="27"/>
        <v>0</v>
      </c>
    </row>
    <row r="158" spans="1:19">
      <c r="A158" s="159"/>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1">
        <f t="shared" si="27"/>
        <v>0</v>
      </c>
    </row>
    <row r="159" spans="1:19">
      <c r="A159" s="159"/>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1">
        <f t="shared" si="27"/>
        <v>0</v>
      </c>
    </row>
    <row r="160" spans="1:19">
      <c r="A160" s="159"/>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1">
        <f t="shared" si="27"/>
        <v>0</v>
      </c>
    </row>
    <row r="161" spans="1:19">
      <c r="A161" s="159"/>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1">
        <f t="shared" si="27"/>
        <v>0</v>
      </c>
    </row>
    <row r="162" spans="1:19">
      <c r="A162" s="159"/>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1">
        <f t="shared" si="27"/>
        <v>0</v>
      </c>
    </row>
    <row r="163" spans="1:19">
      <c r="A163" s="159"/>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1">
        <f t="shared" si="27"/>
        <v>0</v>
      </c>
    </row>
    <row r="164" spans="1:19">
      <c r="A164" s="159"/>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1">
        <f t="shared" si="27"/>
        <v>0</v>
      </c>
    </row>
    <row r="165" spans="1:19">
      <c r="A165" s="159"/>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1">
        <f t="shared" si="27"/>
        <v>0</v>
      </c>
    </row>
    <row r="166" spans="1:19">
      <c r="A166" s="159"/>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1">
        <f t="shared" si="27"/>
        <v>0</v>
      </c>
    </row>
    <row r="167" spans="1:19">
      <c r="A167" s="159"/>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1">
        <f t="shared" si="27"/>
        <v>0</v>
      </c>
    </row>
    <row r="168" spans="1:19">
      <c r="A168" s="159"/>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1">
        <f t="shared" si="27"/>
        <v>0</v>
      </c>
    </row>
    <row r="169" spans="1:19">
      <c r="A169" s="159"/>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1">
        <f t="shared" si="27"/>
        <v>0</v>
      </c>
    </row>
    <row r="170" spans="1:19">
      <c r="A170" s="159"/>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1">
        <f t="shared" si="27"/>
        <v>0</v>
      </c>
    </row>
    <row r="171" spans="1:19">
      <c r="A171" s="159"/>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1">
        <f t="shared" si="27"/>
        <v>0</v>
      </c>
    </row>
    <row r="172" spans="1:19">
      <c r="A172" s="159"/>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1">
        <f t="shared" si="27"/>
        <v>0</v>
      </c>
    </row>
    <row r="173" spans="1:19">
      <c r="A173" s="159"/>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1">
        <f t="shared" si="27"/>
        <v>0</v>
      </c>
    </row>
    <row r="174" spans="1:19">
      <c r="A174" s="159"/>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1">
        <f t="shared" si="27"/>
        <v>0</v>
      </c>
    </row>
    <row r="175" spans="1:19">
      <c r="A175" s="159"/>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1">
        <f t="shared" si="27"/>
        <v>0</v>
      </c>
    </row>
    <row r="176" spans="1:19">
      <c r="A176" s="159"/>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1">
        <f t="shared" si="27"/>
        <v>0</v>
      </c>
    </row>
    <row r="177" spans="1:19">
      <c r="A177" s="159"/>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1">
        <f t="shared" si="27"/>
        <v>0</v>
      </c>
    </row>
    <row r="178" spans="1:19">
      <c r="A178" s="159"/>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1">
        <f t="shared" si="27"/>
        <v>0</v>
      </c>
    </row>
    <row r="179" spans="1:19">
      <c r="A179" s="159"/>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1">
        <f t="shared" si="27"/>
        <v>0</v>
      </c>
    </row>
    <row r="180" spans="1:19">
      <c r="A180" s="159"/>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1">
        <f t="shared" si="27"/>
        <v>0</v>
      </c>
    </row>
    <row r="181" spans="1:19">
      <c r="A181" s="159"/>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1">
        <f t="shared" si="27"/>
        <v>0</v>
      </c>
    </row>
    <row r="182" spans="1:19">
      <c r="A182" s="159"/>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1">
        <f t="shared" si="27"/>
        <v>0</v>
      </c>
    </row>
    <row r="183" spans="1:19">
      <c r="A183" s="159"/>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1">
        <f t="shared" si="27"/>
        <v>0</v>
      </c>
    </row>
    <row r="184" spans="1:19">
      <c r="A184" s="159"/>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1">
        <f t="shared" si="27"/>
        <v>0</v>
      </c>
    </row>
    <row r="185" spans="1:19">
      <c r="A185" s="159"/>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1">
        <f t="shared" si="27"/>
        <v>0</v>
      </c>
    </row>
    <row r="186" spans="1:19">
      <c r="A186" s="159"/>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1">
        <f t="shared" si="27"/>
        <v>0</v>
      </c>
    </row>
    <row r="187" spans="1:19">
      <c r="A187" s="159"/>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1">
        <f t="shared" ref="S187:S222" si="37">ROUND(R187*B187/10000,0)</f>
        <v>0</v>
      </c>
    </row>
    <row r="188" spans="1:19">
      <c r="A188" s="159"/>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1">
        <f t="shared" si="37"/>
        <v>0</v>
      </c>
    </row>
    <row r="189" spans="1:19">
      <c r="A189" s="159"/>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1">
        <f t="shared" si="37"/>
        <v>0</v>
      </c>
    </row>
    <row r="190" spans="1:19">
      <c r="A190" s="159"/>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1">
        <f t="shared" si="37"/>
        <v>0</v>
      </c>
    </row>
    <row r="191" spans="1:19">
      <c r="A191" s="159"/>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1">
        <f t="shared" si="37"/>
        <v>0</v>
      </c>
    </row>
    <row r="192" spans="1:19">
      <c r="A192" s="159"/>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1">
        <f t="shared" si="37"/>
        <v>0</v>
      </c>
    </row>
    <row r="193" spans="1:19">
      <c r="A193" s="159"/>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1">
        <f t="shared" si="37"/>
        <v>0</v>
      </c>
    </row>
    <row r="194" spans="1:19">
      <c r="A194" s="159"/>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1">
        <f t="shared" si="37"/>
        <v>0</v>
      </c>
    </row>
    <row r="195" spans="1:19">
      <c r="A195" s="159"/>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1">
        <f t="shared" si="37"/>
        <v>0</v>
      </c>
    </row>
    <row r="196" spans="1:19">
      <c r="A196" s="159"/>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1">
        <f t="shared" si="37"/>
        <v>0</v>
      </c>
    </row>
    <row r="197" spans="1:19">
      <c r="A197" s="159"/>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1">
        <f t="shared" si="37"/>
        <v>0</v>
      </c>
    </row>
    <row r="198" spans="1:19">
      <c r="A198" s="159"/>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1">
        <f t="shared" si="37"/>
        <v>0</v>
      </c>
    </row>
    <row r="199" spans="1:19">
      <c r="A199" s="159"/>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1">
        <f t="shared" si="37"/>
        <v>0</v>
      </c>
    </row>
    <row r="200" spans="1:19">
      <c r="A200" s="159"/>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1">
        <f t="shared" si="37"/>
        <v>0</v>
      </c>
    </row>
    <row r="201" spans="1:19">
      <c r="A201" s="159"/>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1">
        <f t="shared" si="37"/>
        <v>0</v>
      </c>
    </row>
    <row r="202" spans="1:19">
      <c r="A202" s="159"/>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1">
        <f t="shared" si="37"/>
        <v>0</v>
      </c>
    </row>
    <row r="203" spans="1:19">
      <c r="A203" s="159"/>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1">
        <f t="shared" si="37"/>
        <v>0</v>
      </c>
    </row>
    <row r="204" spans="1:19">
      <c r="A204" s="159"/>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1">
        <f t="shared" si="37"/>
        <v>0</v>
      </c>
    </row>
    <row r="205" spans="1:19">
      <c r="A205" s="159"/>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1">
        <f t="shared" si="37"/>
        <v>0</v>
      </c>
    </row>
    <row r="206" spans="1:19">
      <c r="A206" s="159"/>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1">
        <f t="shared" si="37"/>
        <v>0</v>
      </c>
    </row>
    <row r="207" spans="1:19">
      <c r="A207" s="159"/>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1">
        <f t="shared" si="37"/>
        <v>0</v>
      </c>
    </row>
    <row r="208" spans="1:19">
      <c r="A208" s="159"/>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1">
        <f t="shared" si="37"/>
        <v>0</v>
      </c>
    </row>
    <row r="209" spans="1:19">
      <c r="A209" s="159"/>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1">
        <f t="shared" si="37"/>
        <v>0</v>
      </c>
    </row>
    <row r="210" spans="1:19">
      <c r="A210" s="159"/>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1">
        <f t="shared" si="37"/>
        <v>0</v>
      </c>
    </row>
    <row r="211" spans="1:19">
      <c r="A211" s="159"/>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1">
        <f t="shared" si="37"/>
        <v>0</v>
      </c>
    </row>
    <row r="212" spans="1:19">
      <c r="A212" s="159"/>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1">
        <f t="shared" si="37"/>
        <v>0</v>
      </c>
    </row>
    <row r="213" spans="1:19">
      <c r="A213" s="159"/>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1">
        <f t="shared" si="37"/>
        <v>0</v>
      </c>
    </row>
    <row r="214" spans="1:19">
      <c r="A214" s="159"/>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1">
        <f t="shared" si="37"/>
        <v>0</v>
      </c>
    </row>
    <row r="215" spans="1:19">
      <c r="A215" s="159"/>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1">
        <f t="shared" si="37"/>
        <v>0</v>
      </c>
    </row>
    <row r="216" spans="1:19">
      <c r="A216" s="159"/>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1">
        <f t="shared" si="37"/>
        <v>0</v>
      </c>
    </row>
    <row r="217" spans="1:19">
      <c r="A217" s="159"/>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1">
        <f t="shared" si="37"/>
        <v>0</v>
      </c>
    </row>
    <row r="218" spans="1:19">
      <c r="A218" s="159"/>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1">
        <f t="shared" si="37"/>
        <v>0</v>
      </c>
    </row>
    <row r="219" spans="1:19">
      <c r="A219" s="159"/>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1">
        <f t="shared" si="37"/>
        <v>0</v>
      </c>
    </row>
    <row r="220" spans="1:19">
      <c r="A220" s="159"/>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1">
        <f t="shared" si="37"/>
        <v>0</v>
      </c>
    </row>
    <row r="221" spans="1:19">
      <c r="A221" s="159"/>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1">
        <f t="shared" si="37"/>
        <v>0</v>
      </c>
    </row>
    <row r="222" spans="1:19">
      <c r="A222" s="159"/>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1">
        <f t="shared" si="37"/>
        <v>0</v>
      </c>
    </row>
    <row r="223" spans="1:19">
      <c r="A223" s="159"/>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1">
        <f t="shared" ref="S223:S286" si="47">ROUND(R223*B223/10000,0)</f>
        <v>0</v>
      </c>
    </row>
    <row r="224" spans="1:19">
      <c r="A224" s="159"/>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1">
        <f t="shared" si="47"/>
        <v>0</v>
      </c>
    </row>
    <row r="225" spans="1:19">
      <c r="A225" s="159"/>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1">
        <f t="shared" si="47"/>
        <v>0</v>
      </c>
    </row>
    <row r="226" spans="1:19">
      <c r="A226" s="159"/>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1">
        <f t="shared" si="47"/>
        <v>0</v>
      </c>
    </row>
    <row r="227" spans="1:19">
      <c r="A227" s="159"/>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1">
        <f t="shared" si="47"/>
        <v>0</v>
      </c>
    </row>
    <row r="228" spans="1:19">
      <c r="A228" s="159"/>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1">
        <f t="shared" si="47"/>
        <v>0</v>
      </c>
    </row>
    <row r="229" spans="1:19">
      <c r="A229" s="159"/>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1">
        <f t="shared" si="47"/>
        <v>0</v>
      </c>
    </row>
    <row r="230" spans="1:19">
      <c r="A230" s="159"/>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1">
        <f t="shared" si="47"/>
        <v>0</v>
      </c>
    </row>
    <row r="231" spans="1:19">
      <c r="A231" s="159"/>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1">
        <f t="shared" si="47"/>
        <v>0</v>
      </c>
    </row>
    <row r="232" spans="1:19">
      <c r="A232" s="159"/>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1">
        <f t="shared" si="47"/>
        <v>0</v>
      </c>
    </row>
    <row r="233" spans="1:19">
      <c r="A233" s="159"/>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1">
        <f t="shared" si="47"/>
        <v>0</v>
      </c>
    </row>
    <row r="234" spans="1:19">
      <c r="A234" s="159"/>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1">
        <f t="shared" si="47"/>
        <v>0</v>
      </c>
    </row>
    <row r="235" spans="1:19">
      <c r="A235" s="159"/>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1">
        <f t="shared" si="47"/>
        <v>0</v>
      </c>
    </row>
    <row r="236" spans="1:19">
      <c r="A236" s="159"/>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1">
        <f t="shared" si="47"/>
        <v>0</v>
      </c>
    </row>
    <row r="237" spans="1:19">
      <c r="A237" s="159"/>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1">
        <f t="shared" si="47"/>
        <v>0</v>
      </c>
    </row>
    <row r="238" spans="1:19">
      <c r="A238" s="159"/>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1">
        <f t="shared" si="47"/>
        <v>0</v>
      </c>
    </row>
    <row r="239" spans="1:19">
      <c r="A239" s="159"/>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1">
        <f t="shared" si="47"/>
        <v>0</v>
      </c>
    </row>
    <row r="240" spans="1:19">
      <c r="A240" s="159"/>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1">
        <f t="shared" si="47"/>
        <v>0</v>
      </c>
    </row>
    <row r="241" spans="1:19">
      <c r="A241" s="159"/>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1">
        <f t="shared" si="47"/>
        <v>0</v>
      </c>
    </row>
    <row r="242" spans="1:19">
      <c r="A242" s="159"/>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1">
        <f t="shared" si="47"/>
        <v>0</v>
      </c>
    </row>
    <row r="243" spans="1:19">
      <c r="A243" s="159"/>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1">
        <f t="shared" si="47"/>
        <v>0</v>
      </c>
    </row>
    <row r="244" spans="1:19">
      <c r="A244" s="159"/>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1">
        <f t="shared" si="47"/>
        <v>0</v>
      </c>
    </row>
    <row r="245" spans="1:19">
      <c r="A245" s="159"/>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1">
        <f t="shared" si="47"/>
        <v>0</v>
      </c>
    </row>
    <row r="246" spans="1:19">
      <c r="A246" s="159"/>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1">
        <f t="shared" si="47"/>
        <v>0</v>
      </c>
    </row>
    <row r="247" spans="1:19">
      <c r="A247" s="159"/>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1">
        <f t="shared" si="47"/>
        <v>0</v>
      </c>
    </row>
    <row r="248" spans="1:19">
      <c r="A248" s="159"/>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1">
        <f t="shared" si="47"/>
        <v>0</v>
      </c>
    </row>
    <row r="249" spans="1:19">
      <c r="A249" s="159"/>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1">
        <f t="shared" si="47"/>
        <v>0</v>
      </c>
    </row>
    <row r="250" spans="1:19">
      <c r="A250" s="159"/>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1">
        <f t="shared" si="47"/>
        <v>0</v>
      </c>
    </row>
    <row r="251" spans="1:19">
      <c r="A251" s="159"/>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1">
        <f t="shared" si="47"/>
        <v>0</v>
      </c>
    </row>
    <row r="252" spans="1:19">
      <c r="A252" s="159"/>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1">
        <f t="shared" si="47"/>
        <v>0</v>
      </c>
    </row>
    <row r="253" spans="1:19">
      <c r="A253" s="159"/>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1">
        <f t="shared" si="47"/>
        <v>0</v>
      </c>
    </row>
    <row r="254" spans="1:19">
      <c r="A254" s="159"/>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1">
        <f t="shared" si="47"/>
        <v>0</v>
      </c>
    </row>
    <row r="255" spans="1:19">
      <c r="A255" s="159"/>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1">
        <f t="shared" si="47"/>
        <v>0</v>
      </c>
    </row>
    <row r="256" spans="1:19">
      <c r="A256" s="159"/>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1">
        <f t="shared" si="47"/>
        <v>0</v>
      </c>
    </row>
    <row r="257" spans="1:19">
      <c r="A257" s="159"/>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1">
        <f t="shared" si="47"/>
        <v>0</v>
      </c>
    </row>
    <row r="258" spans="1:19">
      <c r="A258" s="159"/>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1">
        <f t="shared" si="47"/>
        <v>0</v>
      </c>
    </row>
    <row r="259" spans="1:19">
      <c r="A259" s="159"/>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1">
        <f t="shared" si="47"/>
        <v>0</v>
      </c>
    </row>
    <row r="260" spans="1:19">
      <c r="A260" s="159"/>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1">
        <f t="shared" si="47"/>
        <v>0</v>
      </c>
    </row>
    <row r="261" spans="1:19">
      <c r="A261" s="159"/>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1">
        <f t="shared" si="47"/>
        <v>0</v>
      </c>
    </row>
    <row r="262" spans="1:19">
      <c r="A262" s="159"/>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1">
        <f t="shared" si="47"/>
        <v>0</v>
      </c>
    </row>
    <row r="263" spans="1:19">
      <c r="A263" s="159"/>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1">
        <f t="shared" si="47"/>
        <v>0</v>
      </c>
    </row>
    <row r="264" spans="1:19">
      <c r="A264" s="159"/>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1">
        <f t="shared" si="47"/>
        <v>0</v>
      </c>
    </row>
    <row r="265" spans="1:19">
      <c r="A265" s="159"/>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1">
        <f t="shared" si="47"/>
        <v>0</v>
      </c>
    </row>
    <row r="266" spans="1:19">
      <c r="A266" s="159"/>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1">
        <f t="shared" si="47"/>
        <v>0</v>
      </c>
    </row>
    <row r="267" spans="1:19">
      <c r="A267" s="159"/>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1">
        <f t="shared" si="47"/>
        <v>0</v>
      </c>
    </row>
    <row r="268" spans="1:19">
      <c r="A268" s="159"/>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1">
        <f t="shared" si="47"/>
        <v>0</v>
      </c>
    </row>
    <row r="269" spans="1:19">
      <c r="A269" s="159"/>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1">
        <f t="shared" si="47"/>
        <v>0</v>
      </c>
    </row>
    <row r="270" spans="1:19">
      <c r="A270" s="159"/>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1">
        <f t="shared" si="47"/>
        <v>0</v>
      </c>
    </row>
    <row r="271" spans="1:19">
      <c r="A271" s="159"/>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1">
        <f t="shared" si="47"/>
        <v>0</v>
      </c>
    </row>
    <row r="272" spans="1:19">
      <c r="A272" s="159"/>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1">
        <f t="shared" si="47"/>
        <v>0</v>
      </c>
    </row>
    <row r="273" spans="1:19">
      <c r="A273" s="159"/>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1">
        <f t="shared" si="47"/>
        <v>0</v>
      </c>
    </row>
    <row r="274" spans="1:19">
      <c r="A274" s="159"/>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1">
        <f t="shared" si="47"/>
        <v>0</v>
      </c>
    </row>
    <row r="275" spans="1:19">
      <c r="A275" s="159"/>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1">
        <f t="shared" si="47"/>
        <v>0</v>
      </c>
    </row>
    <row r="276" spans="1:19">
      <c r="A276" s="159"/>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1">
        <f t="shared" si="47"/>
        <v>0</v>
      </c>
    </row>
    <row r="277" spans="1:19">
      <c r="A277" s="159"/>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1">
        <f t="shared" si="47"/>
        <v>0</v>
      </c>
    </row>
    <row r="278" spans="1:19">
      <c r="A278" s="159"/>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1">
        <f t="shared" si="47"/>
        <v>0</v>
      </c>
    </row>
    <row r="279" spans="1:19">
      <c r="A279" s="159"/>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1">
        <f t="shared" si="47"/>
        <v>0</v>
      </c>
    </row>
    <row r="280" spans="1:19">
      <c r="A280" s="159"/>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1">
        <f t="shared" si="47"/>
        <v>0</v>
      </c>
    </row>
    <row r="281" spans="1:19">
      <c r="A281" s="159"/>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1">
        <f t="shared" si="47"/>
        <v>0</v>
      </c>
    </row>
    <row r="282" spans="1:19">
      <c r="A282" s="159"/>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1">
        <f t="shared" si="47"/>
        <v>0</v>
      </c>
    </row>
    <row r="283" spans="1:19">
      <c r="A283" s="159"/>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1">
        <f t="shared" si="47"/>
        <v>0</v>
      </c>
    </row>
    <row r="284" spans="1:19">
      <c r="A284" s="159"/>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1">
        <f t="shared" si="47"/>
        <v>0</v>
      </c>
    </row>
    <row r="285" spans="1:19">
      <c r="A285" s="159"/>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1">
        <f t="shared" si="47"/>
        <v>0</v>
      </c>
    </row>
    <row r="286" spans="1:19">
      <c r="A286" s="159"/>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1">
        <f t="shared" si="47"/>
        <v>0</v>
      </c>
    </row>
    <row r="287" spans="1:19">
      <c r="A287" s="159"/>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1">
        <f t="shared" ref="S287:S320" si="57">ROUND(R287*B287/10000,0)</f>
        <v>0</v>
      </c>
    </row>
    <row r="288" spans="1:19">
      <c r="A288" s="159"/>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1">
        <f t="shared" si="57"/>
        <v>0</v>
      </c>
    </row>
    <row r="289" spans="1:19">
      <c r="A289" s="159"/>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1">
        <f t="shared" si="57"/>
        <v>0</v>
      </c>
    </row>
    <row r="290" spans="1:19">
      <c r="A290" s="159"/>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1">
        <f t="shared" si="57"/>
        <v>0</v>
      </c>
    </row>
    <row r="291" spans="1:19">
      <c r="A291" s="159"/>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1">
        <f t="shared" si="57"/>
        <v>0</v>
      </c>
    </row>
    <row r="292" spans="1:19">
      <c r="A292" s="159"/>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1">
        <f t="shared" si="57"/>
        <v>0</v>
      </c>
    </row>
    <row r="293" spans="1:19">
      <c r="A293" s="159"/>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1">
        <f t="shared" si="57"/>
        <v>0</v>
      </c>
    </row>
    <row r="294" spans="1:19">
      <c r="A294" s="159"/>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1">
        <f t="shared" si="57"/>
        <v>0</v>
      </c>
    </row>
    <row r="295" spans="1:19">
      <c r="A295" s="159"/>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1">
        <f t="shared" si="57"/>
        <v>0</v>
      </c>
    </row>
    <row r="296" spans="1:19">
      <c r="A296" s="159"/>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1">
        <f t="shared" si="57"/>
        <v>0</v>
      </c>
    </row>
    <row r="297" spans="1:19">
      <c r="A297" s="159"/>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1">
        <f t="shared" si="57"/>
        <v>0</v>
      </c>
    </row>
    <row r="298" spans="1:19">
      <c r="A298" s="159"/>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1">
        <f t="shared" si="57"/>
        <v>0</v>
      </c>
    </row>
    <row r="299" spans="1:19">
      <c r="A299" s="159"/>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1">
        <f t="shared" si="57"/>
        <v>0</v>
      </c>
    </row>
    <row r="300" spans="1:19">
      <c r="A300" s="159"/>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1">
        <f t="shared" si="57"/>
        <v>0</v>
      </c>
    </row>
    <row r="301" spans="1:19">
      <c r="A301" s="159"/>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1">
        <f t="shared" si="57"/>
        <v>0</v>
      </c>
    </row>
    <row r="302" spans="1:19">
      <c r="A302" s="159"/>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1">
        <f t="shared" si="57"/>
        <v>0</v>
      </c>
    </row>
    <row r="303" spans="1:19">
      <c r="A303" s="159"/>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1">
        <f t="shared" si="57"/>
        <v>0</v>
      </c>
    </row>
    <row r="304" spans="1:19">
      <c r="A304" s="159"/>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1">
        <f t="shared" si="57"/>
        <v>0</v>
      </c>
    </row>
    <row r="305" spans="1:19">
      <c r="A305" s="159"/>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1">
        <f t="shared" si="57"/>
        <v>0</v>
      </c>
    </row>
    <row r="306" spans="1:19">
      <c r="A306" s="159"/>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1">
        <f t="shared" si="57"/>
        <v>0</v>
      </c>
    </row>
    <row r="307" spans="1:19">
      <c r="A307" s="159"/>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1">
        <f t="shared" si="57"/>
        <v>0</v>
      </c>
    </row>
    <row r="308" spans="1:19">
      <c r="A308" s="159"/>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1">
        <f t="shared" si="57"/>
        <v>0</v>
      </c>
    </row>
    <row r="309" spans="1:19">
      <c r="A309" s="159"/>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1">
        <f t="shared" si="57"/>
        <v>0</v>
      </c>
    </row>
    <row r="310" spans="1:19">
      <c r="A310" s="159"/>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1">
        <f t="shared" si="57"/>
        <v>0</v>
      </c>
    </row>
    <row r="311" spans="1:19">
      <c r="A311" s="159"/>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1">
        <f t="shared" si="57"/>
        <v>0</v>
      </c>
    </row>
    <row r="312" spans="1:19">
      <c r="A312" s="159"/>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1">
        <f t="shared" si="57"/>
        <v>0</v>
      </c>
    </row>
    <row r="313" spans="1:19">
      <c r="A313" s="159"/>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1">
        <f t="shared" si="57"/>
        <v>0</v>
      </c>
    </row>
    <row r="314" spans="1:19">
      <c r="A314" s="159"/>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1">
        <f t="shared" si="57"/>
        <v>0</v>
      </c>
    </row>
    <row r="315" spans="1:19">
      <c r="A315" s="159"/>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1">
        <f t="shared" si="57"/>
        <v>0</v>
      </c>
    </row>
    <row r="316" spans="1:19">
      <c r="A316" s="159"/>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1">
        <f t="shared" si="57"/>
        <v>0</v>
      </c>
    </row>
    <row r="317" spans="1:19">
      <c r="A317" s="159"/>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1">
        <f t="shared" si="57"/>
        <v>0</v>
      </c>
    </row>
    <row r="318" spans="1:19">
      <c r="A318" s="159"/>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1">
        <f t="shared" si="57"/>
        <v>0</v>
      </c>
    </row>
    <row r="319" spans="1:19">
      <c r="A319" s="159"/>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1">
        <f t="shared" si="57"/>
        <v>0</v>
      </c>
    </row>
    <row r="320" spans="1:19">
      <c r="A320" s="159"/>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1">
        <f t="shared" si="57"/>
        <v>0</v>
      </c>
    </row>
    <row r="321" spans="1:19">
      <c r="A321" s="159"/>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1">
        <f t="shared" ref="S321:S384" si="58">ROUND(R321*B321/10000,0)</f>
        <v>0</v>
      </c>
    </row>
    <row r="322" spans="1:19">
      <c r="A322" s="159"/>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1">
        <f t="shared" si="58"/>
        <v>0</v>
      </c>
    </row>
    <row r="323" spans="1:19">
      <c r="A323" s="159"/>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1">
        <f t="shared" si="58"/>
        <v>0</v>
      </c>
    </row>
    <row r="324" spans="1:19">
      <c r="A324" s="159"/>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1">
        <f t="shared" si="58"/>
        <v>0</v>
      </c>
    </row>
    <row r="325" spans="1:19">
      <c r="A325" s="159"/>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1">
        <f t="shared" si="58"/>
        <v>0</v>
      </c>
    </row>
    <row r="326" spans="1:19">
      <c r="A326" s="159"/>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1">
        <f t="shared" si="58"/>
        <v>0</v>
      </c>
    </row>
    <row r="327" spans="1:19">
      <c r="A327" s="159"/>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1">
        <f t="shared" si="58"/>
        <v>0</v>
      </c>
    </row>
    <row r="328" spans="1:19">
      <c r="A328" s="159"/>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1">
        <f t="shared" si="58"/>
        <v>0</v>
      </c>
    </row>
    <row r="329" spans="1:19">
      <c r="A329" s="159"/>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1">
        <f t="shared" si="58"/>
        <v>0</v>
      </c>
    </row>
    <row r="330" spans="1:19">
      <c r="A330" s="159"/>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1">
        <f t="shared" si="58"/>
        <v>0</v>
      </c>
    </row>
    <row r="331" spans="1:19">
      <c r="A331" s="159"/>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1">
        <f t="shared" si="58"/>
        <v>0</v>
      </c>
    </row>
    <row r="332" spans="1:19">
      <c r="A332" s="159"/>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1">
        <f t="shared" si="58"/>
        <v>0</v>
      </c>
    </row>
    <row r="333" spans="1:19">
      <c r="A333" s="159"/>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1">
        <f t="shared" si="58"/>
        <v>0</v>
      </c>
    </row>
    <row r="334" spans="1:19">
      <c r="A334" s="159"/>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1">
        <f t="shared" si="58"/>
        <v>0</v>
      </c>
    </row>
    <row r="335" spans="1:19">
      <c r="A335" s="159"/>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1">
        <f t="shared" si="58"/>
        <v>0</v>
      </c>
    </row>
    <row r="336" spans="1:19">
      <c r="A336" s="159"/>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1">
        <f t="shared" si="58"/>
        <v>0</v>
      </c>
    </row>
    <row r="337" spans="1:19">
      <c r="A337" s="159"/>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1">
        <f t="shared" si="58"/>
        <v>0</v>
      </c>
    </row>
    <row r="338" spans="1:19">
      <c r="A338" s="159"/>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1">
        <f t="shared" si="58"/>
        <v>0</v>
      </c>
    </row>
    <row r="339" spans="1:19">
      <c r="A339" s="159"/>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1">
        <f t="shared" si="58"/>
        <v>0</v>
      </c>
    </row>
    <row r="340" spans="1:19">
      <c r="A340" s="159"/>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1">
        <f t="shared" si="58"/>
        <v>0</v>
      </c>
    </row>
    <row r="341" spans="1:19">
      <c r="A341" s="159"/>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1">
        <f t="shared" si="58"/>
        <v>0</v>
      </c>
    </row>
    <row r="342" spans="1:19">
      <c r="A342" s="159"/>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1">
        <f t="shared" si="58"/>
        <v>0</v>
      </c>
    </row>
    <row r="343" spans="1:19">
      <c r="A343" s="159"/>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1">
        <f t="shared" si="58"/>
        <v>0</v>
      </c>
    </row>
    <row r="344" spans="1:19">
      <c r="A344" s="159"/>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1">
        <f t="shared" si="58"/>
        <v>0</v>
      </c>
    </row>
    <row r="345" spans="1:19">
      <c r="A345" s="159"/>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1">
        <f t="shared" si="58"/>
        <v>0</v>
      </c>
    </row>
    <row r="346" spans="1:19">
      <c r="A346" s="159"/>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1">
        <f t="shared" si="58"/>
        <v>0</v>
      </c>
    </row>
    <row r="347" spans="1:19">
      <c r="A347" s="159"/>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1">
        <f t="shared" si="58"/>
        <v>0</v>
      </c>
    </row>
    <row r="348" spans="1:19">
      <c r="A348" s="159"/>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1">
        <f t="shared" si="58"/>
        <v>0</v>
      </c>
    </row>
    <row r="349" spans="1:19">
      <c r="A349" s="159"/>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1">
        <f t="shared" si="58"/>
        <v>0</v>
      </c>
    </row>
    <row r="350" spans="1:19">
      <c r="A350" s="159"/>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1">
        <f t="shared" si="58"/>
        <v>0</v>
      </c>
    </row>
    <row r="351" spans="1:19">
      <c r="A351" s="159"/>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1">
        <f t="shared" si="58"/>
        <v>0</v>
      </c>
    </row>
    <row r="352" spans="1:19">
      <c r="A352" s="159"/>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1">
        <f t="shared" si="58"/>
        <v>0</v>
      </c>
    </row>
    <row r="353" spans="1:19">
      <c r="A353" s="159"/>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1">
        <f t="shared" si="58"/>
        <v>0</v>
      </c>
    </row>
    <row r="354" spans="1:19">
      <c r="A354" s="159"/>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1">
        <f t="shared" si="58"/>
        <v>0</v>
      </c>
    </row>
    <row r="355" spans="1:19">
      <c r="A355" s="159"/>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1">
        <f t="shared" si="58"/>
        <v>0</v>
      </c>
    </row>
    <row r="356" spans="1:19">
      <c r="A356" s="159"/>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1">
        <f t="shared" si="58"/>
        <v>0</v>
      </c>
    </row>
    <row r="357" spans="1:19">
      <c r="A357" s="159"/>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1">
        <f t="shared" si="58"/>
        <v>0</v>
      </c>
    </row>
    <row r="358" spans="1:19">
      <c r="A358" s="159"/>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1">
        <f t="shared" si="58"/>
        <v>0</v>
      </c>
    </row>
    <row r="359" spans="1:19">
      <c r="A359" s="159"/>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1">
        <f t="shared" si="58"/>
        <v>0</v>
      </c>
    </row>
    <row r="360" spans="1:19">
      <c r="A360" s="159"/>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1">
        <f t="shared" si="58"/>
        <v>0</v>
      </c>
    </row>
    <row r="361" spans="1:19">
      <c r="A361" s="159"/>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1">
        <f t="shared" si="58"/>
        <v>0</v>
      </c>
    </row>
    <row r="362" spans="1:19">
      <c r="A362" s="159"/>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1">
        <f t="shared" si="58"/>
        <v>0</v>
      </c>
    </row>
    <row r="363" spans="1:19">
      <c r="A363" s="159"/>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1">
        <f t="shared" si="58"/>
        <v>0</v>
      </c>
    </row>
    <row r="364" spans="1:19">
      <c r="A364" s="159"/>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1">
        <f t="shared" si="58"/>
        <v>0</v>
      </c>
    </row>
    <row r="365" spans="1:19">
      <c r="A365" s="159"/>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1">
        <f t="shared" si="58"/>
        <v>0</v>
      </c>
    </row>
    <row r="366" spans="1:19">
      <c r="A366" s="159"/>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1">
        <f t="shared" si="58"/>
        <v>0</v>
      </c>
    </row>
    <row r="367" spans="1:19">
      <c r="A367" s="159"/>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1">
        <f t="shared" si="58"/>
        <v>0</v>
      </c>
    </row>
    <row r="368" spans="1:19">
      <c r="A368" s="159"/>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1">
        <f t="shared" si="58"/>
        <v>0</v>
      </c>
    </row>
    <row r="369" spans="1:19">
      <c r="A369" s="159"/>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1">
        <f t="shared" si="58"/>
        <v>0</v>
      </c>
    </row>
    <row r="370" spans="1:19">
      <c r="A370" s="159"/>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1">
        <f t="shared" si="58"/>
        <v>0</v>
      </c>
    </row>
    <row r="371" spans="1:19">
      <c r="A371" s="159"/>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1">
        <f t="shared" si="58"/>
        <v>0</v>
      </c>
    </row>
    <row r="372" spans="1:19">
      <c r="A372" s="159"/>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1">
        <f t="shared" si="58"/>
        <v>0</v>
      </c>
    </row>
    <row r="373" spans="1:19">
      <c r="A373" s="159"/>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1">
        <f t="shared" si="58"/>
        <v>0</v>
      </c>
    </row>
    <row r="374" spans="1:19">
      <c r="A374" s="159"/>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1">
        <f t="shared" si="58"/>
        <v>0</v>
      </c>
    </row>
    <row r="375" spans="1:19">
      <c r="A375" s="159"/>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1">
        <f t="shared" si="58"/>
        <v>0</v>
      </c>
    </row>
    <row r="376" spans="1:19">
      <c r="A376" s="159"/>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1">
        <f t="shared" si="58"/>
        <v>0</v>
      </c>
    </row>
    <row r="377" spans="1:19">
      <c r="A377" s="159"/>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1">
        <f t="shared" si="58"/>
        <v>0</v>
      </c>
    </row>
    <row r="378" spans="1:19">
      <c r="A378" s="159"/>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1">
        <f t="shared" si="58"/>
        <v>0</v>
      </c>
    </row>
    <row r="379" spans="1:19">
      <c r="A379" s="159"/>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1">
        <f t="shared" si="58"/>
        <v>0</v>
      </c>
    </row>
    <row r="380" spans="1:19">
      <c r="A380" s="159"/>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1">
        <f t="shared" si="58"/>
        <v>0</v>
      </c>
    </row>
    <row r="381" spans="1:19">
      <c r="A381" s="159"/>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1">
        <f t="shared" si="58"/>
        <v>0</v>
      </c>
    </row>
    <row r="382" spans="1:19">
      <c r="A382" s="159"/>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1">
        <f t="shared" si="58"/>
        <v>0</v>
      </c>
    </row>
    <row r="383" spans="1:19">
      <c r="A383" s="159"/>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1">
        <f t="shared" si="58"/>
        <v>0</v>
      </c>
    </row>
    <row r="384" spans="1:19">
      <c r="A384" s="159"/>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1">
        <f t="shared" si="58"/>
        <v>0</v>
      </c>
    </row>
    <row r="385" spans="1:19">
      <c r="A385" s="159"/>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1">
        <f t="shared" ref="S385:S422" si="68">ROUND(R385*B385/10000,0)</f>
        <v>0</v>
      </c>
    </row>
    <row r="386" spans="1:19">
      <c r="A386" s="159"/>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1">
        <f t="shared" si="68"/>
        <v>0</v>
      </c>
    </row>
    <row r="387" spans="1:19">
      <c r="A387" s="159"/>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1">
        <f t="shared" si="68"/>
        <v>0</v>
      </c>
    </row>
    <row r="388" spans="1:19">
      <c r="A388" s="159"/>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1">
        <f t="shared" si="68"/>
        <v>0</v>
      </c>
    </row>
    <row r="389" spans="1:19">
      <c r="A389" s="159"/>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1">
        <f t="shared" si="68"/>
        <v>0</v>
      </c>
    </row>
    <row r="390" spans="1:19">
      <c r="A390" s="159"/>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1">
        <f t="shared" si="68"/>
        <v>0</v>
      </c>
    </row>
    <row r="391" spans="1:19">
      <c r="A391" s="159"/>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1">
        <f t="shared" si="68"/>
        <v>0</v>
      </c>
    </row>
    <row r="392" spans="1:19">
      <c r="A392" s="159"/>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1">
        <f t="shared" si="68"/>
        <v>0</v>
      </c>
    </row>
    <row r="393" spans="1:19">
      <c r="A393" s="159"/>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1">
        <f t="shared" si="68"/>
        <v>0</v>
      </c>
    </row>
    <row r="394" spans="1:19">
      <c r="A394" s="159"/>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1">
        <f t="shared" si="68"/>
        <v>0</v>
      </c>
    </row>
    <row r="395" spans="1:19">
      <c r="A395" s="159"/>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1">
        <f t="shared" si="68"/>
        <v>0</v>
      </c>
    </row>
    <row r="396" spans="1:19">
      <c r="A396" s="159"/>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1">
        <f t="shared" si="68"/>
        <v>0</v>
      </c>
    </row>
    <row r="397" spans="1:19">
      <c r="A397" s="159"/>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1">
        <f t="shared" si="68"/>
        <v>0</v>
      </c>
    </row>
    <row r="398" spans="1:19">
      <c r="A398" s="159"/>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1">
        <f t="shared" si="68"/>
        <v>0</v>
      </c>
    </row>
    <row r="399" spans="1:19">
      <c r="A399" s="159"/>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1">
        <f t="shared" si="68"/>
        <v>0</v>
      </c>
    </row>
    <row r="400" spans="1:19">
      <c r="A400" s="159"/>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1">
        <f t="shared" si="68"/>
        <v>0</v>
      </c>
    </row>
    <row r="401" spans="1:19">
      <c r="A401" s="159"/>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1">
        <f t="shared" si="68"/>
        <v>0</v>
      </c>
    </row>
    <row r="402" spans="1:19">
      <c r="A402" s="159"/>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1">
        <f t="shared" si="68"/>
        <v>0</v>
      </c>
    </row>
    <row r="403" spans="1:19">
      <c r="A403" s="159"/>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1">
        <f t="shared" si="68"/>
        <v>0</v>
      </c>
    </row>
    <row r="404" spans="1:19">
      <c r="A404" s="159"/>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1">
        <f t="shared" si="68"/>
        <v>0</v>
      </c>
    </row>
    <row r="405" spans="1:19">
      <c r="A405" s="159"/>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1">
        <f t="shared" si="68"/>
        <v>0</v>
      </c>
    </row>
    <row r="406" spans="1:19">
      <c r="A406" s="159"/>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1">
        <f t="shared" si="68"/>
        <v>0</v>
      </c>
    </row>
    <row r="407" spans="1:19">
      <c r="A407" s="159"/>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1">
        <f t="shared" si="68"/>
        <v>0</v>
      </c>
    </row>
    <row r="408" spans="1:19">
      <c r="A408" s="159"/>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1">
        <f t="shared" si="68"/>
        <v>0</v>
      </c>
    </row>
    <row r="409" spans="1:19">
      <c r="A409" s="159"/>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1">
        <f t="shared" si="68"/>
        <v>0</v>
      </c>
    </row>
    <row r="410" spans="1:19">
      <c r="A410" s="159"/>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1">
        <f t="shared" si="68"/>
        <v>0</v>
      </c>
    </row>
    <row r="411" spans="1:19">
      <c r="A411" s="159"/>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1">
        <f t="shared" si="68"/>
        <v>0</v>
      </c>
    </row>
    <row r="412" spans="1:19">
      <c r="A412" s="159"/>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1">
        <f t="shared" si="68"/>
        <v>0</v>
      </c>
    </row>
    <row r="413" spans="1:19">
      <c r="A413" s="159"/>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1">
        <f t="shared" si="68"/>
        <v>0</v>
      </c>
    </row>
    <row r="414" spans="1:19">
      <c r="A414" s="159"/>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1">
        <f t="shared" si="68"/>
        <v>0</v>
      </c>
    </row>
    <row r="415" spans="1:19">
      <c r="A415" s="159"/>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1">
        <f t="shared" si="68"/>
        <v>0</v>
      </c>
    </row>
    <row r="416" spans="1:19">
      <c r="A416" s="159"/>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1">
        <f t="shared" si="68"/>
        <v>0</v>
      </c>
    </row>
    <row r="417" spans="1:19">
      <c r="A417" s="159"/>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1">
        <f t="shared" si="68"/>
        <v>0</v>
      </c>
    </row>
    <row r="418" spans="1:19">
      <c r="A418" s="159"/>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1">
        <f t="shared" si="68"/>
        <v>0</v>
      </c>
    </row>
    <row r="419" spans="1:19">
      <c r="A419" s="159"/>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1">
        <f t="shared" si="68"/>
        <v>0</v>
      </c>
    </row>
    <row r="420" spans="1:19">
      <c r="A420" s="159"/>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1">
        <f t="shared" si="68"/>
        <v>0</v>
      </c>
    </row>
    <row r="421" spans="1:19">
      <c r="A421" s="159"/>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1">
        <f t="shared" si="68"/>
        <v>0</v>
      </c>
    </row>
    <row r="422" spans="1:19">
      <c r="A422" s="159"/>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1">
        <f t="shared" si="68"/>
        <v>0</v>
      </c>
    </row>
    <row r="423" spans="1:19">
      <c r="A423" s="159"/>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1">
        <f t="shared" ref="S423:S467" si="78">ROUND(R423*B423/10000,0)</f>
        <v>0</v>
      </c>
    </row>
    <row r="424" spans="1:19">
      <c r="A424" s="159"/>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1">
        <f t="shared" si="78"/>
        <v>0</v>
      </c>
    </row>
    <row r="425" spans="1:19">
      <c r="A425" s="159"/>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1">
        <f t="shared" si="78"/>
        <v>0</v>
      </c>
    </row>
    <row r="426" spans="1:19">
      <c r="A426" s="159"/>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1">
        <f t="shared" si="78"/>
        <v>0</v>
      </c>
    </row>
    <row r="427" spans="1:19">
      <c r="A427" s="159"/>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1">
        <f t="shared" si="78"/>
        <v>0</v>
      </c>
    </row>
    <row r="428" spans="1:19">
      <c r="A428" s="159"/>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1">
        <f t="shared" si="78"/>
        <v>0</v>
      </c>
    </row>
    <row r="429" spans="1:19">
      <c r="A429" s="159"/>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1">
        <f t="shared" si="78"/>
        <v>0</v>
      </c>
    </row>
    <row r="430" spans="1:19">
      <c r="A430" s="159"/>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1">
        <f t="shared" si="78"/>
        <v>0</v>
      </c>
    </row>
    <row r="431" spans="1:19">
      <c r="A431" s="159"/>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1">
        <f t="shared" si="78"/>
        <v>0</v>
      </c>
    </row>
    <row r="432" spans="1:19">
      <c r="A432" s="159"/>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1">
        <f t="shared" si="78"/>
        <v>0</v>
      </c>
    </row>
    <row r="433" spans="1:19">
      <c r="A433" s="159"/>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1">
        <f t="shared" si="78"/>
        <v>0</v>
      </c>
    </row>
    <row r="434" spans="1:19">
      <c r="A434" s="159"/>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1">
        <f t="shared" si="78"/>
        <v>0</v>
      </c>
    </row>
    <row r="435" spans="1:19">
      <c r="A435" s="159"/>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1">
        <f t="shared" si="78"/>
        <v>0</v>
      </c>
    </row>
    <row r="436" spans="1:19">
      <c r="A436" s="159"/>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1">
        <f t="shared" si="78"/>
        <v>0</v>
      </c>
    </row>
    <row r="437" spans="1:19">
      <c r="A437" s="159"/>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1">
        <f t="shared" si="78"/>
        <v>0</v>
      </c>
    </row>
    <row r="438" spans="1:19">
      <c r="A438" s="159"/>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1">
        <f t="shared" si="78"/>
        <v>0</v>
      </c>
    </row>
    <row r="439" spans="1:19">
      <c r="A439" s="159"/>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1">
        <f t="shared" si="78"/>
        <v>0</v>
      </c>
    </row>
    <row r="440" spans="1:19">
      <c r="A440" s="159"/>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1">
        <f t="shared" si="78"/>
        <v>0</v>
      </c>
    </row>
    <row r="441" spans="1:19">
      <c r="A441" s="159"/>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1">
        <f t="shared" si="78"/>
        <v>0</v>
      </c>
    </row>
    <row r="442" spans="1:19">
      <c r="A442" s="159"/>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1">
        <f t="shared" si="78"/>
        <v>0</v>
      </c>
    </row>
    <row r="443" spans="1:19">
      <c r="A443" s="159"/>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1">
        <f t="shared" si="78"/>
        <v>0</v>
      </c>
    </row>
    <row r="444" spans="1:19">
      <c r="A444" s="159"/>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1">
        <f t="shared" si="78"/>
        <v>0</v>
      </c>
    </row>
    <row r="445" spans="1:19">
      <c r="A445" s="159"/>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1">
        <f t="shared" si="78"/>
        <v>0</v>
      </c>
    </row>
    <row r="446" spans="1:19">
      <c r="A446" s="159"/>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1">
        <f t="shared" si="78"/>
        <v>0</v>
      </c>
    </row>
    <row r="447" spans="1:19">
      <c r="A447" s="159"/>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1">
        <f t="shared" si="78"/>
        <v>0</v>
      </c>
    </row>
    <row r="448" spans="1:19">
      <c r="A448" s="159"/>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1">
        <f t="shared" si="78"/>
        <v>0</v>
      </c>
    </row>
    <row r="449" spans="1:19">
      <c r="A449" s="159"/>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1">
        <f t="shared" si="78"/>
        <v>0</v>
      </c>
    </row>
    <row r="450" spans="1:19">
      <c r="A450" s="159"/>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1">
        <f t="shared" si="78"/>
        <v>0</v>
      </c>
    </row>
    <row r="451" spans="1:19">
      <c r="A451" s="159"/>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1">
        <f t="shared" si="78"/>
        <v>0</v>
      </c>
    </row>
    <row r="452" spans="1:19">
      <c r="A452" s="159"/>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1">
        <f t="shared" si="78"/>
        <v>0</v>
      </c>
    </row>
    <row r="453" spans="1:19">
      <c r="A453" s="159"/>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1">
        <f t="shared" si="78"/>
        <v>0</v>
      </c>
    </row>
    <row r="454" spans="1:19">
      <c r="A454" s="159"/>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1">
        <f t="shared" si="78"/>
        <v>0</v>
      </c>
    </row>
    <row r="455" spans="1:19">
      <c r="A455" s="159"/>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1">
        <f t="shared" si="78"/>
        <v>0</v>
      </c>
    </row>
    <row r="456" spans="1:19">
      <c r="A456" s="159"/>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1">
        <f t="shared" si="78"/>
        <v>0</v>
      </c>
    </row>
    <row r="457" spans="1:19">
      <c r="A457" s="159"/>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1">
        <f t="shared" si="78"/>
        <v>0</v>
      </c>
    </row>
    <row r="458" spans="1:19">
      <c r="A458" s="159"/>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1">
        <f t="shared" si="78"/>
        <v>0</v>
      </c>
    </row>
    <row r="459" spans="1:19">
      <c r="A459" s="159"/>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1">
        <f t="shared" si="78"/>
        <v>0</v>
      </c>
    </row>
    <row r="460" spans="1:19">
      <c r="A460" s="159"/>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1">
        <f t="shared" si="78"/>
        <v>0</v>
      </c>
    </row>
    <row r="461" spans="1:19">
      <c r="A461" s="159"/>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1">
        <f t="shared" si="78"/>
        <v>0</v>
      </c>
    </row>
    <row r="462" spans="1:19">
      <c r="A462" s="159"/>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1">
        <f t="shared" si="78"/>
        <v>0</v>
      </c>
    </row>
    <row r="463" spans="1:19">
      <c r="A463" s="159"/>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1">
        <f t="shared" si="78"/>
        <v>0</v>
      </c>
    </row>
    <row r="464" spans="1:19">
      <c r="A464" s="159"/>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1">
        <f t="shared" si="78"/>
        <v>0</v>
      </c>
    </row>
    <row r="465" spans="1:19">
      <c r="A465" s="159"/>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1">
        <f t="shared" si="78"/>
        <v>0</v>
      </c>
    </row>
    <row r="466" spans="1:19">
      <c r="A466" s="159"/>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1">
        <f t="shared" si="78"/>
        <v>0</v>
      </c>
    </row>
    <row r="467" spans="1:19">
      <c r="A467" s="159"/>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1">
        <f t="shared" si="78"/>
        <v>0</v>
      </c>
    </row>
    <row r="468" spans="1:19">
      <c r="A468" s="159"/>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1">
        <f t="shared" ref="S468:S497" si="79">ROUND(R468*B468/10000,0)</f>
        <v>0</v>
      </c>
    </row>
    <row r="469" spans="1:19">
      <c r="A469" s="159"/>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1">
        <f t="shared" si="79"/>
        <v>0</v>
      </c>
    </row>
    <row r="470" spans="1:19">
      <c r="A470" s="159"/>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1">
        <f t="shared" si="79"/>
        <v>0</v>
      </c>
    </row>
    <row r="471" spans="1:19">
      <c r="A471" s="159"/>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1">
        <f t="shared" si="79"/>
        <v>0</v>
      </c>
    </row>
    <row r="472" spans="1:19">
      <c r="A472" s="159"/>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1">
        <f t="shared" si="79"/>
        <v>0</v>
      </c>
    </row>
    <row r="473" spans="1:19">
      <c r="A473" s="159"/>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1">
        <f t="shared" si="79"/>
        <v>0</v>
      </c>
    </row>
    <row r="474" spans="1:19">
      <c r="A474" s="159"/>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1">
        <f t="shared" si="79"/>
        <v>0</v>
      </c>
    </row>
    <row r="475" spans="1:19">
      <c r="A475" s="159"/>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1">
        <f t="shared" si="79"/>
        <v>0</v>
      </c>
    </row>
    <row r="476" spans="1:19">
      <c r="A476" s="159"/>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1">
        <f t="shared" si="79"/>
        <v>0</v>
      </c>
    </row>
    <row r="477" spans="1:19">
      <c r="A477" s="159"/>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1">
        <f t="shared" si="79"/>
        <v>0</v>
      </c>
    </row>
    <row r="478" spans="1:19">
      <c r="A478" s="159"/>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1">
        <f t="shared" si="79"/>
        <v>0</v>
      </c>
    </row>
    <row r="479" spans="1:19">
      <c r="A479" s="159"/>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1">
        <f t="shared" si="79"/>
        <v>0</v>
      </c>
    </row>
    <row r="480" spans="1:19">
      <c r="A480" s="159"/>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1">
        <f t="shared" si="79"/>
        <v>0</v>
      </c>
    </row>
    <row r="481" spans="1:19">
      <c r="A481" s="159"/>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1">
        <f t="shared" si="79"/>
        <v>0</v>
      </c>
    </row>
    <row r="482" spans="1:19">
      <c r="A482" s="159"/>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1">
        <f t="shared" si="79"/>
        <v>0</v>
      </c>
    </row>
    <row r="483" spans="1:19">
      <c r="A483" s="159"/>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1">
        <f t="shared" si="79"/>
        <v>0</v>
      </c>
    </row>
    <row r="484" spans="1:19">
      <c r="A484" s="159"/>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1">
        <f t="shared" si="79"/>
        <v>0</v>
      </c>
    </row>
    <row r="485" spans="1:19">
      <c r="A485" s="159"/>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1">
        <f t="shared" si="79"/>
        <v>0</v>
      </c>
    </row>
    <row r="486" spans="1:19">
      <c r="A486" s="159"/>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1">
        <f t="shared" si="79"/>
        <v>0</v>
      </c>
    </row>
    <row r="487" spans="1:19">
      <c r="A487" s="159"/>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1">
        <f t="shared" si="79"/>
        <v>0</v>
      </c>
    </row>
    <row r="488" spans="1:19">
      <c r="A488" s="159"/>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1">
        <f t="shared" si="79"/>
        <v>0</v>
      </c>
    </row>
    <row r="489" spans="1:19">
      <c r="A489" s="159"/>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1">
        <f t="shared" si="79"/>
        <v>0</v>
      </c>
    </row>
    <row r="490" spans="1:19">
      <c r="A490" s="159"/>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1">
        <f t="shared" si="79"/>
        <v>0</v>
      </c>
    </row>
    <row r="491" spans="1:19">
      <c r="A491" s="159"/>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1">
        <f t="shared" si="79"/>
        <v>0</v>
      </c>
    </row>
    <row r="492" spans="1:19">
      <c r="A492" s="159"/>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1">
        <f t="shared" si="79"/>
        <v>0</v>
      </c>
    </row>
    <row r="493" spans="1:19">
      <c r="A493" s="159"/>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1">
        <f t="shared" si="79"/>
        <v>0</v>
      </c>
    </row>
    <row r="494" spans="1:19">
      <c r="A494" s="159"/>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1">
        <f t="shared" si="79"/>
        <v>0</v>
      </c>
    </row>
    <row r="495" spans="1:19">
      <c r="A495" s="159"/>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1">
        <f t="shared" si="79"/>
        <v>0</v>
      </c>
    </row>
    <row r="496" spans="1:19">
      <c r="A496" s="159"/>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1">
        <f t="shared" si="79"/>
        <v>0</v>
      </c>
    </row>
    <row r="497" spans="1:19">
      <c r="A497" s="159"/>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1">
        <f t="shared" si="79"/>
        <v>0</v>
      </c>
    </row>
    <row r="498" spans="1:19">
      <c r="A498" s="159"/>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1">
        <f t="shared" ref="S498:S524" si="89">ROUND(R498*B498/10000,0)</f>
        <v>0</v>
      </c>
    </row>
    <row r="499" spans="1:19">
      <c r="A499" s="159"/>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1">
        <f t="shared" si="89"/>
        <v>0</v>
      </c>
    </row>
    <row r="500" spans="1:19">
      <c r="A500" s="159"/>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1">
        <f t="shared" si="89"/>
        <v>0</v>
      </c>
    </row>
    <row r="501" spans="1:19">
      <c r="A501" s="159"/>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1">
        <f t="shared" si="89"/>
        <v>0</v>
      </c>
    </row>
    <row r="502" spans="1:19">
      <c r="A502" s="159"/>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1">
        <f t="shared" si="89"/>
        <v>0</v>
      </c>
    </row>
    <row r="503" spans="1:19">
      <c r="A503" s="159"/>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1">
        <f t="shared" si="89"/>
        <v>0</v>
      </c>
    </row>
    <row r="504" spans="1:19">
      <c r="A504" s="159"/>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1">
        <f t="shared" si="89"/>
        <v>0</v>
      </c>
    </row>
    <row r="505" spans="1:19">
      <c r="A505" s="159"/>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1">
        <f t="shared" si="89"/>
        <v>0</v>
      </c>
    </row>
    <row r="506" spans="1:19">
      <c r="A506" s="159"/>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1">
        <f t="shared" si="89"/>
        <v>0</v>
      </c>
    </row>
    <row r="507" spans="1:19">
      <c r="A507" s="159"/>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1">
        <f t="shared" si="89"/>
        <v>0</v>
      </c>
    </row>
    <row r="508" spans="1:19">
      <c r="A508" s="159"/>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1">
        <f t="shared" si="89"/>
        <v>0</v>
      </c>
    </row>
    <row r="509" spans="1:19">
      <c r="A509" s="159"/>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1">
        <f t="shared" si="89"/>
        <v>0</v>
      </c>
    </row>
    <row r="510" spans="1:19">
      <c r="A510" s="159"/>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1">
        <f t="shared" si="89"/>
        <v>0</v>
      </c>
    </row>
    <row r="511" spans="1:19">
      <c r="A511" s="159"/>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1">
        <f t="shared" si="89"/>
        <v>0</v>
      </c>
    </row>
    <row r="512" spans="1:19">
      <c r="A512" s="159"/>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1">
        <f t="shared" si="89"/>
        <v>0</v>
      </c>
    </row>
    <row r="513" spans="1:19">
      <c r="A513" s="159"/>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1">
        <f t="shared" si="89"/>
        <v>0</v>
      </c>
    </row>
    <row r="514" spans="1:19">
      <c r="A514" s="159"/>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1">
        <f t="shared" si="89"/>
        <v>0</v>
      </c>
    </row>
    <row r="515" spans="1:19">
      <c r="A515" s="159"/>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1">
        <f t="shared" si="89"/>
        <v>0</v>
      </c>
    </row>
    <row r="516" spans="1:19">
      <c r="A516" s="159"/>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1">
        <f t="shared" si="89"/>
        <v>0</v>
      </c>
    </row>
    <row r="517" spans="1:19">
      <c r="A517" s="159"/>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1">
        <f t="shared" si="89"/>
        <v>0</v>
      </c>
    </row>
    <row r="518" spans="1:19">
      <c r="A518" s="159"/>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1">
        <f t="shared" si="89"/>
        <v>0</v>
      </c>
    </row>
    <row r="519" spans="1:19">
      <c r="A519" s="159"/>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1">
        <f t="shared" si="89"/>
        <v>0</v>
      </c>
    </row>
    <row r="520" spans="1:19">
      <c r="A520" s="159"/>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1">
        <f t="shared" si="89"/>
        <v>0</v>
      </c>
    </row>
    <row r="521" spans="1:19">
      <c r="A521" s="159"/>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1">
        <f t="shared" si="89"/>
        <v>0</v>
      </c>
    </row>
    <row r="522" spans="1:19">
      <c r="A522" s="159"/>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1">
        <f t="shared" si="89"/>
        <v>0</v>
      </c>
    </row>
    <row r="523" spans="1:19">
      <c r="A523" s="159"/>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1">
        <f t="shared" si="89"/>
        <v>0</v>
      </c>
    </row>
    <row r="524" spans="1:19">
      <c r="A524" s="159"/>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22889</v>
      </c>
      <c r="C2" s="2" t="s">
        <v>133</v>
      </c>
      <c r="D2" s="243"/>
      <c r="E2" s="243"/>
      <c r="F2" s="243"/>
      <c r="G2" s="243"/>
    </row>
    <row r="3" spans="1:7" s="244" customFormat="1" ht="18" customHeight="1" thickBot="1">
      <c r="A3" s="247" t="s">
        <v>85</v>
      </c>
      <c r="B3" s="248">
        <f ca="1">ROUND(B2*10000/'数据-汇总表'!E3,0)</f>
        <v>7163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508</v>
      </c>
      <c r="D9" s="1030">
        <f>'数据-汇总表'!E5</f>
        <v>31749.659999999996</v>
      </c>
      <c r="E9" s="269">
        <f>'数据-取费表'!B27</f>
        <v>160</v>
      </c>
      <c r="F9" s="265"/>
      <c r="G9" s="270"/>
    </row>
    <row r="10" spans="1:7" s="258" customFormat="1" ht="13.5" customHeight="1">
      <c r="A10" s="948" t="s">
        <v>801</v>
      </c>
      <c r="B10" s="268" t="s">
        <v>94</v>
      </c>
      <c r="C10" s="269">
        <f>ROUND(D10*E10/10000,0)</f>
        <v>4</v>
      </c>
      <c r="D10" s="1030">
        <f>'数据-汇总表'!E6</f>
        <v>203</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639</v>
      </c>
      <c r="D19" s="1034">
        <f>'数据-汇总表'!E3</f>
        <v>31952.659999999996</v>
      </c>
      <c r="E19" s="255">
        <f>'数据-取费表'!B31</f>
        <v>200</v>
      </c>
      <c r="F19" s="275"/>
      <c r="G19" s="1" t="s">
        <v>1074</v>
      </c>
    </row>
    <row r="20" spans="1:7" s="258" customFormat="1" ht="13.5" customHeight="1">
      <c r="A20" s="946" t="s">
        <v>1057</v>
      </c>
      <c r="B20" s="254" t="s">
        <v>104</v>
      </c>
      <c r="C20" s="276">
        <f>ROUND((C5+C19)*F20,0)</f>
        <v>212</v>
      </c>
      <c r="D20" s="276"/>
      <c r="E20" s="276"/>
      <c r="F20" s="277">
        <f>'数据-取费表'!B37</f>
        <v>0.01</v>
      </c>
      <c r="G20" s="1287" t="s">
        <v>1068</v>
      </c>
    </row>
    <row r="21" spans="1:7" s="258" customFormat="1" ht="13.5" customHeight="1">
      <c r="A21" s="946" t="s">
        <v>1059</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0</v>
      </c>
      <c r="D22" s="279">
        <f ca="1">C26</f>
        <v>0</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0</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1058</v>
      </c>
      <c r="C25" s="1353">
        <f ca="1">ROUND(IF('数据-取费表'!B22&lt;=1,C20*F22*'数据-取费表'!B23/2,C20*(POWER((1+F22),'数据-取费表'!B23/2)-1)),0)</f>
        <v>0</v>
      </c>
      <c r="D25" s="282"/>
      <c r="E25" s="285"/>
      <c r="F25" s="283"/>
      <c r="G25" s="286" t="s">
        <v>110</v>
      </c>
    </row>
    <row r="26" spans="1:7" s="258" customFormat="1">
      <c r="A26" s="949" t="s">
        <v>795</v>
      </c>
      <c r="B26" s="259" t="s">
        <v>1060</v>
      </c>
      <c r="C26" s="282">
        <f ca="1">ROUND(IF('数据-取费表'!B22&lt;=1,F21*F22*'数据-取费表'!B23/2,F21*(POWER((1+F22),'数据-取费表'!B23/2)-1)),4)</f>
        <v>0</v>
      </c>
      <c r="D26" s="282"/>
      <c r="E26" s="285"/>
      <c r="F26" s="283"/>
      <c r="G26" s="287"/>
    </row>
    <row r="27" spans="1:7" s="258" customFormat="1" ht="24.75">
      <c r="A27" s="946" t="s">
        <v>787</v>
      </c>
      <c r="B27" s="288" t="s">
        <v>112</v>
      </c>
      <c r="C27" s="289">
        <f>C28</f>
        <v>0</v>
      </c>
      <c r="D27" s="279">
        <f>C29</f>
        <v>0</v>
      </c>
      <c r="E27" s="280" t="s">
        <v>126</v>
      </c>
      <c r="F27" s="290">
        <f>'数据-取费表'!Q16</f>
        <v>0.15</v>
      </c>
      <c r="G27" s="291" t="s">
        <v>1069</v>
      </c>
    </row>
    <row r="28" spans="1:7" s="258" customFormat="1" ht="13.5" customHeight="1">
      <c r="A28" s="949" t="s">
        <v>794</v>
      </c>
      <c r="B28" s="292" t="s">
        <v>1062</v>
      </c>
      <c r="C28" s="293">
        <f>ROUND((C5+C19+C20)*F27*'数据-取费表'!B21/'数据-取费表'!B20,0)</f>
        <v>0</v>
      </c>
      <c r="D28" s="279"/>
      <c r="E28" s="280"/>
      <c r="F28" s="290"/>
      <c r="G28" s="291"/>
    </row>
    <row r="29" spans="1:7" s="258" customFormat="1" ht="13.5" customHeight="1">
      <c r="A29" s="949" t="s">
        <v>792</v>
      </c>
      <c r="B29" s="292" t="s">
        <v>1063</v>
      </c>
      <c r="C29" s="282">
        <f>ROUND(C21*F27*'数据-取费表'!B21/'数据-取费表'!B20,4)</f>
        <v>0</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22889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49" t="s">
        <v>796</v>
      </c>
      <c r="B35" s="259" t="s">
        <v>60</v>
      </c>
      <c r="C35" s="264">
        <f>ROUND(C34*F35,0)</f>
        <v>0</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49" t="s">
        <v>798</v>
      </c>
      <c r="B37" s="259" t="s">
        <v>118</v>
      </c>
      <c r="C37" s="293">
        <f>ROUND(E37*D37*F34/10000,0)</f>
        <v>0</v>
      </c>
      <c r="D37" s="261">
        <f>'数据-汇总表'!E3</f>
        <v>31952.659999999996</v>
      </c>
      <c r="E37" s="293">
        <f>'数据-取费表'!B35</f>
        <v>200</v>
      </c>
      <c r="F37" s="303"/>
      <c r="G37" s="305" t="s">
        <v>119</v>
      </c>
    </row>
    <row r="38" spans="1:7" ht="13.5" customHeight="1">
      <c r="A38" s="949" t="s">
        <v>799</v>
      </c>
      <c r="B38" s="259" t="s">
        <v>63</v>
      </c>
      <c r="C38" s="264">
        <f>ROUND(C34*F38,0)</f>
        <v>0</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1071</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0</v>
      </c>
      <c r="D41" s="279">
        <f ca="1">C44</f>
        <v>0</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0</v>
      </c>
      <c r="D42" s="282"/>
      <c r="E42" s="282"/>
      <c r="F42" s="283"/>
      <c r="G42" s="3240" t="s">
        <v>121</v>
      </c>
    </row>
    <row r="43" spans="1:7" ht="13.5" customHeight="1">
      <c r="A43" s="949" t="s">
        <v>792</v>
      </c>
      <c r="B43" s="259" t="s">
        <v>1064</v>
      </c>
      <c r="C43" s="282">
        <f ca="1">ROUND(IF('数据-取费表'!B22&lt;=1,C39*F22*'数据-取费表'!B21/2,C39*(POWER((1+F22),'数据-取费表'!B21/2)-1)),0)</f>
        <v>0</v>
      </c>
      <c r="D43" s="282"/>
      <c r="E43" s="282"/>
      <c r="F43" s="283"/>
      <c r="G43" s="3241"/>
    </row>
    <row r="44" spans="1:7" ht="13.5" customHeight="1">
      <c r="A44" s="949" t="s">
        <v>793</v>
      </c>
      <c r="B44" s="259" t="s">
        <v>1066</v>
      </c>
      <c r="C44" s="282">
        <f ca="1">ROUND(IF('数据-取费表'!B22&lt;=1,C40*F22*'数据-取费表'!B21/2,C40*(POWER((1+F22),'数据-取费表'!B21/2)-1)),4)</f>
        <v>0</v>
      </c>
      <c r="D44" s="282"/>
      <c r="E44" s="282"/>
      <c r="F44" s="283"/>
      <c r="G44" s="3242"/>
    </row>
    <row r="45" spans="1:7" s="258" customFormat="1" ht="13.5" customHeight="1">
      <c r="A45" s="946" t="s">
        <v>786</v>
      </c>
      <c r="B45" s="288" t="s">
        <v>112</v>
      </c>
      <c r="C45" s="289">
        <f>C46</f>
        <v>0</v>
      </c>
      <c r="D45" s="279">
        <f>C47</f>
        <v>1.5E-3</v>
      </c>
      <c r="E45" s="280" t="s">
        <v>129</v>
      </c>
      <c r="F45" s="290"/>
      <c r="G45" s="291" t="s">
        <v>1072</v>
      </c>
    </row>
    <row r="46" spans="1:7" s="258" customFormat="1" ht="13.5" customHeight="1">
      <c r="A46" s="949" t="s">
        <v>794</v>
      </c>
      <c r="B46" s="292" t="s">
        <v>1065</v>
      </c>
      <c r="C46" s="293">
        <f>ROUND((C33+C39)*F27,0)</f>
        <v>0</v>
      </c>
      <c r="D46" s="307"/>
      <c r="E46" s="280"/>
      <c r="F46" s="290"/>
      <c r="G46" s="291"/>
    </row>
    <row r="47" spans="1:7" s="258" customFormat="1" ht="13.5" customHeight="1">
      <c r="A47" s="949" t="s">
        <v>792</v>
      </c>
      <c r="B47" s="292" t="s">
        <v>1067</v>
      </c>
      <c r="C47" s="282">
        <f>ROUND(C40*F27,4)</f>
        <v>1.5E-3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0</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0</v>
      </c>
      <c r="D51" s="276"/>
      <c r="E51" s="276"/>
      <c r="F51" s="308"/>
      <c r="G51" s="278" t="s">
        <v>64</v>
      </c>
    </row>
    <row r="52" spans="1:7" s="252" customFormat="1" ht="16.5" thickBot="1">
      <c r="A52" s="309" t="s">
        <v>65</v>
      </c>
      <c r="B52" s="310"/>
      <c r="C52" s="311">
        <f ca="1">C31+C51</f>
        <v>22889</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v>
      </c>
      <c r="B3" s="3016"/>
      <c r="C3" s="3016"/>
      <c r="D3" s="3016"/>
      <c r="E3" s="3016"/>
    </row>
    <row r="4" spans="1:5" ht="19.5" thickBot="1">
      <c r="A4" s="1959"/>
      <c r="B4" s="3014" t="s">
        <v>1631</v>
      </c>
      <c r="C4" s="3014"/>
      <c r="D4" s="3014"/>
      <c r="E4" s="1959"/>
    </row>
    <row r="5" spans="1:5" ht="16.5" thickTop="1">
      <c r="A5" s="1957"/>
      <c r="B5" s="3012" t="s">
        <v>1623</v>
      </c>
      <c r="C5" s="1960" t="s">
        <v>1624</v>
      </c>
      <c r="D5" s="1038">
        <f ca="1">结果表!H101</f>
        <v>137232</v>
      </c>
      <c r="E5" s="1957"/>
    </row>
    <row r="6" spans="1:5" ht="15.75">
      <c r="A6" s="1957"/>
      <c r="B6" s="3012"/>
      <c r="C6" s="1960" t="s">
        <v>1625</v>
      </c>
      <c r="D6" s="1038" t="str">
        <f ca="1">NUMBERSTRING(INT(D5*10000),2)&amp;"元整"</f>
        <v>壹拾叁亿柒仟贰佰叁拾贰万元整</v>
      </c>
      <c r="E6" s="1957"/>
    </row>
    <row r="7" spans="1:5" ht="15.75">
      <c r="A7" s="1957"/>
      <c r="B7" s="3017"/>
      <c r="C7" s="1961" t="s">
        <v>1626</v>
      </c>
      <c r="D7" s="1039">
        <f ca="1">结果表!H102</f>
        <v>42949</v>
      </c>
      <c r="E7" s="1957"/>
    </row>
    <row r="8" spans="1:5" ht="15.75">
      <c r="A8" s="1957"/>
      <c r="B8" s="3018" t="str">
        <f>结果表!E103</f>
        <v>2.估价师知悉的法定优先受偿款</v>
      </c>
      <c r="C8" s="1962" t="s">
        <v>1627</v>
      </c>
      <c r="D8" s="1039">
        <f>结果表!H103</f>
        <v>0</v>
      </c>
      <c r="E8" s="1957"/>
    </row>
    <row r="9" spans="1:5" ht="15.75">
      <c r="A9" s="1957"/>
      <c r="B9" s="3020"/>
      <c r="C9" s="1960" t="s">
        <v>1625</v>
      </c>
      <c r="D9" s="1038" t="str">
        <f>NUMBERSTRING(INT(D8*10000),2)&amp;"元整"</f>
        <v>零元整</v>
      </c>
      <c r="E9" s="1957"/>
    </row>
    <row r="10" spans="1:5" ht="15">
      <c r="A10" s="1957"/>
      <c r="B10" s="1963" t="s">
        <v>1630</v>
      </c>
      <c r="C10" s="1964" t="s">
        <v>1628</v>
      </c>
      <c r="D10" s="1040">
        <f>结果表!H104</f>
        <v>0</v>
      </c>
      <c r="E10" s="1957"/>
    </row>
    <row r="11" spans="1:5" ht="15">
      <c r="A11" s="1957"/>
      <c r="B11" s="1963" t="s">
        <v>1632</v>
      </c>
      <c r="C11" s="1964" t="s">
        <v>1633</v>
      </c>
      <c r="D11" s="1040">
        <f>结果表!H105</f>
        <v>0</v>
      </c>
      <c r="E11" s="1957"/>
    </row>
    <row r="12" spans="1:5" ht="15">
      <c r="A12" s="1957"/>
      <c r="B12" s="1963" t="s">
        <v>1634</v>
      </c>
      <c r="C12" s="1964" t="s">
        <v>1633</v>
      </c>
      <c r="D12" s="1040">
        <f>结果表!H106</f>
        <v>0</v>
      </c>
      <c r="E12" s="1957"/>
    </row>
    <row r="13" spans="1:5" ht="15.75">
      <c r="A13" s="1957"/>
      <c r="B13" s="3011" t="str">
        <f>结果表!E107</f>
        <v>——</v>
      </c>
      <c r="C13" s="1965" t="s">
        <v>1624</v>
      </c>
      <c r="D13" s="1041" t="str">
        <f>结果表!H107</f>
        <v>——</v>
      </c>
      <c r="E13" s="1957"/>
    </row>
    <row r="14" spans="1:5" ht="15.75">
      <c r="A14" s="1957"/>
      <c r="B14" s="3012"/>
      <c r="C14" s="1960" t="s">
        <v>1625</v>
      </c>
      <c r="D14" s="1038" t="e">
        <f>NUMBERSTRING(INT(D13*10000),2)&amp;"元整"</f>
        <v>#VALUE!</v>
      </c>
      <c r="E14" s="1957"/>
    </row>
    <row r="15" spans="1:5" ht="15">
      <c r="A15" s="1957"/>
      <c r="B15" s="3017"/>
      <c r="C15" s="1961" t="s">
        <v>1635</v>
      </c>
      <c r="D15" s="1050" t="e">
        <f>结果表!H108</f>
        <v>#VALUE!</v>
      </c>
      <c r="E15" s="1957"/>
    </row>
    <row r="16" spans="1:5" ht="15">
      <c r="A16" s="1957"/>
      <c r="B16" s="3018" t="str">
        <f>结果表!E109</f>
        <v>3.抵押担保权已注销时的房地产抵押价值</v>
      </c>
      <c r="C16" s="1965" t="s">
        <v>1636</v>
      </c>
      <c r="D16" s="1966">
        <f ca="1">结果表!H109</f>
        <v>137232</v>
      </c>
      <c r="E16" s="1957"/>
    </row>
    <row r="17" spans="1:5" ht="15.75">
      <c r="A17" s="1957"/>
      <c r="B17" s="3019"/>
      <c r="C17" s="1960" t="s">
        <v>1637</v>
      </c>
      <c r="D17" s="1038" t="str">
        <f ca="1">NUMBERSTRING(INT(D16*10000),2)&amp;"元整"</f>
        <v>壹拾叁亿柒仟贰佰叁拾贰万元整</v>
      </c>
      <c r="E17" s="1957"/>
    </row>
    <row r="18" spans="1:5" ht="15">
      <c r="A18" s="1957"/>
      <c r="B18" s="3020"/>
      <c r="C18" s="1961" t="s">
        <v>1626</v>
      </c>
      <c r="D18" s="1050">
        <f ca="1">结果表!H110</f>
        <v>42949</v>
      </c>
      <c r="E18" s="1957"/>
    </row>
    <row r="19" spans="1:5" ht="15.75">
      <c r="A19" s="1957"/>
      <c r="B19" s="3011" t="str">
        <f>结果表!E111</f>
        <v>——</v>
      </c>
      <c r="C19" s="1965" t="s">
        <v>1624</v>
      </c>
      <c r="D19" s="1039" t="str">
        <f>结果表!H111</f>
        <v>——</v>
      </c>
      <c r="E19" s="1957"/>
    </row>
    <row r="20" spans="1:5" ht="15.75">
      <c r="A20" s="1957"/>
      <c r="B20" s="3012"/>
      <c r="C20" s="1960" t="s">
        <v>1637</v>
      </c>
      <c r="D20" s="1038" t="e">
        <f>NUMBERSTRING(INT(D19*10000),2)&amp;"元整"</f>
        <v>#VALUE!</v>
      </c>
      <c r="E20" s="1957"/>
    </row>
    <row r="21" spans="1:5" ht="15.75" thickBot="1">
      <c r="A21" s="1957"/>
      <c r="B21" s="3013"/>
      <c r="C21" s="1967" t="s">
        <v>1635</v>
      </c>
      <c r="D21" s="1051"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35" t="s">
        <v>156</v>
      </c>
      <c r="B1" s="3335"/>
      <c r="C1" s="3335"/>
      <c r="D1" s="3335"/>
      <c r="E1" s="3335"/>
      <c r="F1" s="3335"/>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36" t="s">
        <v>169</v>
      </c>
      <c r="B2" s="3336"/>
      <c r="C2" s="3336"/>
      <c r="D2" s="3336"/>
      <c r="E2" s="3336"/>
      <c r="F2" s="3336"/>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37"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8"/>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35" t="s">
        <v>871</v>
      </c>
      <c r="B1" s="3335"/>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43165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3226</v>
      </c>
      <c r="D1" s="1818" t="s">
        <v>3230</v>
      </c>
      <c r="E1" s="1819" t="s">
        <v>1387</v>
      </c>
      <c r="F1" s="1281"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t="e">
        <f ca="1">C40+J29+L46</f>
        <v>#N/A</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t="e">
        <f ca="1">C6+C10+C12</f>
        <v>#N/A</v>
      </c>
      <c r="D5" s="1820" t="s">
        <v>1402</v>
      </c>
      <c r="E5" s="1291"/>
      <c r="F5" s="1292"/>
      <c r="G5" s="1849"/>
      <c r="H5" s="344">
        <v>1</v>
      </c>
      <c r="I5" s="345" t="s">
        <v>1401</v>
      </c>
      <c r="J5" s="1290" t="e">
        <f ca="1">J6+J10+J12</f>
        <v>#N/A</v>
      </c>
      <c r="K5" s="1820" t="s">
        <v>1402</v>
      </c>
      <c r="L5" s="1291"/>
      <c r="M5" s="1292"/>
    </row>
    <row r="6" spans="1:37" ht="18" customHeight="1">
      <c r="A6" s="1289" t="s">
        <v>1035</v>
      </c>
      <c r="B6" s="3243" t="s">
        <v>1403</v>
      </c>
      <c r="C6" s="1294" t="e">
        <f ca="1">ROUND(F6*F8*F7*(1-F9)/10000,0)</f>
        <v>#N/A</v>
      </c>
      <c r="D6" s="164" t="s">
        <v>3022</v>
      </c>
      <c r="E6" s="347" t="s">
        <v>1405</v>
      </c>
      <c r="F6" s="348" t="e">
        <f ca="1">INDIRECT("'数据-取费表'!u"&amp;$G$1)</f>
        <v>#N/A</v>
      </c>
      <c r="G6" s="1849"/>
      <c r="H6" s="1289" t="s">
        <v>1035</v>
      </c>
      <c r="I6" s="3243" t="s">
        <v>1403</v>
      </c>
      <c r="J6" s="346" t="e">
        <f ca="1">ROUND(M6*M8*M7*(1-M9)/10000,0)</f>
        <v>#N/A</v>
      </c>
      <c r="K6" s="164" t="s">
        <v>3021</v>
      </c>
      <c r="L6" s="347" t="s">
        <v>1405</v>
      </c>
      <c r="M6" s="348" t="e">
        <f ca="1">INDIRECT("'数据-取费表'!z"&amp;$G$1)</f>
        <v>#N/A</v>
      </c>
    </row>
    <row r="7" spans="1:37" ht="18" customHeight="1">
      <c r="A7" s="1293"/>
      <c r="B7" s="3244"/>
      <c r="C7" s="1295"/>
      <c r="D7" s="352"/>
      <c r="E7" s="1296" t="s">
        <v>1406</v>
      </c>
      <c r="F7" s="348" t="e">
        <f ca="1">IF(INDIRECT("'数据-取费表'!ah"&amp;$G$1)="",INDIRECT("'数据-取费表'!k"&amp;$G$1),INDIRECT("'数据-取费表'!ah"&amp;$G$1))</f>
        <v>#N/A</v>
      </c>
      <c r="G7" s="1849"/>
      <c r="H7" s="349"/>
      <c r="I7" s="3244"/>
      <c r="J7" s="351"/>
      <c r="K7" s="352"/>
      <c r="L7" s="347" t="s">
        <v>1406</v>
      </c>
      <c r="M7" s="348" t="e">
        <f ca="1">F7</f>
        <v>#N/A</v>
      </c>
    </row>
    <row r="8" spans="1:37" ht="18" customHeight="1">
      <c r="A8" s="349"/>
      <c r="B8" s="3244"/>
      <c r="C8" s="351"/>
      <c r="D8" s="352"/>
      <c r="E8" s="347" t="s">
        <v>1407</v>
      </c>
      <c r="F8" s="348" t="e">
        <f ca="1">INDIRECT("'数据-取费表'!ai"&amp;$G$1)</f>
        <v>#N/A</v>
      </c>
      <c r="G8" s="1849"/>
      <c r="H8" s="349"/>
      <c r="I8" s="3244"/>
      <c r="J8" s="351"/>
      <c r="K8" s="352"/>
      <c r="L8" s="347" t="s">
        <v>1407</v>
      </c>
      <c r="M8" s="348" t="e">
        <f ca="1">INDIRECT("'数据-取费表'!ai"&amp;$G$1)</f>
        <v>#N/A</v>
      </c>
    </row>
    <row r="9" spans="1:37" ht="18" customHeight="1">
      <c r="A9" s="349"/>
      <c r="B9" s="3245"/>
      <c r="C9" s="351"/>
      <c r="D9" s="352"/>
      <c r="E9" s="347" t="s">
        <v>1408</v>
      </c>
      <c r="F9" s="357" t="e">
        <f ca="1">INDIRECT("'数据-取费表'!w"&amp;$G$1)</f>
        <v>#N/A</v>
      </c>
      <c r="G9" s="1849"/>
      <c r="H9" s="349"/>
      <c r="I9" s="3245"/>
      <c r="J9" s="351"/>
      <c r="K9" s="352"/>
      <c r="L9" s="358" t="s">
        <v>1408</v>
      </c>
      <c r="M9" s="359" t="e">
        <f ca="1">INDIRECT("'数据-取费表'!ab"&amp;$G$1)</f>
        <v>#N/A</v>
      </c>
    </row>
    <row r="10" spans="1:37" ht="18" customHeight="1">
      <c r="A10" s="1289" t="s">
        <v>1039</v>
      </c>
      <c r="B10" s="1821" t="s">
        <v>1409</v>
      </c>
      <c r="C10" s="361">
        <f ca="1">ROUND(IF(F10="押一",F6*F8*F7/12*F11,IF(F10="押二",F6*F8*F7/12*2*F11,IF(F10="押三",F6*F8*F7/12*3*F11,C11*F11)))/10000,0)</f>
        <v>0</v>
      </c>
      <c r="D10" s="1822" t="s">
        <v>3023</v>
      </c>
      <c r="E10" s="358" t="s">
        <v>1411</v>
      </c>
      <c r="F10" s="1364" t="s">
        <v>3231</v>
      </c>
      <c r="G10" s="1849"/>
      <c r="H10" s="1289" t="s">
        <v>1039</v>
      </c>
      <c r="I10" s="1821" t="s">
        <v>1409</v>
      </c>
      <c r="J10" s="346" t="e">
        <f ca="1">ROUND(IF(M10="押一",M6*M8*M7/12*M11,IF(M10="押二",M6*M8*M7/12*2*M11,IF(M10="押三",M6*M8*M7/12*3*M11,J11*M11)))/10000,0)</f>
        <v>#N/A</v>
      </c>
      <c r="K10" s="1822" t="s">
        <v>3024</v>
      </c>
      <c r="L10" s="358" t="s">
        <v>1411</v>
      </c>
      <c r="M10" s="1364" t="s">
        <v>1412</v>
      </c>
    </row>
    <row r="11" spans="1:37" ht="18" customHeight="1">
      <c r="A11" s="353"/>
      <c r="B11" s="1823" t="s">
        <v>1388</v>
      </c>
      <c r="C11" s="1176"/>
      <c r="D11" s="1824"/>
      <c r="E11" s="358" t="s">
        <v>1413</v>
      </c>
      <c r="F11" s="359">
        <f ca="1">'数据-取费表'!B39</f>
        <v>1.4999999999999999E-2</v>
      </c>
      <c r="G11" s="1849"/>
      <c r="H11" s="1297"/>
      <c r="I11" s="1823" t="s">
        <v>1388</v>
      </c>
      <c r="J11" s="1176"/>
      <c r="K11" s="747"/>
      <c r="L11" s="358"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5" t="e">
        <f ca="1">ROUND(C29*F13,0)</f>
        <v>#N/A</v>
      </c>
      <c r="D13" s="1329" t="s">
        <v>1416</v>
      </c>
      <c r="E13" s="1329" t="s">
        <v>1417</v>
      </c>
      <c r="F13" s="1330" t="e">
        <f ca="1">INDIRECT("'数据-取费表'!y"&amp;$G$1)</f>
        <v>#N/A</v>
      </c>
      <c r="G13" s="1849"/>
      <c r="H13" s="1327">
        <v>2</v>
      </c>
      <c r="I13" s="1328" t="s">
        <v>1415</v>
      </c>
      <c r="J13" s="1288" t="e">
        <f ca="1">ROUND(J14*J15,0)</f>
        <v>#N/A</v>
      </c>
      <c r="K13" s="1335" t="s">
        <v>1416</v>
      </c>
      <c r="L13" s="1850"/>
      <c r="M13" s="1851"/>
    </row>
    <row r="14" spans="1:37" ht="18" customHeight="1">
      <c r="A14" s="1199" t="s">
        <v>1034</v>
      </c>
      <c r="B14" s="347" t="s">
        <v>1418</v>
      </c>
      <c r="C14" s="363" t="e">
        <f ca="1">INDIRECT("'数据-取费表'!m"&amp;$G$1)+INDIRECT("'数据-取费表'!t"&amp;$G$1)</f>
        <v>#N/A</v>
      </c>
      <c r="D14" s="1798" t="s">
        <v>1419</v>
      </c>
      <c r="E14" s="1792"/>
      <c r="F14" s="364"/>
      <c r="G14" s="1849"/>
      <c r="H14" s="1199" t="s">
        <v>1035</v>
      </c>
      <c r="I14" s="347" t="s">
        <v>1420</v>
      </c>
      <c r="J14" s="24" t="e">
        <f ca="1">C29</f>
        <v>#N/A</v>
      </c>
      <c r="K14" s="15"/>
      <c r="L14" s="977"/>
      <c r="M14" s="978"/>
    </row>
    <row r="15" spans="1:37" s="1856" customFormat="1" ht="18" customHeight="1" thickBot="1">
      <c r="A15" s="1199" t="s">
        <v>1036</v>
      </c>
      <c r="B15" s="347" t="s">
        <v>1421</v>
      </c>
      <c r="C15" s="24" t="e">
        <f ca="1">ROUND(C14*F15,0)</f>
        <v>#N/A</v>
      </c>
      <c r="D15" s="365" t="s">
        <v>1422</v>
      </c>
      <c r="E15" s="365" t="s">
        <v>1423</v>
      </c>
      <c r="F15" s="366">
        <f>'数据-取费表'!B33</f>
        <v>0.03</v>
      </c>
      <c r="G15" s="1852"/>
      <c r="H15" s="1337" t="s">
        <v>1039</v>
      </c>
      <c r="I15" s="1338" t="s">
        <v>1417</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1424</v>
      </c>
      <c r="C16" s="24" t="e">
        <f ca="1">ROUND(INDIRECT("'数据-取费表'!m"&amp;$G$1)*F16,0)</f>
        <v>#N/A</v>
      </c>
      <c r="D16" s="347" t="s">
        <v>1422</v>
      </c>
      <c r="E16" s="347" t="s">
        <v>1423</v>
      </c>
      <c r="F16" s="367" t="e">
        <f ca="1">IF(INDIRECT("'数据-取费表'!c"&amp;$G$1)="住宅",'数据-取费表'!B34,0)</f>
        <v>#N/A</v>
      </c>
      <c r="G16" s="1849"/>
      <c r="H16" s="1327" t="s">
        <v>1030</v>
      </c>
      <c r="I16" s="1328" t="s">
        <v>1425</v>
      </c>
      <c r="J16" s="355" t="e">
        <f ca="1">ROUND(J17+J22+J23+J24,0)</f>
        <v>#N/A</v>
      </c>
      <c r="K16" s="1335" t="s">
        <v>1426</v>
      </c>
      <c r="L16" s="1336"/>
      <c r="M16" s="1292"/>
    </row>
    <row r="17" spans="1:37" s="1856" customFormat="1" ht="18" customHeight="1">
      <c r="A17" s="1199" t="s">
        <v>1390</v>
      </c>
      <c r="B17" s="347" t="s">
        <v>1427</v>
      </c>
      <c r="C17" s="24" t="e">
        <f ca="1">ROUND(F17*(F43+INDIRECT("'数据-取费表'!S"&amp;$G$1))/10000,0)</f>
        <v>#N/A</v>
      </c>
      <c r="D17" s="347" t="s">
        <v>1428</v>
      </c>
      <c r="E17" s="347" t="s">
        <v>1429</v>
      </c>
      <c r="F17" s="26">
        <f>'数据-取费表'!B35</f>
        <v>200</v>
      </c>
      <c r="G17" s="1852"/>
      <c r="H17" s="1199" t="s">
        <v>1035</v>
      </c>
      <c r="I17" s="347" t="s">
        <v>1430</v>
      </c>
      <c r="J17" s="24" t="e">
        <f ca="1">ROUND(IF(项目基本情况!B11="自然人",J5*M17,J18+J19+J20),1)</f>
        <v>#N/A</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1433</v>
      </c>
      <c r="C18" s="24" t="e">
        <f ca="1">ROUND(C14*F18,0)</f>
        <v>#N/A</v>
      </c>
      <c r="D18" s="347" t="s">
        <v>1422</v>
      </c>
      <c r="E18" s="347" t="s">
        <v>1423</v>
      </c>
      <c r="F18" s="367">
        <f>'数据-取费表'!B36</f>
        <v>1.4999999999999999E-2</v>
      </c>
      <c r="G18" s="1852"/>
      <c r="H18" s="1199" t="s">
        <v>1034</v>
      </c>
      <c r="I18" s="347" t="s">
        <v>1434</v>
      </c>
      <c r="J18" s="24" t="e">
        <f ca="1">ROUND(J5*M18/(1+'数据-取费表'!C42),2)</f>
        <v>#N/A</v>
      </c>
      <c r="K18" s="1796" t="s">
        <v>1435</v>
      </c>
      <c r="L18" s="347" t="s">
        <v>1423</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1436</v>
      </c>
      <c r="C19" s="24" t="e">
        <f ca="1">SUM(C14:C18)</f>
        <v>#N/A</v>
      </c>
      <c r="D19" s="140" t="s">
        <v>1437</v>
      </c>
      <c r="E19" s="1816"/>
      <c r="F19" s="26"/>
      <c r="G19" s="1849"/>
      <c r="H19" s="1199" t="s">
        <v>1036</v>
      </c>
      <c r="I19" s="347" t="s">
        <v>1438</v>
      </c>
      <c r="J19" s="24" t="e">
        <f ca="1">IF(K19="按租金收入计税",ROUND(J5*M19,2),ROUND(C29*M19*0.7,2))</f>
        <v>#N/A</v>
      </c>
      <c r="K19" s="1826" t="s">
        <v>1439</v>
      </c>
      <c r="L19" s="347" t="s">
        <v>1423</v>
      </c>
      <c r="M19" s="367">
        <f>IF(K19="按租金收入计税",'数据-取费表'!B51,'数据-取费表'!B50)</f>
        <v>1.2E-2</v>
      </c>
    </row>
    <row r="20" spans="1:37" s="1856" customFormat="1" ht="18" customHeight="1">
      <c r="A20" s="1199" t="s">
        <v>1039</v>
      </c>
      <c r="B20" s="347" t="s">
        <v>1440</v>
      </c>
      <c r="C20" s="24" t="e">
        <f ca="1">ROUND(C19*F20,0)</f>
        <v>#N/A</v>
      </c>
      <c r="D20" s="369" t="s">
        <v>1441</v>
      </c>
      <c r="E20" s="347" t="s">
        <v>1423</v>
      </c>
      <c r="F20" s="367">
        <f>'数据-取费表'!B37</f>
        <v>0.01</v>
      </c>
      <c r="G20" s="1852"/>
      <c r="H20" s="1199" t="s">
        <v>1389</v>
      </c>
      <c r="I20" s="164" t="s">
        <v>1442</v>
      </c>
      <c r="J20" s="25" t="e">
        <f ca="1">ROUND(M20*M21/10000,2)</f>
        <v>#N/A</v>
      </c>
      <c r="K20" s="370" t="s">
        <v>1443</v>
      </c>
      <c r="L20" s="347" t="s">
        <v>1444</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1445</v>
      </c>
      <c r="C21" s="24" t="s">
        <v>18</v>
      </c>
      <c r="D21" s="369" t="s">
        <v>1446</v>
      </c>
      <c r="E21" s="347" t="s">
        <v>1447</v>
      </c>
      <c r="F21" s="367">
        <f>'数据-取费表'!B38</f>
        <v>0.01</v>
      </c>
      <c r="G21" s="1852"/>
      <c r="H21" s="372"/>
      <c r="I21" s="356"/>
      <c r="J21" s="29"/>
      <c r="K21" s="373"/>
      <c r="L21" s="347" t="s">
        <v>1448</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1449</v>
      </c>
      <c r="C22" s="24"/>
      <c r="D22" s="140" t="str">
        <f>IF(F23&lt;=1,"单利计息。","复利计息。")&amp;"建造成本、管理费用、销售费用产生的利息。"</f>
        <v>复利计息。建造成本、管理费用、销售费用产生的利息。</v>
      </c>
      <c r="E22" s="1816"/>
      <c r="F22" s="26"/>
      <c r="G22" s="1849"/>
      <c r="H22" s="1199" t="s">
        <v>1039</v>
      </c>
      <c r="I22" s="347" t="s">
        <v>1450</v>
      </c>
      <c r="J22" s="24" t="e">
        <f ca="1">ROUND(J14*M22,1)</f>
        <v>#N/A</v>
      </c>
      <c r="K22" s="1796" t="s">
        <v>1451</v>
      </c>
      <c r="L22" s="347" t="s">
        <v>1423</v>
      </c>
      <c r="M22" s="374" t="e">
        <f ca="1">INDIRECT("'数据-取费表'!Ak"&amp;$G$1)</f>
        <v>#N/A</v>
      </c>
    </row>
    <row r="23" spans="1:37" s="1856" customFormat="1" ht="18" customHeight="1">
      <c r="A23" s="1199"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2"/>
      <c r="H23" s="1199" t="s">
        <v>1075</v>
      </c>
      <c r="I23" s="347" t="s">
        <v>1454</v>
      </c>
      <c r="J23" s="24" t="e">
        <f ca="1">ROUND(J13*M23,1)</f>
        <v>#N/A</v>
      </c>
      <c r="K23" s="1796" t="s">
        <v>1455</v>
      </c>
      <c r="L23" s="347" t="s">
        <v>1456</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7" t="s">
        <v>1393</v>
      </c>
      <c r="I24" s="1338" t="s">
        <v>1440</v>
      </c>
      <c r="J24" s="1339" t="e">
        <f ca="1">ROUND(J5*M24,1)</f>
        <v>#N/A</v>
      </c>
      <c r="K24" s="1340" t="s">
        <v>1460</v>
      </c>
      <c r="L24" s="1338" t="s">
        <v>1456</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7" t="s">
        <v>1462</v>
      </c>
      <c r="C25" s="24"/>
      <c r="D25" s="140" t="s">
        <v>1463</v>
      </c>
      <c r="E25" s="1816"/>
      <c r="F25" s="26"/>
      <c r="G25" s="1849"/>
      <c r="H25" s="1327" t="s">
        <v>1031</v>
      </c>
      <c r="I25" s="1342" t="s">
        <v>1464</v>
      </c>
      <c r="J25" s="355" t="e">
        <f ca="1">J5-J16</f>
        <v>#N/A</v>
      </c>
      <c r="K25" s="1343" t="s">
        <v>1465</v>
      </c>
      <c r="L25" s="1344"/>
      <c r="M25" s="1345"/>
    </row>
    <row r="26" spans="1:37">
      <c r="A26" s="1199" t="s">
        <v>1034</v>
      </c>
      <c r="B26" s="347" t="s">
        <v>1466</v>
      </c>
      <c r="C26" s="24" t="e">
        <f ca="1">ROUND((C19+C20)*F26,0)</f>
        <v>#N/A</v>
      </c>
      <c r="D26" s="369" t="s">
        <v>1467</v>
      </c>
      <c r="E26" s="358" t="s">
        <v>1468</v>
      </c>
      <c r="F26" s="357" t="e">
        <f ca="1">INDIRECT("'数据-取费表'!q"&amp;$G$1)</f>
        <v>#N/A</v>
      </c>
      <c r="G26" s="1849"/>
      <c r="H26" s="344" t="s">
        <v>1032</v>
      </c>
      <c r="I26" s="345" t="s">
        <v>1469</v>
      </c>
      <c r="J26" s="346" t="e">
        <f ca="1">IF(J5&lt;&gt;0,ROUND(J25*(1-((1+M28)/(1+M26))^M27)/(M26-M28),0),0)</f>
        <v>#N/A</v>
      </c>
      <c r="K26" s="370" t="s">
        <v>1470</v>
      </c>
      <c r="L26" s="347" t="s">
        <v>1471</v>
      </c>
      <c r="M26" s="357" t="e">
        <f ca="1">INDIRECT("'数据-取费表'!I"&amp;$G$1)</f>
        <v>#N/A</v>
      </c>
    </row>
    <row r="27" spans="1:37" ht="18" customHeight="1">
      <c r="A27" s="1199" t="s">
        <v>1036</v>
      </c>
      <c r="B27" s="347" t="s">
        <v>1472</v>
      </c>
      <c r="C27" s="24" t="e">
        <f ca="1">ROUND(F21*F26,4)</f>
        <v>#N/A</v>
      </c>
      <c r="D27" s="369" t="s">
        <v>1473</v>
      </c>
      <c r="E27" s="365"/>
      <c r="F27" s="366"/>
      <c r="G27" s="1849"/>
      <c r="H27" s="349"/>
      <c r="I27" s="350"/>
      <c r="J27" s="351"/>
      <c r="K27" s="378" t="s">
        <v>1474</v>
      </c>
      <c r="L27" s="347" t="s">
        <v>1475</v>
      </c>
      <c r="M27" s="379" t="e">
        <f ca="1">INDIRECT("'数据-取费表'!ag"&amp;$G$1)</f>
        <v>#N/A</v>
      </c>
    </row>
    <row r="28" spans="1:37" s="1856" customFormat="1" ht="18" customHeight="1">
      <c r="A28" s="1199" t="s">
        <v>1037</v>
      </c>
      <c r="B28" s="347" t="s">
        <v>1476</v>
      </c>
      <c r="C28" s="24">
        <f>ROUND(F28/(1+'数据-取费表'!C42),4)</f>
        <v>5.2400000000000002E-2</v>
      </c>
      <c r="D28" s="369" t="s">
        <v>1477</v>
      </c>
      <c r="E28" s="347" t="s">
        <v>1423</v>
      </c>
      <c r="F28" s="367">
        <f>'数据-取费表'!B41</f>
        <v>5.5000000000000007E-2</v>
      </c>
      <c r="G28" s="1852"/>
      <c r="H28" s="353"/>
      <c r="I28" s="354"/>
      <c r="J28" s="355"/>
      <c r="K28" s="373"/>
      <c r="L28" s="347" t="s">
        <v>1478</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t="e">
        <f ca="1">ROUND((C19+C20+C23+C26)/(1-F21-C24-C27-C28),0)</f>
        <v>#N/A</v>
      </c>
      <c r="D29" s="1340"/>
      <c r="E29" s="1338"/>
      <c r="F29" s="1341"/>
      <c r="G29" s="1852"/>
      <c r="H29" s="380" t="s">
        <v>1033</v>
      </c>
      <c r="I29" s="381" t="s">
        <v>1480</v>
      </c>
      <c r="J29" s="382" t="e">
        <f ca="1">ROUND(J26/(1+F40)^F41,0)</f>
        <v>#N/A</v>
      </c>
      <c r="K29" s="383" t="s">
        <v>1481</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5" t="e">
        <f ca="1">ROUND(C31+C36+C37+C38,0)</f>
        <v>#N/A</v>
      </c>
      <c r="D30" s="1335" t="s">
        <v>1426</v>
      </c>
      <c r="E30" s="1336"/>
      <c r="F30" s="1292"/>
      <c r="G30" s="1849"/>
      <c r="H30" s="744"/>
      <c r="I30" s="745"/>
      <c r="J30" s="746"/>
      <c r="K30" s="747"/>
      <c r="L30" s="748"/>
      <c r="M30" s="749"/>
    </row>
    <row r="31" spans="1:37" ht="18" customHeight="1">
      <c r="A31" s="1199" t="s">
        <v>1035</v>
      </c>
      <c r="B31" s="347" t="s">
        <v>1430</v>
      </c>
      <c r="C31" s="24" t="e">
        <f ca="1">ROUND(IF(项目基本情况!B11="自然人",C5*F31,C32+C33+C34),1)</f>
        <v>#N/A</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7" t="s">
        <v>1434</v>
      </c>
      <c r="C32" s="24" t="e">
        <f ca="1">IF(项目基本情况!B11="自然人","——",ROUND(C5*F32/(1+'数据-取费表'!C42),2))</f>
        <v>#N/A</v>
      </c>
      <c r="D32" s="1796" t="s">
        <v>1435</v>
      </c>
      <c r="E32" s="347" t="s">
        <v>1423</v>
      </c>
      <c r="F32" s="377">
        <f>'数据-取费表'!B41</f>
        <v>5.5000000000000007E-2</v>
      </c>
      <c r="G32" s="1849"/>
      <c r="H32" s="744"/>
      <c r="I32" s="745"/>
      <c r="J32" s="746"/>
      <c r="K32" s="747"/>
      <c r="L32" s="748"/>
      <c r="M32" s="749"/>
    </row>
    <row r="33" spans="1:18" ht="18" customHeight="1">
      <c r="A33" s="1199" t="s">
        <v>1036</v>
      </c>
      <c r="B33" s="347" t="s">
        <v>1438</v>
      </c>
      <c r="C33" s="24" t="e">
        <f ca="1">IF(项目基本情况!B11="自然人","——",IF(D33="按租金收入计税",ROUND(C5*F33,2),IF(D33="按房产原值计税",ROUND(C29*F33*0.7,2),INDIRECT("'数据-取费表'!Aj"&amp;$G$1))))</f>
        <v>#N/A</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89" t="s">
        <v>1389</v>
      </c>
      <c r="B34" s="164" t="s">
        <v>1442</v>
      </c>
      <c r="C34" s="25" t="e">
        <f ca="1">IF(项目基本情况!B11="自然人","——",ROUND(F34*F35/10000,2))</f>
        <v>#N/A</v>
      </c>
      <c r="D34" s="370" t="s">
        <v>1443</v>
      </c>
      <c r="E34" s="347" t="s">
        <v>1444</v>
      </c>
      <c r="F34" s="371">
        <f>'数据-取费表'!B52</f>
        <v>1.5</v>
      </c>
      <c r="G34" s="1849"/>
      <c r="H34" s="744"/>
      <c r="I34" s="1858"/>
      <c r="J34" s="1859"/>
      <c r="K34" s="1861"/>
      <c r="L34" s="1862"/>
      <c r="M34" s="1862"/>
    </row>
    <row r="35" spans="1:18" ht="18" customHeight="1">
      <c r="A35" s="1351"/>
      <c r="B35" s="1349"/>
      <c r="C35" s="29"/>
      <c r="D35" s="373"/>
      <c r="E35" s="347" t="s">
        <v>1448</v>
      </c>
      <c r="F35" s="348" t="e">
        <f ca="1">INDIRECT("'数据-取费表'!r"&amp;$G$1)</f>
        <v>#N/A</v>
      </c>
      <c r="G35" s="1849"/>
      <c r="H35" s="744"/>
      <c r="I35" s="1858"/>
      <c r="J35" s="1859"/>
      <c r="K35" s="1860"/>
      <c r="L35" s="1857"/>
      <c r="M35" s="1857"/>
    </row>
    <row r="36" spans="1:18" ht="18" customHeight="1">
      <c r="A36" s="1350" t="s">
        <v>1039</v>
      </c>
      <c r="B36" s="347" t="s">
        <v>1450</v>
      </c>
      <c r="C36" s="24" t="e">
        <f ca="1">ROUND(C29*F36,1)</f>
        <v>#N/A</v>
      </c>
      <c r="D36" s="1796" t="s">
        <v>1483</v>
      </c>
      <c r="E36" s="347" t="s">
        <v>1423</v>
      </c>
      <c r="F36" s="374" t="e">
        <f ca="1">INDIRECT("'数据-取费表'!Ak"&amp;$G$1)</f>
        <v>#N/A</v>
      </c>
      <c r="G36" s="1849"/>
      <c r="H36" s="1857"/>
      <c r="I36" s="1858"/>
      <c r="J36" s="1859"/>
      <c r="K36" s="750"/>
      <c r="L36" s="1857"/>
      <c r="M36" s="1857"/>
    </row>
    <row r="37" spans="1:18" ht="18" customHeight="1">
      <c r="A37" s="1199" t="s">
        <v>1075</v>
      </c>
      <c r="B37" s="347" t="s">
        <v>1454</v>
      </c>
      <c r="C37" s="24" t="e">
        <f ca="1">ROUND(C13*F37,1)</f>
        <v>#N/A</v>
      </c>
      <c r="D37" s="1796" t="s">
        <v>1455</v>
      </c>
      <c r="E37" s="347" t="s">
        <v>1456</v>
      </c>
      <c r="F37" s="376" t="e">
        <f ca="1">INDIRECT("'数据-取费表'!Al"&amp;$G$1)</f>
        <v>#N/A</v>
      </c>
      <c r="G37" s="1849"/>
      <c r="H37" s="1857"/>
      <c r="I37" s="1858"/>
      <c r="J37" s="1859"/>
      <c r="K37" s="750"/>
      <c r="L37" s="1857"/>
      <c r="M37" s="1857"/>
    </row>
    <row r="38" spans="1:18" ht="18" customHeight="1" thickBot="1">
      <c r="A38" s="1337" t="s">
        <v>1393</v>
      </c>
      <c r="B38" s="1338" t="s">
        <v>1440</v>
      </c>
      <c r="C38" s="1339" t="e">
        <f ca="1">ROUND(C5*F38,1)</f>
        <v>#N/A</v>
      </c>
      <c r="D38" s="1340" t="s">
        <v>1460</v>
      </c>
      <c r="E38" s="1338" t="s">
        <v>1456</v>
      </c>
      <c r="F38" s="1334" t="e">
        <f ca="1">INDIRECT("'数据-取费表'!Am"&amp;$G$1)</f>
        <v>#N/A</v>
      </c>
      <c r="G38" s="1849"/>
      <c r="H38" s="1857"/>
      <c r="I38" s="1858"/>
      <c r="J38" s="1859"/>
      <c r="K38" s="1863"/>
      <c r="L38" s="1857"/>
      <c r="M38" s="1857"/>
    </row>
    <row r="39" spans="1:18" ht="24.6" customHeight="1" thickTop="1">
      <c r="A39" s="1327" t="s">
        <v>1031</v>
      </c>
      <c r="B39" s="1342" t="s">
        <v>1484</v>
      </c>
      <c r="C39" s="355" t="e">
        <f ca="1">C5-C30</f>
        <v>#N/A</v>
      </c>
      <c r="D39" s="1343" t="s">
        <v>1485</v>
      </c>
      <c r="E39" s="1344"/>
      <c r="F39" s="1345"/>
      <c r="G39" s="1849"/>
      <c r="H39" s="1857"/>
      <c r="I39" s="1858"/>
      <c r="J39" s="1859"/>
      <c r="K39" s="1863"/>
      <c r="L39" s="1857"/>
      <c r="M39" s="1857"/>
    </row>
    <row r="40" spans="1:18" ht="18" customHeight="1">
      <c r="A40" s="344" t="s">
        <v>1032</v>
      </c>
      <c r="B40" s="345" t="s">
        <v>1486</v>
      </c>
      <c r="C40" s="346" t="e">
        <f ca="1">ROUND(C39*(1-((1+F42)/(1+F40))^F41)/(F40-F42),0)</f>
        <v>#N/A</v>
      </c>
      <c r="D40" s="370" t="s">
        <v>1470</v>
      </c>
      <c r="E40" s="347" t="s">
        <v>1471</v>
      </c>
      <c r="F40" s="357" t="e">
        <f ca="1">INDIRECT("'数据-取费表'!I"&amp;$G$1)</f>
        <v>#N/A</v>
      </c>
      <c r="G40" s="1849"/>
      <c r="H40" s="1837"/>
      <c r="I40" s="1858"/>
      <c r="J40" s="1859"/>
      <c r="K40" s="1863"/>
      <c r="L40" s="1837"/>
      <c r="M40" s="1837"/>
    </row>
    <row r="41" spans="1:18" ht="18" customHeight="1">
      <c r="A41" s="349"/>
      <c r="B41" s="350"/>
      <c r="C41" s="351"/>
      <c r="D41" s="378" t="s">
        <v>1487</v>
      </c>
      <c r="E41" s="347" t="s">
        <v>1475</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1478</v>
      </c>
      <c r="F42" s="357" t="e">
        <f ca="1">INDIRECT("'数据-取费表'!v"&amp;$G$1)</f>
        <v>#N/A</v>
      </c>
      <c r="G42" s="1849"/>
      <c r="H42" s="731"/>
      <c r="I42" s="1858"/>
      <c r="J42" s="1859"/>
      <c r="K42" s="750"/>
      <c r="L42" s="731"/>
      <c r="M42" s="731"/>
    </row>
    <row r="43" spans="1:18" ht="18" customHeight="1" thickBot="1">
      <c r="A43" s="380" t="s">
        <v>1033</v>
      </c>
      <c r="B43" s="381" t="s">
        <v>1488</v>
      </c>
      <c r="C43" s="382" t="e">
        <f ca="1">ROUND(C40*10000/F43,0)</f>
        <v>#N/A</v>
      </c>
      <c r="D43" s="383" t="s">
        <v>1489</v>
      </c>
      <c r="E43" s="384" t="s">
        <v>1490</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t="e">
        <f ca="1">C68-C40</f>
        <v>#N/A</v>
      </c>
      <c r="D46" s="1870" t="str">
        <f>C2</f>
        <v>万元</v>
      </c>
      <c r="E46" s="1864"/>
      <c r="F46" s="1864"/>
      <c r="I46" s="1871" t="s">
        <v>1522</v>
      </c>
      <c r="J46" s="1872"/>
      <c r="K46" s="1873"/>
      <c r="L46" s="1874" t="e">
        <f ca="1">IF(M47="住宅",0,IF(L48&gt;J51,L60,J60))</f>
        <v>#N/A</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1"/>
      <c r="H47" s="2969">
        <v>193</v>
      </c>
      <c r="I47" s="1878" t="s">
        <v>1527</v>
      </c>
      <c r="J47" s="1879" t="s">
        <v>3189</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28.5" thickBot="1">
      <c r="A48" s="1358" t="s">
        <v>1135</v>
      </c>
      <c r="B48" s="345" t="s">
        <v>1401</v>
      </c>
      <c r="C48" s="1815" t="e">
        <f ca="1">C49+C53+C55</f>
        <v>#N/A</v>
      </c>
      <c r="D48" s="1360"/>
      <c r="E48" s="1361"/>
      <c r="F48" s="1179"/>
      <c r="G48" s="791"/>
      <c r="H48" s="2970">
        <v>6810</v>
      </c>
      <c r="I48" s="1885" t="s">
        <v>1531</v>
      </c>
      <c r="J48" s="1886" t="s">
        <v>3232</v>
      </c>
      <c r="K48" s="1887" t="s">
        <v>1532</v>
      </c>
      <c r="L48" s="1888" t="e">
        <f ca="1">INDIRECT("'数据-取费表'!f"&amp;$G$1)</f>
        <v>#N/A</v>
      </c>
      <c r="O48" s="1882" t="s">
        <v>1041</v>
      </c>
      <c r="P48" s="1883" t="s">
        <v>1533</v>
      </c>
      <c r="Q48" s="1884" t="e">
        <f ca="1">J60</f>
        <v>#N/A</v>
      </c>
      <c r="R48" s="1884" t="s">
        <v>1534</v>
      </c>
    </row>
    <row r="49" spans="1:18" s="1840" customFormat="1" ht="13.5" thickBot="1">
      <c r="A49" s="1192" t="s">
        <v>1136</v>
      </c>
      <c r="B49" s="1827" t="s">
        <v>1491</v>
      </c>
      <c r="C49" s="1362" t="e">
        <f ca="1">ROUND(F49*F51*F50*(1-F52)/10000,0)</f>
        <v>#N/A</v>
      </c>
      <c r="D49" s="1274" t="s">
        <v>3025</v>
      </c>
      <c r="E49" s="1828" t="s">
        <v>1492</v>
      </c>
      <c r="F49" s="1279"/>
      <c r="G49" s="1889"/>
      <c r="H49" s="792"/>
      <c r="I49" s="1885" t="s">
        <v>1535</v>
      </c>
      <c r="J49" s="1890">
        <v>2020</v>
      </c>
      <c r="K49" s="1887" t="s">
        <v>1536</v>
      </c>
      <c r="L49" s="1891"/>
      <c r="O49" s="1892" t="s">
        <v>1042</v>
      </c>
      <c r="P49" s="1883" t="s">
        <v>1537</v>
      </c>
      <c r="Q49" s="1884" t="e">
        <f ca="1">C29</f>
        <v>#N/A</v>
      </c>
      <c r="R49" s="1884" t="s">
        <v>1530</v>
      </c>
    </row>
    <row r="50" spans="1:18" s="1840" customFormat="1" ht="13.5" thickBot="1">
      <c r="A50" s="1193"/>
      <c r="B50" s="1196"/>
      <c r="C50" s="1366"/>
      <c r="D50" s="1170"/>
      <c r="E50" s="1275" t="s">
        <v>1406</v>
      </c>
      <c r="F50" s="1276" t="e">
        <f ca="1">F7</f>
        <v>#N/A</v>
      </c>
      <c r="H50" s="792"/>
      <c r="I50" s="1885" t="s">
        <v>1538</v>
      </c>
      <c r="J50" s="1893">
        <f>SUMPRODUCT((I63:I65=J47)*(J62:L62=J48)*(J63:L65))</f>
        <v>60</v>
      </c>
      <c r="K50" s="1887" t="s">
        <v>1539</v>
      </c>
      <c r="L50" s="1891"/>
      <c r="M50" s="1894"/>
      <c r="O50" s="1892" t="s">
        <v>1043</v>
      </c>
      <c r="P50" s="1883" t="s">
        <v>1540</v>
      </c>
      <c r="Q50" s="1895" t="e">
        <f ca="1">J58</f>
        <v>#N/A</v>
      </c>
      <c r="R50" s="1884"/>
    </row>
    <row r="51" spans="1:18" s="1840" customFormat="1" ht="13.5" thickBot="1">
      <c r="A51" s="1194"/>
      <c r="B51" s="1196"/>
      <c r="C51" s="1197"/>
      <c r="D51" s="1170"/>
      <c r="E51" s="1198" t="s">
        <v>1407</v>
      </c>
      <c r="F51" s="348" t="e">
        <f ca="1">F8</f>
        <v>#N/A</v>
      </c>
      <c r="I51" s="1896" t="s">
        <v>1541</v>
      </c>
      <c r="J51" s="1897">
        <f>IF(J49="",J50,J49+J50-YEAR('数据-取费表'!B2))</f>
        <v>62</v>
      </c>
      <c r="K51" s="1898" t="s">
        <v>1542</v>
      </c>
      <c r="L51" s="1899" t="e">
        <f ca="1">ROUND(-PV(INDIRECT("'数据-取费表'!h"&amp;$G$1),L48,(C39-C13*C76),0),0)</f>
        <v>#N/A</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t="e">
        <f ca="1">J53</f>
        <v>#N/A</v>
      </c>
      <c r="R52" s="1884" t="s">
        <v>1547</v>
      </c>
    </row>
    <row r="53" spans="1:18" s="1840" customFormat="1" ht="24.75" thickBot="1">
      <c r="A53" s="1403" t="s">
        <v>1137</v>
      </c>
      <c r="B53" s="1829" t="s">
        <v>1409</v>
      </c>
      <c r="C53" s="361">
        <f ca="1">ROUND(IF(F53="押一",F49*F51*F50/12*F11,IF(F53="押二",F49*F51*F50/12*2*F11,IF(F53="押三",F49*F51*F50/12*3*F11,C54*F11)))/10000,0)</f>
        <v>0</v>
      </c>
      <c r="D53" s="1822" t="s">
        <v>3023</v>
      </c>
      <c r="E53" s="358" t="s">
        <v>1411</v>
      </c>
      <c r="F53" s="1364"/>
      <c r="I53" s="1903" t="s">
        <v>1548</v>
      </c>
      <c r="J53" s="1904" t="e">
        <f ca="1">IF(M47="住宅",J51,IF(D1="——",MIN(J51,L48),IF(D1="在建（套用方法）",MIN(J51,L48-'数据-取费表'!B24),IF(D1="土地（套用方法）",MIN(J51,L48-'数据-取费表'!B20)))))</f>
        <v>#N/A</v>
      </c>
      <c r="K53" s="3246" t="s">
        <v>1549</v>
      </c>
      <c r="L53" s="3247"/>
      <c r="O53" s="1882" t="s">
        <v>1046</v>
      </c>
      <c r="P53" s="1883" t="s">
        <v>1550</v>
      </c>
      <c r="Q53" s="1884" t="e">
        <f ca="1">Q47+Q48</f>
        <v>#N/A</v>
      </c>
      <c r="R53" s="1884" t="s">
        <v>1047</v>
      </c>
    </row>
    <row r="54" spans="1:18" s="1840" customFormat="1" ht="13.5" thickBot="1">
      <c r="A54" s="1404"/>
      <c r="B54" s="1823" t="s">
        <v>1388</v>
      </c>
      <c r="C54" s="1176"/>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#N/A</v>
      </c>
      <c r="K55" s="1910" t="s">
        <v>1553</v>
      </c>
      <c r="L55" s="1911" t="s">
        <v>1554</v>
      </c>
      <c r="O55" s="1875" t="s">
        <v>1523</v>
      </c>
      <c r="P55" s="1876" t="s">
        <v>1524</v>
      </c>
      <c r="Q55" s="1877" t="s">
        <v>1525</v>
      </c>
      <c r="R55" s="1877" t="s">
        <v>1526</v>
      </c>
    </row>
    <row r="56" spans="1:18" s="1840" customFormat="1" ht="25.5" thickTop="1" thickBot="1">
      <c r="A56" s="1174">
        <v>2</v>
      </c>
      <c r="B56" s="1175" t="s">
        <v>1415</v>
      </c>
      <c r="C56" s="276" t="e">
        <f ca="1">C13</f>
        <v>#N/A</v>
      </c>
      <c r="D56" s="1912"/>
      <c r="E56" s="1913"/>
      <c r="F56" s="1905"/>
      <c r="I56" s="1914" t="s">
        <v>1555</v>
      </c>
      <c r="J56" s="1915" t="s">
        <v>3045</v>
      </c>
      <c r="K56" s="1885" t="s">
        <v>1556</v>
      </c>
      <c r="L56" s="1888" t="e">
        <f ca="1">IF(L48&lt;J51,"——",L48-J53)</f>
        <v>#N/A</v>
      </c>
      <c r="O56" s="1882" t="s">
        <v>1040</v>
      </c>
      <c r="P56" s="1883" t="s">
        <v>1529</v>
      </c>
      <c r="Q56" s="1884" t="e">
        <f ca="1">C40+J29</f>
        <v>#N/A</v>
      </c>
      <c r="R56" s="1884" t="s">
        <v>1530</v>
      </c>
    </row>
    <row r="57" spans="1:18" s="1840" customFormat="1" ht="24.75" thickBot="1">
      <c r="A57" s="1916"/>
      <c r="B57" s="1167" t="s">
        <v>1479</v>
      </c>
      <c r="C57" s="282" t="e">
        <f ca="1">C29</f>
        <v>#N/A</v>
      </c>
      <c r="D57" s="1917"/>
      <c r="E57" s="1918"/>
      <c r="F57" s="1919"/>
      <c r="I57" s="1920" t="s">
        <v>1557</v>
      </c>
      <c r="J57" s="1921" t="e">
        <f ca="1">IF(OR(M47="住宅",J51&lt;L48,J56="是"),"——",J51-L48)</f>
        <v>#N/A</v>
      </c>
      <c r="K57" s="1885" t="s">
        <v>1558</v>
      </c>
      <c r="L57" s="1888" t="e">
        <f ca="1">IF(L48&lt;J51,"——",IF(L55="比较法",L49,IF(L55="基准地价",L50,L51)))</f>
        <v>#N/A</v>
      </c>
      <c r="O57" s="1882" t="s">
        <v>1041</v>
      </c>
      <c r="P57" s="1883" t="s">
        <v>1559</v>
      </c>
      <c r="Q57" s="1884" t="e">
        <f ca="1">L60</f>
        <v>#N/A</v>
      </c>
      <c r="R57" s="1884" t="s">
        <v>1560</v>
      </c>
    </row>
    <row r="58" spans="1:18" s="1840" customFormat="1" ht="24.75" thickBot="1">
      <c r="A58" s="360" t="s">
        <v>1030</v>
      </c>
      <c r="B58" s="1175" t="s">
        <v>1425</v>
      </c>
      <c r="C58" s="361" t="e">
        <f ca="1">ROUND(C59+C64+C65+C66,0)</f>
        <v>#N/A</v>
      </c>
      <c r="D58" s="1177" t="s">
        <v>1426</v>
      </c>
      <c r="E58" s="1178"/>
      <c r="F58" s="1179"/>
      <c r="I58" s="1920" t="s">
        <v>1561</v>
      </c>
      <c r="J58" s="1922" t="e">
        <f ca="1">IF(J55&lt;0.4,0.4,J55)</f>
        <v>#N/A</v>
      </c>
      <c r="K58" s="1898" t="s">
        <v>1562</v>
      </c>
      <c r="L58" s="1888" t="e">
        <f ca="1">ROUND(POWER(1+L52,L47-L48)*(POWER(1+L52,L48)-1)/(POWER(1+L52,L47)-1),4)</f>
        <v>#N/A</v>
      </c>
      <c r="O58" s="1892" t="s">
        <v>1042</v>
      </c>
      <c r="P58" s="1883" t="s">
        <v>1563</v>
      </c>
      <c r="Q58" s="1884">
        <f>IF(L55="比较法",L49,IF(L55="基准地价",L50,0))</f>
        <v>0</v>
      </c>
      <c r="R58" s="1884" t="s">
        <v>1530</v>
      </c>
    </row>
    <row r="59" spans="1:18" s="1840" customFormat="1" ht="24.75" thickBot="1">
      <c r="A59" s="1199" t="s">
        <v>1035</v>
      </c>
      <c r="B59" s="1167" t="s">
        <v>1430</v>
      </c>
      <c r="C59" s="24" t="e">
        <f ca="1">ROUND(IF(项目基本情况!B11="自然人",C48*F59,C60+C61+C62),1)</f>
        <v>#N/A</v>
      </c>
      <c r="D59" s="1180" t="s">
        <v>1431</v>
      </c>
      <c r="E59" s="1181" t="s">
        <v>1432</v>
      </c>
      <c r="F59" s="368"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1043</v>
      </c>
      <c r="P59" s="1883" t="s">
        <v>1565</v>
      </c>
      <c r="Q59" s="1895">
        <f>L52</f>
        <v>0</v>
      </c>
      <c r="R59" s="1884"/>
    </row>
    <row r="60" spans="1:18" s="1840" customFormat="1" ht="16.5" thickBot="1">
      <c r="A60" s="1199" t="s">
        <v>1034</v>
      </c>
      <c r="B60" s="1167" t="s">
        <v>1434</v>
      </c>
      <c r="C60" s="24" t="e">
        <f ca="1">IF(项目基本情况!B11="自然人","——",ROUND(C48*F60/(1+'数据-取费表'!C42),2))</f>
        <v>#N/A</v>
      </c>
      <c r="D60" s="1181" t="s">
        <v>1435</v>
      </c>
      <c r="E60" s="1167" t="s">
        <v>1423</v>
      </c>
      <c r="F60" s="377">
        <f t="shared" ref="F60:F66" si="0">F32</f>
        <v>5.5000000000000007E-2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5" thickBot="1">
      <c r="A61" s="1199" t="s">
        <v>1493</v>
      </c>
      <c r="B61" s="1167" t="s">
        <v>1494</v>
      </c>
      <c r="C61" s="24" t="e">
        <f ca="1">IF(项目基本情况!B11="自然人","——",IF(D61="按租金收入计税",ROUND(C48*F61,2),IF(D61="按房产原值计税",ROUND(C57*F61*0.7,2),INDIRECT("'数据-取费表'!Aj"&amp;$G$1))))</f>
        <v>#N/A</v>
      </c>
      <c r="D61" s="1826" t="s">
        <v>1439</v>
      </c>
      <c r="E61" s="1167" t="s">
        <v>1495</v>
      </c>
      <c r="F61" s="367">
        <f t="shared" si="0"/>
        <v>1.2E-2</v>
      </c>
      <c r="I61" s="1926"/>
      <c r="J61" s="1926"/>
      <c r="K61" s="1926"/>
      <c r="L61" s="1926"/>
      <c r="O61" s="1892" t="s">
        <v>1045</v>
      </c>
      <c r="P61" s="1883" t="str">
        <f>K59</f>
        <v>建设期及建筑物耐用年限下的土地年期修正系数Kn</v>
      </c>
      <c r="Q61" s="1884" t="e">
        <f ca="1">L59</f>
        <v>#N/A</v>
      </c>
      <c r="R61" s="1884" t="s">
        <v>1570</v>
      </c>
    </row>
    <row r="62" spans="1:18" s="1840" customFormat="1" ht="13.5" thickBot="1">
      <c r="A62" s="1199" t="s">
        <v>1496</v>
      </c>
      <c r="B62" s="1166" t="s">
        <v>1497</v>
      </c>
      <c r="C62" s="25" t="e">
        <f ca="1">IF(项目基本情况!B11="自然人","——",ROUND(F62*F63/10000,2))</f>
        <v>#N/A</v>
      </c>
      <c r="D62" s="1182" t="s">
        <v>1498</v>
      </c>
      <c r="E62" s="1167" t="s">
        <v>1499</v>
      </c>
      <c r="F62" s="371">
        <f t="shared" si="0"/>
        <v>1.5</v>
      </c>
      <c r="I62" s="1927" t="s">
        <v>1571</v>
      </c>
      <c r="J62" s="1928" t="s">
        <v>1572</v>
      </c>
      <c r="K62" s="1928" t="s">
        <v>1573</v>
      </c>
      <c r="L62" s="1928" t="s">
        <v>1574</v>
      </c>
      <c r="M62" s="1929" t="s">
        <v>1575</v>
      </c>
      <c r="O62" s="1882" t="s">
        <v>1046</v>
      </c>
      <c r="P62" s="1883" t="s">
        <v>1576</v>
      </c>
      <c r="Q62" s="1884" t="e">
        <f ca="1">Q56+Q57</f>
        <v>#N/A</v>
      </c>
      <c r="R62" s="1884" t="s">
        <v>1047</v>
      </c>
    </row>
    <row r="63" spans="1:18" s="1840" customFormat="1" ht="13.5" thickBot="1">
      <c r="A63" s="372"/>
      <c r="B63" s="1173"/>
      <c r="C63" s="29"/>
      <c r="D63" s="1183"/>
      <c r="E63" s="1167" t="s">
        <v>1500</v>
      </c>
      <c r="F63" s="348" t="e">
        <f t="shared" ca="1" si="0"/>
        <v>#N/A</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4" t="e">
        <f ca="1">ROUND(C57*F64,1)</f>
        <v>#N/A</v>
      </c>
      <c r="D64" s="1181" t="s">
        <v>1503</v>
      </c>
      <c r="E64" s="1167" t="s">
        <v>1495</v>
      </c>
      <c r="F64" s="374" t="e">
        <f t="shared" ca="1" si="0"/>
        <v>#N/A</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t="e">
        <f ca="1">ROUND(C56*F65,1)</f>
        <v>#N/A</v>
      </c>
      <c r="D65" s="1181" t="s">
        <v>1455</v>
      </c>
      <c r="E65" s="1167" t="s">
        <v>1456</v>
      </c>
      <c r="F65" s="376" t="e">
        <f t="shared" ca="1" si="0"/>
        <v>#N/A</v>
      </c>
      <c r="I65" s="1927" t="s">
        <v>1580</v>
      </c>
      <c r="J65" s="1928">
        <v>40</v>
      </c>
      <c r="K65" s="1928">
        <v>30</v>
      </c>
      <c r="L65" s="1928">
        <v>50</v>
      </c>
      <c r="M65" s="1930">
        <v>0.02</v>
      </c>
      <c r="O65" s="1882" t="s">
        <v>1040</v>
      </c>
      <c r="P65" s="1883" t="s">
        <v>1581</v>
      </c>
      <c r="Q65" s="1884" t="e">
        <f ca="1">C40+J29</f>
        <v>#N/A</v>
      </c>
      <c r="R65" s="1884" t="s">
        <v>1530</v>
      </c>
    </row>
    <row r="66" spans="1:18" s="1840" customFormat="1" ht="16.5" thickBot="1">
      <c r="A66" s="1199" t="s">
        <v>1505</v>
      </c>
      <c r="B66" s="1167" t="s">
        <v>1440</v>
      </c>
      <c r="C66" s="24" t="e">
        <f ca="1">ROUND(C48*F66,1)</f>
        <v>#N/A</v>
      </c>
      <c r="D66" s="1181" t="s">
        <v>1506</v>
      </c>
      <c r="E66" s="1167" t="s">
        <v>1423</v>
      </c>
      <c r="F66" s="357" t="e">
        <f t="shared" ca="1" si="0"/>
        <v>#N/A</v>
      </c>
      <c r="O66" s="1882" t="s">
        <v>1041</v>
      </c>
      <c r="P66" s="1883" t="s">
        <v>1559</v>
      </c>
      <c r="Q66" s="1884" t="e">
        <f ca="1">L60</f>
        <v>#N/A</v>
      </c>
      <c r="R66" s="1884" t="s">
        <v>1582</v>
      </c>
    </row>
    <row r="67" spans="1:18" s="1840" customFormat="1" ht="16.5" thickBot="1">
      <c r="A67" s="1174" t="s">
        <v>1031</v>
      </c>
      <c r="B67" s="1184" t="s">
        <v>1464</v>
      </c>
      <c r="C67" s="361" t="e">
        <f ca="1">C48-C58</f>
        <v>#N/A</v>
      </c>
      <c r="D67" s="1180" t="s">
        <v>1465</v>
      </c>
      <c r="E67" s="1185"/>
      <c r="F67" s="1186"/>
      <c r="O67" s="1892" t="s">
        <v>1042</v>
      </c>
      <c r="P67" s="1883" t="s">
        <v>1563</v>
      </c>
      <c r="Q67" s="1931" t="e">
        <f ca="1">L51</f>
        <v>#N/A</v>
      </c>
      <c r="R67" s="1884" t="s">
        <v>1583</v>
      </c>
    </row>
    <row r="68" spans="1:18" s="1840" customFormat="1" ht="16.5" thickBot="1">
      <c r="A68" s="1164" t="s">
        <v>1032</v>
      </c>
      <c r="B68" s="1165" t="s">
        <v>1486</v>
      </c>
      <c r="C68" s="346" t="e">
        <f ca="1">ROUND(C67*(1-((1+F70)/(1+F68))^F69)/(F68-F70),0)</f>
        <v>#N/A</v>
      </c>
      <c r="D68" s="1182" t="s">
        <v>1470</v>
      </c>
      <c r="E68" s="1167" t="s">
        <v>1471</v>
      </c>
      <c r="F68" s="357" t="e">
        <f ca="1">F40</f>
        <v>#N/A</v>
      </c>
      <c r="O68" s="1892" t="s">
        <v>1043</v>
      </c>
      <c r="P68" s="1932" t="s">
        <v>1584</v>
      </c>
      <c r="Q68" s="1884" t="e">
        <f ca="1">ROUND(Q69-Q70*Q71,0)</f>
        <v>#N/A</v>
      </c>
      <c r="R68" s="1884" t="s">
        <v>1051</v>
      </c>
    </row>
    <row r="69" spans="1:18" s="1840" customFormat="1" ht="13.5" thickBot="1">
      <c r="A69" s="1168"/>
      <c r="B69" s="1169"/>
      <c r="C69" s="351"/>
      <c r="D69" s="1187" t="s">
        <v>1474</v>
      </c>
      <c r="E69" s="1167" t="s">
        <v>1475</v>
      </c>
      <c r="F69" s="379" t="e">
        <f ca="1">F41</f>
        <v>#N/A</v>
      </c>
      <c r="O69" s="1892" t="s">
        <v>1048</v>
      </c>
      <c r="P69" s="1932" t="s">
        <v>1585</v>
      </c>
      <c r="Q69" s="1884" t="e">
        <f ca="1">C39</f>
        <v>#N/A</v>
      </c>
      <c r="R69" s="1884" t="s">
        <v>1530</v>
      </c>
    </row>
    <row r="70" spans="1:18" s="1840" customFormat="1" ht="13.5" thickBot="1">
      <c r="A70" s="1171"/>
      <c r="B70" s="1172"/>
      <c r="C70" s="355"/>
      <c r="D70" s="1183"/>
      <c r="E70" s="1167" t="s">
        <v>1478</v>
      </c>
      <c r="F70" s="1273"/>
      <c r="O70" s="1892" t="s">
        <v>1049</v>
      </c>
      <c r="P70" s="1932" t="s">
        <v>1586</v>
      </c>
      <c r="Q70" s="1884" t="e">
        <f ca="1">C13</f>
        <v>#N/A</v>
      </c>
      <c r="R70" s="1884" t="s">
        <v>1530</v>
      </c>
    </row>
    <row r="71" spans="1:18" s="1840" customFormat="1" ht="13.5" thickBot="1">
      <c r="A71" s="1188" t="s">
        <v>1033</v>
      </c>
      <c r="B71" s="1189" t="s">
        <v>1488</v>
      </c>
      <c r="C71" s="382" t="e">
        <f ca="1">ROUND(C68*10000/F71,0)</f>
        <v>#N/A</v>
      </c>
      <c r="D71" s="1190" t="s">
        <v>1489</v>
      </c>
      <c r="E71" s="1191" t="s">
        <v>1490</v>
      </c>
      <c r="F71" s="385" t="e">
        <f ca="1">F43</f>
        <v>#N/A</v>
      </c>
      <c r="O71" s="1892" t="s">
        <v>1050</v>
      </c>
      <c r="P71" s="1932" t="s">
        <v>1587</v>
      </c>
      <c r="Q71" s="1895" t="e">
        <f ca="1">C76</f>
        <v>#N/A</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#N/A</v>
      </c>
      <c r="R73" s="1884" t="s">
        <v>1569</v>
      </c>
    </row>
    <row r="74" spans="1:18" ht="13.5" thickBot="1">
      <c r="A74" s="1840"/>
      <c r="B74" s="317" t="s">
        <v>1588</v>
      </c>
      <c r="C74" s="1934"/>
      <c r="D74" s="1840"/>
      <c r="E74" s="1840"/>
      <c r="F74" s="1840"/>
      <c r="O74" s="1892" t="s">
        <v>1052</v>
      </c>
      <c r="P74" s="1883" t="str">
        <f>K59</f>
        <v>建设期及建筑物耐用年限下的土地年期修正系数Kn</v>
      </c>
      <c r="Q74" s="1884" t="e">
        <f ca="1">L59</f>
        <v>#N/A</v>
      </c>
      <c r="R74" s="1884" t="s">
        <v>1570</v>
      </c>
    </row>
    <row r="75" spans="1:18" ht="13.5" thickBot="1">
      <c r="A75" s="1840"/>
      <c r="B75" s="386" t="s">
        <v>1507</v>
      </c>
      <c r="C75" s="387" t="e">
        <f ca="1">ROUND(C13*C76,0)</f>
        <v>#N/A</v>
      </c>
      <c r="D75" s="1840"/>
      <c r="E75" s="1840"/>
      <c r="F75" s="1840"/>
      <c r="K75" s="1866"/>
      <c r="L75" s="1840"/>
      <c r="O75" s="1882" t="s">
        <v>1046</v>
      </c>
      <c r="P75" s="1883" t="s">
        <v>1550</v>
      </c>
      <c r="Q75" s="1884" t="e">
        <f ca="1">Q65+Q66</f>
        <v>#N/A</v>
      </c>
      <c r="R75" s="1884" t="s">
        <v>1047</v>
      </c>
    </row>
    <row r="76" spans="1:18">
      <c r="B76" s="388" t="s">
        <v>1508</v>
      </c>
      <c r="C76" s="389" t="e">
        <f ca="1">INDIRECT("'数据-取费表'!j"&amp;$G$1)</f>
        <v>#N/A</v>
      </c>
      <c r="I76" s="1840"/>
      <c r="J76" s="1840"/>
      <c r="K76" s="1866"/>
      <c r="L76" s="1840"/>
    </row>
    <row r="77" spans="1:18">
      <c r="B77" s="390" t="s">
        <v>1509</v>
      </c>
      <c r="C77" s="391"/>
      <c r="I77" s="1840"/>
      <c r="J77" s="1840"/>
      <c r="K77" s="1866"/>
      <c r="L77" s="1840"/>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
  <sheetViews>
    <sheetView topLeftCell="Q1" workbookViewId="0">
      <selection activeCell="AF36" sqref="AF36"/>
    </sheetView>
  </sheetViews>
  <sheetFormatPr defaultRowHeight="13.5"/>
  <cols>
    <col min="1" max="1" width="11.5" customWidth="1"/>
    <col min="3" max="3" width="11.25" customWidth="1"/>
  </cols>
  <sheetData>
    <row r="1" spans="1:40" s="1633" customFormat="1">
      <c r="A1" s="1633" t="s">
        <v>3075</v>
      </c>
      <c r="B1" s="1633" t="s">
        <v>3076</v>
      </c>
      <c r="C1" s="1633" t="s">
        <v>3077</v>
      </c>
      <c r="D1" s="1633" t="s">
        <v>3078</v>
      </c>
      <c r="E1" s="1633" t="s">
        <v>3079</v>
      </c>
      <c r="F1" s="1633" t="s">
        <v>3080</v>
      </c>
      <c r="G1" s="1633" t="s">
        <v>3081</v>
      </c>
      <c r="H1" s="1633" t="s">
        <v>3082</v>
      </c>
      <c r="I1" s="1633" t="s">
        <v>3083</v>
      </c>
      <c r="J1" s="1633" t="s">
        <v>3084</v>
      </c>
      <c r="K1" s="1633" t="s">
        <v>3085</v>
      </c>
      <c r="L1" s="1633" t="s">
        <v>3086</v>
      </c>
      <c r="M1" s="1633" t="s">
        <v>3087</v>
      </c>
      <c r="N1" s="1633" t="s">
        <v>3088</v>
      </c>
      <c r="O1" s="1633" t="s">
        <v>3089</v>
      </c>
      <c r="P1" s="1633" t="s">
        <v>3090</v>
      </c>
      <c r="Q1" s="1633" t="s">
        <v>3091</v>
      </c>
      <c r="R1" s="1633" t="s">
        <v>3092</v>
      </c>
      <c r="S1" s="1633" t="s">
        <v>3093</v>
      </c>
      <c r="T1" s="1633" t="s">
        <v>3094</v>
      </c>
      <c r="U1" s="1633" t="s">
        <v>3095</v>
      </c>
      <c r="V1" s="1633" t="s">
        <v>3096</v>
      </c>
      <c r="W1" s="1633" t="s">
        <v>3097</v>
      </c>
      <c r="X1" s="1633" t="s">
        <v>3098</v>
      </c>
      <c r="Y1" s="1633" t="s">
        <v>3099</v>
      </c>
      <c r="Z1" s="1633" t="s">
        <v>3100</v>
      </c>
      <c r="AA1" s="1633" t="s">
        <v>3101</v>
      </c>
      <c r="AB1" s="1633" t="s">
        <v>3102</v>
      </c>
      <c r="AC1" s="1633" t="s">
        <v>3103</v>
      </c>
      <c r="AD1" s="1633" t="s">
        <v>3104</v>
      </c>
      <c r="AE1" s="1633" t="s">
        <v>3105</v>
      </c>
      <c r="AF1" s="1633" t="s">
        <v>3106</v>
      </c>
      <c r="AG1" s="1633" t="s">
        <v>3107</v>
      </c>
      <c r="AH1" s="1633" t="s">
        <v>3108</v>
      </c>
      <c r="AI1" s="1633" t="s">
        <v>3109</v>
      </c>
      <c r="AJ1" s="1633" t="s">
        <v>3110</v>
      </c>
      <c r="AK1" s="1633" t="s">
        <v>3111</v>
      </c>
      <c r="AL1" s="1633" t="s">
        <v>3112</v>
      </c>
      <c r="AM1" s="1633" t="s">
        <v>3113</v>
      </c>
      <c r="AN1" s="1633" t="s">
        <v>3114</v>
      </c>
    </row>
    <row r="2" spans="1:40" s="2947" customFormat="1" ht="14.25">
      <c r="A2" s="2946" t="s">
        <v>3115</v>
      </c>
      <c r="B2" s="2947" t="s">
        <v>3039</v>
      </c>
      <c r="C2" s="2947" t="s">
        <v>3116</v>
      </c>
      <c r="D2" s="2947" t="s">
        <v>3117</v>
      </c>
      <c r="E2" s="2947" t="s">
        <v>1331</v>
      </c>
      <c r="F2" s="2947" t="s">
        <v>3118</v>
      </c>
      <c r="G2" s="2947" t="s">
        <v>3119</v>
      </c>
      <c r="H2" s="2947" t="s">
        <v>3120</v>
      </c>
      <c r="I2" s="2947" t="s">
        <v>3121</v>
      </c>
      <c r="J2" s="2947">
        <v>76286.2</v>
      </c>
      <c r="K2" s="2947">
        <v>181983.1</v>
      </c>
      <c r="L2" s="2947">
        <v>2.5</v>
      </c>
      <c r="M2" s="2947" t="s">
        <v>1331</v>
      </c>
      <c r="N2" s="2947" t="s">
        <v>1331</v>
      </c>
      <c r="O2" s="2947" t="s">
        <v>1331</v>
      </c>
      <c r="P2" s="2947" t="s">
        <v>1331</v>
      </c>
      <c r="Q2" s="2947" t="s">
        <v>1331</v>
      </c>
      <c r="R2" s="2947" t="s">
        <v>3122</v>
      </c>
      <c r="S2" s="2947" t="s">
        <v>3123</v>
      </c>
      <c r="T2" s="2947" t="s">
        <v>1331</v>
      </c>
      <c r="U2" s="2947" t="s">
        <v>3124</v>
      </c>
      <c r="V2" s="2947" t="s">
        <v>3125</v>
      </c>
      <c r="W2" s="2947" t="s">
        <v>3126</v>
      </c>
      <c r="X2" s="2947" t="s">
        <v>3126</v>
      </c>
      <c r="Y2" s="2947" t="s">
        <v>3120</v>
      </c>
      <c r="Z2" s="2947" t="s">
        <v>3127</v>
      </c>
      <c r="AA2" s="2947" t="s">
        <v>3128</v>
      </c>
      <c r="AB2" s="2947">
        <v>478000</v>
      </c>
      <c r="AC2" s="2947">
        <v>716500</v>
      </c>
      <c r="AD2" s="2947">
        <v>4177.25</v>
      </c>
      <c r="AE2" s="2947">
        <v>6261.51</v>
      </c>
      <c r="AF2" s="2947">
        <v>26266.17</v>
      </c>
      <c r="AG2" s="2947">
        <v>39371.79</v>
      </c>
      <c r="AH2" s="2947" t="s">
        <v>1331</v>
      </c>
      <c r="AI2" s="2947" t="s">
        <v>1331</v>
      </c>
      <c r="AJ2" s="2947">
        <v>49.9</v>
      </c>
      <c r="AK2" s="2947" t="s">
        <v>3129</v>
      </c>
      <c r="AL2" s="2947" t="s">
        <v>1331</v>
      </c>
      <c r="AM2" s="2947" t="s">
        <v>1331</v>
      </c>
      <c r="AN2" s="2947" t="s">
        <v>1331</v>
      </c>
    </row>
    <row r="3" spans="1:40" s="2947" customFormat="1" ht="14.25">
      <c r="A3" s="2946" t="s">
        <v>3130</v>
      </c>
      <c r="B3" s="2947" t="s">
        <v>3039</v>
      </c>
      <c r="C3" s="2947" t="s">
        <v>3131</v>
      </c>
      <c r="D3" s="2947" t="s">
        <v>3117</v>
      </c>
      <c r="E3" s="2947" t="s">
        <v>1331</v>
      </c>
      <c r="F3" s="2947" t="s">
        <v>3132</v>
      </c>
      <c r="G3" s="2947" t="s">
        <v>3119</v>
      </c>
      <c r="H3" s="2947" t="s">
        <v>3133</v>
      </c>
      <c r="I3" s="2947" t="s">
        <v>3134</v>
      </c>
      <c r="J3" s="2947">
        <v>22717.91</v>
      </c>
      <c r="K3" s="2947">
        <v>56795</v>
      </c>
      <c r="L3" s="2947">
        <v>2.5</v>
      </c>
      <c r="M3" s="2947" t="s">
        <v>1331</v>
      </c>
      <c r="N3" s="2947" t="s">
        <v>1331</v>
      </c>
      <c r="O3" s="2947" t="s">
        <v>1331</v>
      </c>
      <c r="P3" s="2947" t="s">
        <v>1331</v>
      </c>
      <c r="Q3" s="2947" t="s">
        <v>1331</v>
      </c>
      <c r="R3" s="2947" t="s">
        <v>3122</v>
      </c>
      <c r="S3" s="2947" t="s">
        <v>3135</v>
      </c>
      <c r="T3" s="2947" t="s">
        <v>1331</v>
      </c>
      <c r="U3" s="2947" t="s">
        <v>3136</v>
      </c>
      <c r="V3" s="2947" t="s">
        <v>3137</v>
      </c>
      <c r="W3" s="2947" t="s">
        <v>3138</v>
      </c>
      <c r="X3" s="2947" t="s">
        <v>3138</v>
      </c>
      <c r="Y3" s="2947" t="s">
        <v>3133</v>
      </c>
      <c r="Z3" s="2947" t="s">
        <v>3127</v>
      </c>
      <c r="AA3" s="2947" t="s">
        <v>3139</v>
      </c>
      <c r="AB3" s="2947">
        <v>153000</v>
      </c>
      <c r="AC3" s="2947">
        <v>229000</v>
      </c>
      <c r="AD3" s="2947">
        <v>4489.8500000000004</v>
      </c>
      <c r="AE3" s="2947">
        <v>6720.1</v>
      </c>
      <c r="AF3" s="2947">
        <v>26938.99</v>
      </c>
      <c r="AG3" s="2947">
        <v>40320.44</v>
      </c>
      <c r="AH3" s="2947" t="s">
        <v>1331</v>
      </c>
      <c r="AI3" s="2947" t="s">
        <v>1331</v>
      </c>
      <c r="AJ3" s="2947">
        <v>49.67</v>
      </c>
      <c r="AK3" s="2947" t="s">
        <v>3129</v>
      </c>
      <c r="AL3" s="2947" t="s">
        <v>1331</v>
      </c>
      <c r="AM3" s="2947">
        <v>6</v>
      </c>
      <c r="AN3" s="2947" t="s">
        <v>1331</v>
      </c>
    </row>
    <row r="4" spans="1:40" s="2947" customFormat="1" ht="14.25">
      <c r="A4" s="2946" t="s">
        <v>3140</v>
      </c>
      <c r="B4" s="2947" t="s">
        <v>3039</v>
      </c>
      <c r="C4" s="2947" t="s">
        <v>3131</v>
      </c>
      <c r="D4" s="2947" t="s">
        <v>3117</v>
      </c>
      <c r="E4" s="2947" t="s">
        <v>1331</v>
      </c>
      <c r="F4" s="2947" t="s">
        <v>3141</v>
      </c>
      <c r="G4" s="2947" t="s">
        <v>3119</v>
      </c>
      <c r="H4" s="2947" t="s">
        <v>3142</v>
      </c>
      <c r="I4" s="2947" t="s">
        <v>3143</v>
      </c>
      <c r="J4" s="2947">
        <v>66379.53</v>
      </c>
      <c r="K4" s="2947">
        <v>146035</v>
      </c>
      <c r="L4" s="2947">
        <v>2.2000000000000002</v>
      </c>
      <c r="M4" s="2947" t="s">
        <v>1331</v>
      </c>
      <c r="N4" s="2947" t="s">
        <v>1331</v>
      </c>
      <c r="O4" s="2947" t="s">
        <v>1331</v>
      </c>
      <c r="P4" s="2947" t="s">
        <v>1331</v>
      </c>
      <c r="Q4" s="2947" t="s">
        <v>1331</v>
      </c>
      <c r="R4" s="2947" t="s">
        <v>3144</v>
      </c>
      <c r="S4" s="2947" t="s">
        <v>3144</v>
      </c>
      <c r="T4" s="2947" t="s">
        <v>1331</v>
      </c>
      <c r="U4" s="2947" t="s">
        <v>3145</v>
      </c>
      <c r="V4" s="2947" t="s">
        <v>3146</v>
      </c>
      <c r="W4" s="2947" t="s">
        <v>3147</v>
      </c>
      <c r="X4" s="2947" t="s">
        <v>3148</v>
      </c>
      <c r="Y4" s="2947" t="s">
        <v>3142</v>
      </c>
      <c r="Z4" s="2947" t="s">
        <v>3127</v>
      </c>
      <c r="AA4" s="2947" t="s">
        <v>3149</v>
      </c>
      <c r="AB4" s="2947">
        <v>383000</v>
      </c>
      <c r="AC4" s="2947">
        <v>574000</v>
      </c>
      <c r="AD4" s="2947">
        <v>3846.57</v>
      </c>
      <c r="AE4" s="2947">
        <v>5764.83</v>
      </c>
      <c r="AF4" s="2947">
        <v>26226.59</v>
      </c>
      <c r="AG4" s="2947">
        <v>39305.65</v>
      </c>
      <c r="AH4" s="2947" t="s">
        <v>1331</v>
      </c>
      <c r="AI4" s="2947" t="s">
        <v>1331</v>
      </c>
      <c r="AJ4" s="2947">
        <v>49.87</v>
      </c>
      <c r="AK4" s="2947" t="s">
        <v>3129</v>
      </c>
      <c r="AL4" s="2947" t="s">
        <v>1331</v>
      </c>
      <c r="AM4" s="2947">
        <v>70</v>
      </c>
      <c r="AN4" s="2947" t="s">
        <v>1331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N76" sqref="A1:N76"/>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I49" workbookViewId="0">
      <selection activeCell="AA1" sqref="AA1"/>
    </sheetView>
  </sheetViews>
  <sheetFormatPr defaultRowHeight="13.5"/>
  <sheetData/>
  <phoneticPr fontId="143" type="noConversion"/>
  <pageMargins left="0.7" right="0.7" top="0.75" bottom="0.75" header="0.3" footer="0.3"/>
  <pageSetup paperSize="9" scale="2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6:K181"/>
  <sheetViews>
    <sheetView topLeftCell="A147" workbookViewId="0">
      <selection activeCell="J181" sqref="J181"/>
    </sheetView>
  </sheetViews>
  <sheetFormatPr defaultRowHeight="13.5"/>
  <cols>
    <col min="10" max="10" width="25.5" bestFit="1" customWidth="1"/>
  </cols>
  <sheetData>
    <row r="146" spans="2:8">
      <c r="G146" s="2986" t="s">
        <v>3240</v>
      </c>
      <c r="H146">
        <v>8908.64</v>
      </c>
    </row>
    <row r="147" spans="2:8">
      <c r="G147" s="2986" t="s">
        <v>3241</v>
      </c>
      <c r="H147">
        <v>9425.14</v>
      </c>
    </row>
    <row r="148" spans="2:8">
      <c r="G148" s="2986" t="s">
        <v>3242</v>
      </c>
      <c r="H148">
        <v>11514.87</v>
      </c>
    </row>
    <row r="149" spans="2:8">
      <c r="G149" s="2986" t="s">
        <v>3243</v>
      </c>
      <c r="H149">
        <v>10673.74</v>
      </c>
    </row>
    <row r="150" spans="2:8">
      <c r="G150" t="str">
        <f>'数据-基础表'!C14</f>
        <v>6#商品房</v>
      </c>
      <c r="H150">
        <f>'数据-基础表'!G14</f>
        <v>6048.18</v>
      </c>
    </row>
    <row r="151" spans="2:8">
      <c r="G151" t="str">
        <f>'数据-基础表'!C16</f>
        <v>8#商品房</v>
      </c>
      <c r="H151">
        <f>'数据-基础表'!G16</f>
        <v>5896.87</v>
      </c>
    </row>
    <row r="152" spans="2:8">
      <c r="G152" t="str">
        <f>'数据-基础表'!C17</f>
        <v>9#商品房</v>
      </c>
      <c r="H152">
        <f>'数据-基础表'!G17</f>
        <v>11110.97</v>
      </c>
    </row>
    <row r="153" spans="2:8">
      <c r="G153" t="str">
        <f>'数据-基础表'!C19</f>
        <v>配电室</v>
      </c>
      <c r="H153">
        <f>'数据-基础表'!G19</f>
        <v>0</v>
      </c>
    </row>
    <row r="154" spans="2:8">
      <c r="H154">
        <f>SUM(H146:H153)</f>
        <v>63578.41</v>
      </c>
    </row>
    <row r="158" spans="2:8">
      <c r="B158" s="2989" t="s">
        <v>3247</v>
      </c>
      <c r="C158" s="2990" t="s">
        <v>3248</v>
      </c>
      <c r="D158" s="2989">
        <v>201</v>
      </c>
      <c r="E158" s="2989">
        <v>156.28</v>
      </c>
    </row>
    <row r="159" spans="2:8">
      <c r="B159" s="2989"/>
      <c r="C159" s="2989"/>
      <c r="D159" s="2989">
        <v>202</v>
      </c>
      <c r="E159" s="2989">
        <v>132.47999999999999</v>
      </c>
    </row>
    <row r="160" spans="2:8">
      <c r="B160" s="2989"/>
      <c r="C160" s="2989"/>
      <c r="D160" s="2989">
        <v>301</v>
      </c>
      <c r="E160" s="2989">
        <v>156.28</v>
      </c>
    </row>
    <row r="161" spans="2:11">
      <c r="B161" s="2989"/>
      <c r="C161" s="2989"/>
      <c r="D161" s="2989">
        <v>302</v>
      </c>
      <c r="E161" s="2989">
        <v>132.47999999999999</v>
      </c>
    </row>
    <row r="162" spans="2:11">
      <c r="B162" s="2989"/>
      <c r="C162" s="2989"/>
      <c r="D162" s="2989">
        <v>401</v>
      </c>
      <c r="E162" s="2989">
        <v>156.28</v>
      </c>
    </row>
    <row r="163" spans="2:11">
      <c r="B163" s="2989"/>
      <c r="C163" s="2989"/>
      <c r="D163" s="2989">
        <v>801</v>
      </c>
      <c r="E163" s="2989">
        <v>156.28</v>
      </c>
    </row>
    <row r="164" spans="2:11">
      <c r="B164" s="2989"/>
      <c r="C164" s="2989"/>
      <c r="D164" s="2989">
        <v>902</v>
      </c>
      <c r="E164" s="2989">
        <v>132.47999999999999</v>
      </c>
    </row>
    <row r="165" spans="2:11">
      <c r="B165" s="2989"/>
      <c r="C165" s="2989"/>
      <c r="D165" s="2989">
        <v>1502</v>
      </c>
      <c r="E165" s="2989">
        <v>132.47999999999999</v>
      </c>
    </row>
    <row r="166" spans="2:11">
      <c r="B166" s="2989"/>
      <c r="C166" s="2989"/>
      <c r="D166" s="2989">
        <v>1601</v>
      </c>
      <c r="E166" s="2989">
        <v>156.28</v>
      </c>
    </row>
    <row r="167" spans="2:11">
      <c r="B167" s="2989"/>
      <c r="C167" s="2989"/>
      <c r="D167" s="2989">
        <v>1702</v>
      </c>
      <c r="E167" s="2989">
        <v>132.47999999999999</v>
      </c>
    </row>
    <row r="168" spans="2:11">
      <c r="B168" s="2990" t="s">
        <v>3252</v>
      </c>
      <c r="C168" s="2989"/>
      <c r="D168" s="2989"/>
      <c r="E168" s="2989">
        <f>SUM(E158:E167)</f>
        <v>1443.8</v>
      </c>
    </row>
    <row r="169" spans="2:11">
      <c r="B169" s="2990" t="s">
        <v>3249</v>
      </c>
      <c r="C169" s="2990" t="s">
        <v>3248</v>
      </c>
      <c r="D169" s="2989">
        <v>102</v>
      </c>
      <c r="E169" s="2989">
        <v>109.48</v>
      </c>
    </row>
    <row r="170" spans="2:11">
      <c r="B170" s="2989"/>
      <c r="C170" s="2990" t="s">
        <v>3250</v>
      </c>
      <c r="D170" s="2989">
        <v>101</v>
      </c>
      <c r="E170" s="2989">
        <v>126.73</v>
      </c>
    </row>
    <row r="171" spans="2:11">
      <c r="B171" s="2989"/>
      <c r="C171" s="2989"/>
      <c r="D171" s="2989">
        <v>201</v>
      </c>
      <c r="E171" s="2989">
        <v>102.21</v>
      </c>
    </row>
    <row r="172" spans="2:11">
      <c r="B172" s="2989"/>
      <c r="C172" s="2989"/>
      <c r="D172" s="2989">
        <v>901</v>
      </c>
      <c r="E172" s="2989">
        <v>102.21</v>
      </c>
    </row>
    <row r="173" spans="2:11">
      <c r="B173" s="2989"/>
      <c r="C173" s="2989"/>
      <c r="D173" s="2989">
        <v>902</v>
      </c>
      <c r="E173" s="2989">
        <v>102.19</v>
      </c>
      <c r="K173">
        <v>34181.179999999993</v>
      </c>
    </row>
    <row r="174" spans="2:11">
      <c r="B174" s="2989"/>
      <c r="C174" s="2989"/>
      <c r="D174" s="2989">
        <v>1201</v>
      </c>
      <c r="E174" s="2989">
        <v>102.21</v>
      </c>
      <c r="K174">
        <v>20299</v>
      </c>
    </row>
    <row r="175" spans="2:11">
      <c r="B175" s="2989"/>
      <c r="C175" s="2990" t="s">
        <v>3251</v>
      </c>
      <c r="D175" s="2989">
        <v>501</v>
      </c>
      <c r="E175" s="2989">
        <v>102.19</v>
      </c>
      <c r="K175">
        <f>SUM(K173:K174)</f>
        <v>54480.179999999993</v>
      </c>
    </row>
    <row r="176" spans="2:11">
      <c r="B176" s="2989"/>
      <c r="C176" s="2989"/>
      <c r="D176" s="2989">
        <v>502</v>
      </c>
      <c r="E176" s="2989">
        <v>103.79</v>
      </c>
    </row>
    <row r="177" spans="2:10">
      <c r="B177" s="2989"/>
      <c r="C177" s="2989"/>
      <c r="D177" s="2989">
        <v>1701</v>
      </c>
      <c r="E177" s="2989">
        <v>102.19</v>
      </c>
      <c r="J177" s="3007">
        <v>16953</v>
      </c>
    </row>
    <row r="178" spans="2:10">
      <c r="B178" s="2989"/>
      <c r="C178" s="2989"/>
      <c r="D178" s="2989">
        <v>1702</v>
      </c>
      <c r="E178" s="2989">
        <v>103.79</v>
      </c>
      <c r="J178" s="3008">
        <v>137232</v>
      </c>
    </row>
    <row r="179" spans="2:10">
      <c r="B179" s="2990" t="s">
        <v>3252</v>
      </c>
      <c r="C179" s="2989"/>
      <c r="D179" s="2989"/>
      <c r="E179" s="2989">
        <f>SUM(E169:E178)</f>
        <v>1056.99</v>
      </c>
      <c r="J179" s="3008">
        <v>32931</v>
      </c>
    </row>
    <row r="180" spans="2:10">
      <c r="J180">
        <v>187660</v>
      </c>
    </row>
    <row r="181" spans="2:10">
      <c r="J181" s="3009">
        <f>J180*10000</f>
        <v>1876600000</v>
      </c>
    </row>
  </sheetData>
  <phoneticPr fontId="143" type="noConversion"/>
  <pageMargins left="0.7" right="0.7" top="0.75" bottom="0.75" header="0.3" footer="0.3"/>
  <pageSetup paperSize="9" scale="3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1642</v>
      </c>
      <c r="B2" s="3022" t="s">
        <v>1643</v>
      </c>
      <c r="C2" s="3022" t="s">
        <v>1644</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
      <c r="A3" s="3023"/>
      <c r="B3" s="3023"/>
      <c r="C3" s="3023"/>
      <c r="D3" s="1042" t="s">
        <v>1639</v>
      </c>
      <c r="E3" s="1042" t="s">
        <v>1645</v>
      </c>
      <c r="F3" s="1042" t="s">
        <v>1639</v>
      </c>
      <c r="G3" s="1042" t="s">
        <v>1640</v>
      </c>
      <c r="H3" s="1042" t="s">
        <v>1639</v>
      </c>
      <c r="I3" s="1042" t="s">
        <v>1640</v>
      </c>
    </row>
    <row r="4" spans="1:9" ht="90">
      <c r="A4" s="1971" t="str">
        <f>项目基本情况!S2</f>
        <v>北京市大兴区黄村镇四街、五街、六街村项目DX00-0208-6001地块4、6-10号楼住宅、地下仓储、地下车库用房出让国有建设用地使用权及在建建筑物房地产</v>
      </c>
      <c r="B4" s="1042">
        <f>项目基本情况!C17</f>
        <v>31952.659999999996</v>
      </c>
      <c r="C4" s="1042">
        <f>项目基本情况!C18</f>
        <v>7892.1</v>
      </c>
      <c r="D4" s="1042">
        <f ca="1">结果表!D118</f>
        <v>137232</v>
      </c>
      <c r="E4" s="1042">
        <f ca="1">结果表!E118</f>
        <v>42949</v>
      </c>
      <c r="F4" s="1042">
        <f ca="1">结果表!F118</f>
        <v>0</v>
      </c>
      <c r="G4" s="1042">
        <f ca="1">结果表!G118</f>
        <v>0</v>
      </c>
      <c r="H4" s="1042">
        <f ca="1">结果表!H118</f>
        <v>137232</v>
      </c>
      <c r="I4" s="1042">
        <f ca="1">结果表!I118</f>
        <v>42949</v>
      </c>
    </row>
    <row r="5" spans="1:9" ht="30" customHeight="1">
      <c r="A5" s="3023" t="s">
        <v>1641</v>
      </c>
      <c r="B5" s="3023"/>
      <c r="C5" s="3023"/>
      <c r="D5" s="3024" t="str">
        <f ca="1">结果表!D119</f>
        <v>壹拾叁亿柒仟贰佰叁拾贰万元整</v>
      </c>
      <c r="E5" s="3024"/>
      <c r="F5" s="3024" t="str">
        <f ca="1">结果表!F119</f>
        <v>零元整</v>
      </c>
      <c r="G5" s="3024"/>
      <c r="H5" s="3024" t="str">
        <f ca="1">结果表!H119</f>
        <v>壹拾叁亿柒仟贰佰叁拾贰万元整</v>
      </c>
      <c r="I5" s="3024"/>
    </row>
    <row r="6" spans="1:9" ht="15.75">
      <c r="A6" s="3025" t="str">
        <f>结果表!A120</f>
        <v>估价师知悉的法定优先受偿款</v>
      </c>
      <c r="B6" s="3025"/>
      <c r="C6" s="3025"/>
      <c r="D6" s="3025">
        <f>结果表!D120</f>
        <v>0</v>
      </c>
      <c r="E6" s="3025"/>
      <c r="F6" s="3025"/>
      <c r="G6" s="3025"/>
      <c r="H6" s="3025"/>
      <c r="I6" s="3025"/>
    </row>
    <row r="7" spans="1:9" ht="15">
      <c r="A7" s="3023" t="s">
        <v>1641</v>
      </c>
      <c r="B7" s="3023"/>
      <c r="C7" s="3023"/>
      <c r="D7" s="3026" t="str">
        <f>结果表!D121</f>
        <v>零元整</v>
      </c>
      <c r="E7" s="3027"/>
      <c r="F7" s="3027"/>
      <c r="G7" s="3027"/>
      <c r="H7" s="3027"/>
      <c r="I7" s="3028"/>
    </row>
    <row r="8" spans="1:9" ht="15.75">
      <c r="A8" s="3025" t="str">
        <f>结果表!A122</f>
        <v/>
      </c>
      <c r="B8" s="3025"/>
      <c r="C8" s="3025"/>
      <c r="D8" s="3025" t="str">
        <f>结果表!D122</f>
        <v>——</v>
      </c>
      <c r="E8" s="3025"/>
      <c r="F8" s="3025"/>
      <c r="G8" s="3025"/>
      <c r="H8" s="3025"/>
      <c r="I8" s="3025"/>
    </row>
    <row r="9" spans="1:9" ht="15">
      <c r="A9" s="3023" t="s">
        <v>1641</v>
      </c>
      <c r="B9" s="3023"/>
      <c r="C9" s="3023"/>
      <c r="D9" s="3024" t="e">
        <f>结果表!D123</f>
        <v>#VALUE!</v>
      </c>
      <c r="E9" s="3024"/>
      <c r="F9" s="3024"/>
      <c r="G9" s="3024"/>
      <c r="H9" s="3024"/>
      <c r="I9" s="3024"/>
    </row>
    <row r="10" spans="1:9" ht="15.75">
      <c r="A10" s="3025" t="str">
        <f>结果表!A124</f>
        <v>抵押担保权已注销时的房地产抵押价值</v>
      </c>
      <c r="B10" s="3025"/>
      <c r="C10" s="3025"/>
      <c r="D10" s="3025">
        <f ca="1">结果表!D124</f>
        <v>137232</v>
      </c>
      <c r="E10" s="3025"/>
      <c r="F10" s="3025"/>
      <c r="G10" s="3025"/>
      <c r="H10" s="3025"/>
      <c r="I10" s="3025"/>
    </row>
    <row r="11" spans="1:9" ht="15">
      <c r="A11" s="3023" t="s">
        <v>1641</v>
      </c>
      <c r="B11" s="3023"/>
      <c r="C11" s="3023"/>
      <c r="D11" s="3024" t="str">
        <f ca="1">结果表!D125</f>
        <v>壹拾叁亿柒仟贰佰叁拾贰万元整</v>
      </c>
      <c r="E11" s="3024"/>
      <c r="F11" s="3024"/>
      <c r="G11" s="3024"/>
      <c r="H11" s="3024"/>
      <c r="I11" s="3024"/>
    </row>
    <row r="12" spans="1:9" ht="15.75">
      <c r="A12" s="3025" t="str">
        <f>结果表!A126</f>
        <v/>
      </c>
      <c r="B12" s="3025"/>
      <c r="C12" s="3025"/>
      <c r="D12" s="3025" t="str">
        <f>结果表!D126</f>
        <v>——</v>
      </c>
      <c r="E12" s="3025"/>
      <c r="F12" s="3025"/>
      <c r="G12" s="3025"/>
      <c r="H12" s="3025"/>
      <c r="I12" s="3025"/>
    </row>
    <row r="13" spans="1:9" ht="15.75" thickBot="1">
      <c r="A13" s="3029" t="s">
        <v>1641</v>
      </c>
      <c r="B13" s="3029"/>
      <c r="C13" s="3029"/>
      <c r="D13" s="3030" t="e">
        <f>结果表!D127</f>
        <v>#VALUE!</v>
      </c>
      <c r="E13" s="3030"/>
      <c r="F13" s="3030"/>
      <c r="G13" s="3030"/>
      <c r="H13" s="3030"/>
      <c r="I13" s="3030"/>
    </row>
    <row r="14" spans="1:9" ht="15" thickTop="1">
      <c r="A14" s="3031" t="s">
        <v>1646</v>
      </c>
      <c r="B14" s="3031"/>
      <c r="C14" s="3031"/>
      <c r="D14" s="3031"/>
      <c r="E14" s="3031"/>
      <c r="F14" s="3031"/>
      <c r="G14" s="3031"/>
      <c r="H14" s="3031"/>
      <c r="I14" s="3031"/>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2" t="s">
        <v>1663</v>
      </c>
      <c r="B1" s="3032"/>
      <c r="C1" s="3032"/>
      <c r="D1" s="3032"/>
    </row>
    <row r="2" spans="1:4" ht="18">
      <c r="A2" s="3033" t="s">
        <v>1647</v>
      </c>
      <c r="B2" s="3033"/>
      <c r="C2" s="3033"/>
      <c r="D2" s="3033"/>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33" t="s">
        <v>1653</v>
      </c>
      <c r="B6" s="3033"/>
      <c r="C6" s="3033"/>
      <c r="D6" s="3033"/>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34" t="s">
        <v>1656</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5" t="str">
        <f>IF(项目基本情况!B8="抵押","4.本次评估估价师所知悉的法定优先受偿款情况说明如下：","——")</f>
        <v>4.本次评估估价师所知悉的法定优先受偿款情况说明如下：</v>
      </c>
      <c r="B14" s="3036"/>
      <c r="C14" s="3036"/>
      <c r="D14" s="3036"/>
    </row>
    <row r="15" spans="1:4" ht="42" customHeight="1">
      <c r="A15" s="3035"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3035"/>
      <c r="C15" s="3035"/>
      <c r="D15" s="3035"/>
    </row>
    <row r="16" spans="1:4" ht="30" customHeight="1">
      <c r="A16" s="3038" t="s">
        <v>1657</v>
      </c>
      <c r="B16" s="3038"/>
      <c r="C16" s="3038"/>
      <c r="D16" s="3038"/>
    </row>
    <row r="17" spans="1:4" ht="144" customHeight="1">
      <c r="A17" s="3038" t="s">
        <v>1658</v>
      </c>
      <c r="B17" s="3038"/>
      <c r="C17" s="3038"/>
      <c r="D17" s="3038"/>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5"/>
      <c r="C20" s="3035"/>
      <c r="D20" s="3035"/>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9"/>
      <c r="C21" s="3039"/>
      <c r="D21" s="3039"/>
    </row>
    <row r="22" spans="1:4" ht="18.75" customHeight="1">
      <c r="A22" s="3040" t="s">
        <v>1659</v>
      </c>
      <c r="B22" s="3040"/>
      <c r="C22" s="3040"/>
      <c r="D22" s="3040"/>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37">
        <v>42551</v>
      </c>
      <c r="D31" s="30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46" t="s">
        <v>1670</v>
      </c>
      <c r="B15" s="3041" t="s">
        <v>136</v>
      </c>
      <c r="C15" s="3042"/>
    </row>
    <row r="16" spans="1:7" ht="13.5">
      <c r="A16" s="3047"/>
      <c r="B16" s="3041" t="s">
        <v>69</v>
      </c>
      <c r="C16" s="3042"/>
    </row>
    <row r="17" spans="1:3" ht="13.5">
      <c r="A17" s="3047"/>
      <c r="B17" s="3044" t="s">
        <v>1671</v>
      </c>
      <c r="C17" s="1998" t="s">
        <v>1670</v>
      </c>
    </row>
    <row r="18" spans="1:3" ht="13.5">
      <c r="A18" s="3047"/>
      <c r="B18" s="3044"/>
      <c r="C18" s="1998" t="s">
        <v>1672</v>
      </c>
    </row>
    <row r="19" spans="1:3" ht="13.5">
      <c r="A19" s="3047"/>
      <c r="B19" s="3044"/>
      <c r="C19" s="1998" t="s">
        <v>1673</v>
      </c>
    </row>
    <row r="20" spans="1:3" ht="13.5">
      <c r="A20" s="3048"/>
      <c r="B20" s="3043" t="s">
        <v>1674</v>
      </c>
      <c r="C20" s="3042"/>
    </row>
    <row r="21" spans="1:3" ht="13.5">
      <c r="A21" s="1999" t="s">
        <v>1675</v>
      </c>
      <c r="B21" s="2000"/>
      <c r="C21" s="2001"/>
    </row>
    <row r="22" spans="1:3" ht="13.5">
      <c r="A22" s="3045" t="s">
        <v>1676</v>
      </c>
      <c r="B22" s="3043" t="s">
        <v>1677</v>
      </c>
      <c r="C22" s="3042"/>
    </row>
    <row r="23" spans="1:3" ht="13.5">
      <c r="A23" s="3045"/>
      <c r="B23" s="3043" t="s">
        <v>1678</v>
      </c>
      <c r="C23" s="3042"/>
    </row>
    <row r="24" spans="1:3" ht="13.5">
      <c r="A24" s="3045"/>
      <c r="B24" s="3043" t="s">
        <v>1679</v>
      </c>
      <c r="C24" s="3042"/>
    </row>
    <row r="25" spans="1:3" ht="13.5">
      <c r="A25" s="3045"/>
      <c r="B25" s="3044" t="s">
        <v>1680</v>
      </c>
      <c r="C25" s="1998" t="s">
        <v>1681</v>
      </c>
    </row>
    <row r="26" spans="1:3" ht="13.5">
      <c r="A26" s="3045"/>
      <c r="B26" s="3044"/>
      <c r="C26" s="1998" t="s">
        <v>1682</v>
      </c>
    </row>
    <row r="27" spans="1:3" ht="13.5">
      <c r="A27" s="3045"/>
      <c r="B27" s="3044"/>
      <c r="C27" s="1998" t="s">
        <v>1683</v>
      </c>
    </row>
    <row r="28" spans="1:3" ht="13.5">
      <c r="A28" s="3045"/>
      <c r="B28" s="3044"/>
      <c r="C28" s="1998" t="s">
        <v>1684</v>
      </c>
    </row>
    <row r="29" spans="1:3" ht="13.5">
      <c r="A29" s="3045"/>
      <c r="B29" s="3044"/>
      <c r="C29" s="1998" t="s">
        <v>1685</v>
      </c>
    </row>
    <row r="30" spans="1:3" ht="13.5">
      <c r="A30" s="3045"/>
      <c r="B30" s="3044"/>
      <c r="C30" s="1998" t="s">
        <v>1686</v>
      </c>
    </row>
    <row r="31" spans="1:3" ht="13.5">
      <c r="A31" s="3045"/>
      <c r="B31" s="3044"/>
      <c r="C31" s="1998" t="s">
        <v>1687</v>
      </c>
    </row>
    <row r="32" spans="1:3" ht="13.5">
      <c r="A32" s="3045"/>
      <c r="B32" s="3044"/>
      <c r="C32" s="1998" t="s">
        <v>1688</v>
      </c>
    </row>
    <row r="33" spans="1:3" ht="13.5">
      <c r="A33" s="3045"/>
      <c r="B33" s="3044"/>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43198</v>
      </c>
      <c r="C2" s="1017" t="s">
        <v>826</v>
      </c>
      <c r="D2" s="1017"/>
    </row>
    <row r="3" spans="1:6" ht="24" customHeight="1">
      <c r="A3" s="1018" t="s">
        <v>827</v>
      </c>
      <c r="B3" s="1019" t="s">
        <v>828</v>
      </c>
      <c r="C3" s="2337" t="s">
        <v>829</v>
      </c>
      <c r="D3" s="2340" t="s">
        <v>830</v>
      </c>
      <c r="E3" s="1020" t="s">
        <v>831</v>
      </c>
      <c r="F3" s="1019" t="s">
        <v>829</v>
      </c>
    </row>
    <row r="4" spans="1:6" ht="24" customHeight="1">
      <c r="A4" s="1700" t="s">
        <v>832</v>
      </c>
      <c r="B4" s="1020">
        <f ca="1">IF(C4&lt;B2,"已过期",1119970066)</f>
        <v>1119970066</v>
      </c>
      <c r="C4" s="2338">
        <v>43849</v>
      </c>
      <c r="D4" s="2341" t="s">
        <v>832</v>
      </c>
      <c r="E4" s="1020">
        <f ca="1">IF(F4&lt;B2,"已过期",96010014)</f>
        <v>96010014</v>
      </c>
      <c r="F4" s="1028">
        <v>47118</v>
      </c>
    </row>
    <row r="5" spans="1:6" ht="24" customHeight="1">
      <c r="A5" s="1700" t="s">
        <v>833</v>
      </c>
      <c r="B5" s="1020">
        <f ca="1">IF(C5&lt;B2,"已过期",1119970074)</f>
        <v>1119970074</v>
      </c>
      <c r="C5" s="2338">
        <v>43849</v>
      </c>
      <c r="D5" s="2341" t="s">
        <v>833</v>
      </c>
      <c r="E5" s="1020">
        <f ca="1">IF(F5&lt;B2,"已过期",2002110027)</f>
        <v>2002110027</v>
      </c>
      <c r="F5" s="1028">
        <v>46752</v>
      </c>
    </row>
    <row r="6" spans="1:6" ht="24" customHeight="1">
      <c r="A6" s="1700" t="s">
        <v>834</v>
      </c>
      <c r="B6" s="1020">
        <f ca="1">IF(C6&lt;B2,"已过期",1119970111)</f>
        <v>1119970111</v>
      </c>
      <c r="C6" s="2338">
        <v>43849</v>
      </c>
      <c r="D6" s="2341" t="s">
        <v>834</v>
      </c>
      <c r="E6" s="1020">
        <f ca="1">IF(F6&lt;B2,"已过期",94010078)</f>
        <v>94010078</v>
      </c>
      <c r="F6" s="1028">
        <v>46387</v>
      </c>
    </row>
    <row r="7" spans="1:6" ht="24" customHeight="1">
      <c r="A7" s="1700" t="s">
        <v>835</v>
      </c>
      <c r="B7" s="1020">
        <f ca="1">IF(C7&lt;B2,"已过期",1120050019)</f>
        <v>1120050019</v>
      </c>
      <c r="C7" s="2338">
        <v>43359</v>
      </c>
      <c r="D7" s="2341" t="s">
        <v>835</v>
      </c>
      <c r="E7" s="1020">
        <f ca="1">IF(F7&lt;B2,"已过期",2002110030)</f>
        <v>2002110030</v>
      </c>
      <c r="F7" s="1028">
        <v>46387</v>
      </c>
    </row>
    <row r="8" spans="1:6" ht="24" customHeight="1">
      <c r="A8" s="1700" t="s">
        <v>836</v>
      </c>
      <c r="B8" s="1020">
        <f ca="1">IF(C8&lt;B2,"已过期",1120000080)</f>
        <v>1120000080</v>
      </c>
      <c r="C8" s="2338">
        <v>43849</v>
      </c>
      <c r="D8" s="2341" t="s">
        <v>836</v>
      </c>
      <c r="E8" s="1020">
        <f ca="1">IF(F8&lt;B2,"已过期",2000110082)</f>
        <v>2000110082</v>
      </c>
      <c r="F8" s="1028">
        <v>46387</v>
      </c>
    </row>
    <row r="9" spans="1:6" ht="24" customHeight="1">
      <c r="A9" s="1700" t="s">
        <v>837</v>
      </c>
      <c r="B9" s="1020">
        <f ca="1">IF(C9&lt;B2,"已过期",1419970001)</f>
        <v>1419970001</v>
      </c>
      <c r="C9" s="2338">
        <v>43867</v>
      </c>
      <c r="D9" s="2341" t="s">
        <v>837</v>
      </c>
      <c r="E9" s="1020">
        <f ca="1">IF(F9&lt;B2,"已过期",2002110125)</f>
        <v>2002110125</v>
      </c>
      <c r="F9" s="1028">
        <v>47118</v>
      </c>
    </row>
    <row r="10" spans="1:6" ht="24" customHeight="1">
      <c r="A10" s="1700" t="s">
        <v>838</v>
      </c>
      <c r="B10" s="1020">
        <f ca="1">IF(C10&lt;B2,"已过期",1120060040)</f>
        <v>1120060040</v>
      </c>
      <c r="C10" s="2338">
        <v>43483</v>
      </c>
      <c r="D10" s="2341" t="s">
        <v>838</v>
      </c>
      <c r="E10" s="1020">
        <f ca="1">IF(F10&lt;B2,"已过期",2004110096)</f>
        <v>2004110096</v>
      </c>
      <c r="F10" s="1028">
        <v>47118</v>
      </c>
    </row>
    <row r="11" spans="1:6" ht="24" customHeight="1">
      <c r="A11" s="1700" t="s">
        <v>839</v>
      </c>
      <c r="B11" s="1020">
        <f ca="1">IF(C11&lt;B2,"已过期",1120100036)</f>
        <v>1120100036</v>
      </c>
      <c r="C11" s="2338">
        <v>43622</v>
      </c>
      <c r="D11" s="2341" t="s">
        <v>839</v>
      </c>
      <c r="E11" s="1020">
        <f ca="1">IF(F11&lt;B2,"已过期",2010110070)</f>
        <v>2010110070</v>
      </c>
      <c r="F11" s="1028">
        <v>47907</v>
      </c>
    </row>
    <row r="12" spans="1:6" ht="24" customHeight="1">
      <c r="A12" s="1700"/>
      <c r="B12" s="1020"/>
      <c r="C12" s="2338"/>
      <c r="D12" s="2341"/>
      <c r="E12" s="1020"/>
      <c r="F12" s="1020"/>
    </row>
    <row r="13" spans="1:6" ht="24" customHeight="1">
      <c r="A13" s="1700" t="s">
        <v>840</v>
      </c>
      <c r="B13" s="1020">
        <f ca="1">IF(C13&lt;B2,"已过期",1120070131)</f>
        <v>1120070131</v>
      </c>
      <c r="C13" s="2338">
        <v>43814</v>
      </c>
      <c r="D13" s="2341" t="s">
        <v>840</v>
      </c>
      <c r="E13" s="1020">
        <v>2014110011</v>
      </c>
      <c r="F13" s="1028">
        <v>49302</v>
      </c>
    </row>
    <row r="14" spans="1:6" ht="24" customHeight="1">
      <c r="A14" s="1700" t="s">
        <v>841</v>
      </c>
      <c r="B14" s="1020">
        <f ca="1">IF(C14&lt;B2,"已过期",1120130020)</f>
        <v>1120130020</v>
      </c>
      <c r="C14" s="2338">
        <v>43622</v>
      </c>
      <c r="D14" s="2341"/>
      <c r="E14" s="1020"/>
      <c r="F14" s="1020"/>
    </row>
    <row r="15" spans="1:6" ht="24" customHeight="1">
      <c r="A15" s="1701" t="s">
        <v>1149</v>
      </c>
      <c r="B15" s="1020">
        <v>1120070085</v>
      </c>
      <c r="C15" s="2338">
        <v>43814</v>
      </c>
      <c r="D15" s="2342" t="s">
        <v>1149</v>
      </c>
      <c r="E15" s="1020">
        <v>2004110128</v>
      </c>
      <c r="F15" s="1021">
        <v>47118</v>
      </c>
    </row>
    <row r="16" spans="1:6" ht="24" customHeight="1">
      <c r="A16" s="1700" t="s">
        <v>842</v>
      </c>
      <c r="B16" s="1020">
        <f ca="1">IF(C16&lt;B2,"已过期",1120140022)</f>
        <v>1120140022</v>
      </c>
      <c r="C16" s="2338">
        <v>44029</v>
      </c>
      <c r="D16" s="2341" t="s">
        <v>842</v>
      </c>
      <c r="E16" s="1020">
        <f ca="1">IF(F16&lt;B2,"已过期",2008110059)</f>
        <v>2008110059</v>
      </c>
      <c r="F16" s="1028">
        <v>47177</v>
      </c>
    </row>
    <row r="17" spans="1:7" ht="24" customHeight="1">
      <c r="A17" s="1700"/>
      <c r="B17" s="1020"/>
      <c r="C17" s="2338"/>
      <c r="D17" s="2341"/>
      <c r="E17" s="1020"/>
      <c r="F17" s="1028"/>
    </row>
    <row r="18" spans="1:7" ht="24" customHeight="1">
      <c r="A18" s="1700"/>
      <c r="B18" s="1020"/>
      <c r="C18" s="2338"/>
      <c r="D18" s="2341"/>
      <c r="E18" s="1020"/>
      <c r="F18" s="1028"/>
    </row>
    <row r="19" spans="1:7" ht="24" customHeight="1">
      <c r="A19" s="1700"/>
      <c r="B19" s="1020"/>
      <c r="C19" s="2338"/>
      <c r="D19" s="2341"/>
      <c r="E19" s="1020"/>
      <c r="F19" s="1020"/>
    </row>
    <row r="20" spans="1:7" ht="24" customHeight="1">
      <c r="A20" s="1700"/>
      <c r="B20" s="1020"/>
      <c r="C20" s="2338"/>
      <c r="D20" s="2341"/>
      <c r="E20" s="1020"/>
      <c r="F20" s="1020"/>
    </row>
    <row r="21" spans="1:7" ht="24" customHeight="1">
      <c r="A21" s="1700"/>
      <c r="B21" s="1020"/>
      <c r="C21" s="2338"/>
      <c r="D21" s="2341" t="s">
        <v>843</v>
      </c>
      <c r="E21" s="1020">
        <f ca="1">IF(F21&lt;B2,"已过期",2011110090)</f>
        <v>2011110090</v>
      </c>
      <c r="F21" s="1028">
        <v>48302</v>
      </c>
    </row>
    <row r="22" spans="1:7" ht="24" customHeight="1">
      <c r="A22" s="1700" t="s">
        <v>844</v>
      </c>
      <c r="B22" s="1020">
        <f ca="1">IF(C22&lt;B2,"已过期",1120020033)</f>
        <v>1120020033</v>
      </c>
      <c r="C22" s="2338">
        <v>43304</v>
      </c>
      <c r="D22" s="2341" t="s">
        <v>844</v>
      </c>
      <c r="E22" s="1020">
        <f ca="1">IF(F22&lt;B2,"已过期",2000110137)</f>
        <v>2000110137</v>
      </c>
      <c r="F22" s="1028">
        <v>46387</v>
      </c>
    </row>
    <row r="23" spans="1:7" ht="24" customHeight="1">
      <c r="A23" s="1700" t="s">
        <v>845</v>
      </c>
      <c r="B23" s="1020">
        <f ca="1">IF(C23&lt;B2,"已过期",1120130048)</f>
        <v>1120130048</v>
      </c>
      <c r="C23" s="2338">
        <v>43686</v>
      </c>
      <c r="D23" s="2341"/>
      <c r="E23" s="1020"/>
      <c r="F23" s="1020"/>
    </row>
    <row r="24" spans="1:7" s="1022" customFormat="1" ht="24" customHeight="1">
      <c r="A24" s="1701" t="s">
        <v>1333</v>
      </c>
      <c r="B24" s="1701" t="s">
        <v>1333</v>
      </c>
      <c r="C24" s="2339" t="s">
        <v>1333</v>
      </c>
      <c r="D24" s="2342" t="s">
        <v>1333</v>
      </c>
      <c r="E24" s="1701" t="s">
        <v>1333</v>
      </c>
      <c r="F24" s="1701" t="s">
        <v>1333</v>
      </c>
    </row>
    <row r="25" spans="1:7" ht="24" customHeight="1">
      <c r="A25" s="3049" t="s">
        <v>846</v>
      </c>
      <c r="B25" s="3049"/>
      <c r="C25" s="3049"/>
      <c r="D25" s="3049"/>
      <c r="E25" s="3049"/>
      <c r="F25" s="3049"/>
      <c r="G25" s="3049"/>
    </row>
    <row r="26" spans="1:7" s="1023" customFormat="1" ht="24" customHeight="1">
      <c r="A26" s="3050" t="s">
        <v>847</v>
      </c>
      <c r="B26" s="3050"/>
      <c r="C26" s="3051"/>
      <c r="D26" s="3052" t="s">
        <v>848</v>
      </c>
      <c r="E26" s="3050"/>
      <c r="F26" s="3050"/>
    </row>
    <row r="27" spans="1:7" s="1025" customFormat="1" ht="24" customHeight="1">
      <c r="A27" s="1024" t="s">
        <v>849</v>
      </c>
      <c r="B27" s="1019" t="s">
        <v>850</v>
      </c>
      <c r="C27" s="2337" t="s">
        <v>851</v>
      </c>
      <c r="D27" s="2345" t="s">
        <v>849</v>
      </c>
      <c r="E27" s="1019" t="s">
        <v>850</v>
      </c>
      <c r="F27" s="1019" t="s">
        <v>851</v>
      </c>
    </row>
    <row r="28" spans="1:7" s="1025" customFormat="1" ht="24" customHeight="1">
      <c r="A28" s="1026" t="s">
        <v>852</v>
      </c>
      <c r="B28" s="1027" t="s">
        <v>853</v>
      </c>
      <c r="C28" s="2343">
        <v>43725</v>
      </c>
      <c r="D28" s="2346" t="s">
        <v>854</v>
      </c>
      <c r="E28" s="1026" t="s">
        <v>855</v>
      </c>
      <c r="F28" s="1056">
        <v>44377</v>
      </c>
    </row>
    <row r="29" spans="1:7" s="1025" customFormat="1" ht="24" customHeight="1">
      <c r="A29" s="1026"/>
      <c r="B29" s="1026"/>
      <c r="C29" s="2344"/>
      <c r="D29" s="2346"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收益法-地下仓储</vt:lpstr>
      <vt:lpstr>土地案例</vt:lpstr>
      <vt:lpstr>车库案例</vt:lpstr>
      <vt:lpstr>住宅案例</vt:lpstr>
      <vt:lpstr>可售</vt:lpstr>
      <vt:lpstr>估价师及机构信息!Print_Area</vt:lpstr>
      <vt:lpstr>'收益法 (元)'!Print_Area</vt:lpstr>
      <vt:lpstr>'收益法-地下仓储'!Print_Area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2018-04-02T02:35:36Z</cp:lastPrinted>
  <dcterms:created xsi:type="dcterms:W3CDTF">2015-07-13T07:17:23Z</dcterms:created>
  <dcterms:modified xsi:type="dcterms:W3CDTF">2018-04-08T08:02:41Z</dcterms:modified>
</cp:coreProperties>
</file>